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tables/table1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4.xml" ContentType="application/vnd.openxmlformats-officedocument.spreadsheetml.table+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drawings/drawing7.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9.xml" ContentType="application/vnd.openxmlformats-officedocument.drawing+xml"/>
  <Override PartName="/xl/tables/table15.xml" ContentType="application/vnd.openxmlformats-officedocument.spreadsheetml.table+xml"/>
  <Override PartName="/xl/charts/chart13.xml" ContentType="application/vnd.openxmlformats-officedocument.drawingml.chart+xml"/>
  <Override PartName="/xl/pivotTables/pivotTable18.xml" ContentType="application/vnd.openxmlformats-officedocument.spreadsheetml.pivotTable+xml"/>
  <Override PartName="/xl/drawings/drawing10.xml" ContentType="application/vnd.openxmlformats-officedocument.drawing+xml"/>
  <Override PartName="/xl/tables/table16.xml" ContentType="application/vnd.openxmlformats-officedocument.spreadsheetml.table+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pivotTables/pivotTable19.xml" ContentType="application/vnd.openxmlformats-officedocument.spreadsheetml.pivotTable+xml"/>
  <Override PartName="/xl/drawings/drawing12.xml" ContentType="application/vnd.openxmlformats-officedocument.drawing+xml"/>
  <Override PartName="/xl/pivotTables/pivotTable20.xml" ContentType="application/vnd.openxmlformats-officedocument.spreadsheetml.pivotTable+xml"/>
  <Override PartName="/xl/drawings/drawing13.xml" ContentType="application/vnd.openxmlformats-officedocument.drawing+xml"/>
  <Override PartName="/xl/slicers/slicer2.xml" ContentType="application/vnd.ms-excel.slicer+xml"/>
  <Override PartName="/xl/pivotTables/pivotTable21.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omments1.xml" ContentType="application/vnd.openxmlformats-officedocument.spreadsheetml.comments+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7.xml" ContentType="application/vnd.openxmlformats-officedocument.drawing+xml"/>
  <Override PartName="/xl/charts/chart2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tables/table19.xml" ContentType="application/vnd.openxmlformats-officedocument.spreadsheetml.table+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28.xml" ContentType="application/vnd.openxmlformats-officedocument.spreadsheetml.pivotTable+xml"/>
  <Override PartName="/xl/tables/table20.xml" ContentType="application/vnd.openxmlformats-officedocument.spreadsheetml.table+xml"/>
  <Override PartName="/xl/drawings/drawing21.xml" ContentType="application/vnd.openxmlformats-officedocument.drawing+xml"/>
  <Override PartName="/xl/tables/table21.xml" ContentType="application/vnd.openxmlformats-officedocument.spreadsheetml.table+xml"/>
  <Override PartName="/xl/drawings/drawing22.xml" ContentType="application/vnd.openxmlformats-officedocument.drawing+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drawings/drawing23.xml" ContentType="application/vnd.openxmlformats-officedocument.drawing+xml"/>
  <Override PartName="/xl/charts/chart2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4.xml" ContentType="application/vnd.openxmlformats-officedocument.drawing+xml"/>
  <Override PartName="/xl/charts/chart25.xml" ContentType="application/vnd.openxmlformats-officedocument.drawingml.chart+xml"/>
  <Override PartName="/xl/charts/style7.xml" ContentType="application/vnd.ms-office.chartstyle+xml"/>
  <Override PartName="/xl/charts/colors7.xml" ContentType="application/vnd.ms-office.chartcolorstyle+xml"/>
  <Override PartName="/xl/charts/chart26.xml" ContentType="application/vnd.openxmlformats-officedocument.drawingml.chart+xml"/>
  <Override PartName="/xl/charts/style8.xml" ContentType="application/vnd.ms-office.chartstyle+xml"/>
  <Override PartName="/xl/charts/colors8.xml" ContentType="application/vnd.ms-office.chartcolorstyle+xml"/>
  <Override PartName="/xl/charts/chart27.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34.xml" ContentType="application/vnd.openxmlformats-officedocument.spreadsheetml.pivotTable+xml"/>
  <Override PartName="/xl/pivotTables/pivotTable35.xml" ContentType="application/vnd.openxmlformats-officedocument.spreadsheetml.pivotTable+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K:\Information Management\Cluster Analysis Report\Rakhine\2018\Rakhine Cluter Aanlysis Report-2018\Rakhine Cluter Aanlysis Report-2018\"/>
    </mc:Choice>
  </mc:AlternateContent>
  <bookViews>
    <workbookView xWindow="0" yWindow="0" windowWidth="28800" windowHeight="11835" tabRatio="701" firstSheet="1" activeTab="5"/>
  </bookViews>
  <sheets>
    <sheet name="File_details" sheetId="70" state="hidden" r:id="rId1"/>
    <sheet name="Home" sheetId="35" r:id="rId2"/>
    <sheet name="Definition_TCL" sheetId="68" state="hidden" r:id="rId3"/>
    <sheet name="Definition" sheetId="49" state="hidden" r:id="rId4"/>
    <sheet name="Key CCCM Definitions" sheetId="73" r:id="rId5"/>
    <sheet name="Camp List" sheetId="14" r:id="rId6"/>
    <sheet name="ReturntoIH" sheetId="85" state="hidden" r:id="rId7"/>
    <sheet name="Camp List (printable) " sheetId="67" r:id="rId8"/>
    <sheet name="CCCM Dashboard" sheetId="40" r:id="rId9"/>
    <sheet name="Map" sheetId="72" state="hidden" r:id="rId10"/>
    <sheet name="Sheet2" sheetId="86" state="hidden" r:id="rId11"/>
    <sheet name="Camp_Profile" sheetId="83" r:id="rId12"/>
    <sheet name="Camp Analysis" sheetId="33" r:id="rId13"/>
    <sheet name="Age-Sex Breakdown per Camp" sheetId="74" r:id="rId14"/>
    <sheet name="Vulnerability per Camp" sheetId="75" r:id="rId15"/>
    <sheet name="Displacement Areas" sheetId="80" r:id="rId16"/>
    <sheet name="Camp Management-Focal Point" sheetId="78" r:id="rId17"/>
    <sheet name="Relocation &amp; Returned" sheetId="88" r:id="rId18"/>
    <sheet name="Camp List (closed)" sheetId="89" r:id="rId19"/>
    <sheet name="Shelter Tracking" sheetId="19" r:id="rId20"/>
    <sheet name="Shelter Maintenance in 2017" sheetId="94" r:id="rId21"/>
    <sheet name="Shelter Progress" sheetId="36" r:id="rId22"/>
    <sheet name="Shelter Summary (by agency)" sheetId="45" state="hidden" r:id="rId23"/>
    <sheet name="Shelter Coverage &amp; Gaps" sheetId="62" r:id="rId24"/>
    <sheet name="Camp Infrastructure" sheetId="77" r:id="rId25"/>
    <sheet name="NFI Tracking" sheetId="20" r:id="rId26"/>
    <sheet name="NFI Pipeline" sheetId="30" r:id="rId27"/>
    <sheet name="NFI Distribution by 12 Months" sheetId="37" r:id="rId28"/>
    <sheet name="NFI Summary" sheetId="43" r:id="rId29"/>
    <sheet name="Distribution by Year" sheetId="91" r:id="rId30"/>
  </sheets>
  <definedNames>
    <definedName name="_xlnm._FilterDatabase" localSheetId="5" hidden="1">'Camp List'!$A$4:$R$131</definedName>
    <definedName name="_xlnm._FilterDatabase" localSheetId="25" hidden="1">'NFI Tracking'!$A$5:$R$402</definedName>
    <definedName name="_xlnm._FilterDatabase" localSheetId="6" hidden="1">ReturntoIH!$A$3:$AA$33</definedName>
    <definedName name="_xlnm._FilterDatabase" localSheetId="20" hidden="1">'Shelter Maintenance in 2017'!$A$3:$C$3</definedName>
    <definedName name="Accessible_by_All">Definition!$P$3:$P$4</definedName>
    <definedName name="Age_Cat_Code">Definition!$AE$2:$AE$13</definedName>
    <definedName name="Age_Category">Definition!$R$2:$R$7</definedName>
    <definedName name="AllData_Camplist" localSheetId="11">Camp_List[#All]</definedName>
    <definedName name="AllData_Camplist" localSheetId="23">Camp_List[#All]</definedName>
    <definedName name="AllData_Camplist">Camp_List[#All]</definedName>
    <definedName name="Camp_Status">"Open, Close"</definedName>
    <definedName name="Camplist_HH">'Camp List'!$Q$5:$Q$894</definedName>
    <definedName name="Camplist_Popl">'Camp List'!$R$5:$R$894</definedName>
    <definedName name="CampList_Status">'Camp List'!$A$5:$A$894</definedName>
    <definedName name="Camplist_Township">'Camp List'!$F$5:$F$894</definedName>
    <definedName name="CampList_TypeOfAcc">'Camp List'!$V$5:$V$894</definedName>
    <definedName name="CL">Definition_TCL!$G$4:$J$1000</definedName>
    <definedName name="Cleaning_Kit_Bucket_Sanitarypad_broom_Track">'NFI Tracking'!#REF!</definedName>
    <definedName name="Col_Shelter_Individual_B">'Shelter Tracking'!$R:$R</definedName>
    <definedName name="Col_Shelter_Individual_P">'Shelter Tracking'!$Q:$Q</definedName>
    <definedName name="Col_Shelter_Individual_U">'Shelter Tracking'!$S:$S</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Individual_Covered">Data_Shelter_t[HH Covered]</definedName>
    <definedName name="Kashin" localSheetId="11">Camp_List[#All]</definedName>
    <definedName name="Kashin">Camp_List[#All]</definedName>
    <definedName name="Kyauk_Phyu">Definition!$L$3:$L$11</definedName>
    <definedName name="Location">"Camp_G,Cluster_G"</definedName>
    <definedName name="NFI">Definition!$A$2:$F$16</definedName>
    <definedName name="NFI_Adult_Clothes_Track">'NFI Tracking'!$AN:$AN</definedName>
    <definedName name="NFI_Blanket_Pipeline">'NFI Pipeline'!$AB:$AB</definedName>
    <definedName name="NFI_Blanket_Stock">'NFI Pipeline'!$AA:$AA</definedName>
    <definedName name="NFI_Blanket_Track">'NFI Tracking'!$AH:$AH</definedName>
    <definedName name="NFI_CampStatus">'NFI Tracking'!$AS:$AS</definedName>
    <definedName name="NFI_Children_Clothes_Track">'NFI Tracking'!$AO:$AO</definedName>
    <definedName name="NFI_Complementary_Pipeline">'NFI Pipeline'!$AH:$AH</definedName>
    <definedName name="NFI_Complementary_Stock">'NFI Pipeline'!$AG:$AG</definedName>
    <definedName name="NFI_Complementary_Track">'NFI Tracking'!$AJ:$AJ</definedName>
    <definedName name="NFI_Core_Pipeline">'NFI Pipeline'!$J:$J</definedName>
    <definedName name="NFI_Core_Stock">'NFI Pipeline'!$I:$I</definedName>
    <definedName name="NFI_Core_Track">'NFI Tracking'!$AD:$AD</definedName>
    <definedName name="NFI_Expiration">'NFI Tracking'!$L$1</definedName>
    <definedName name="NFI_Household">'NFI Tracking'!$J:$J</definedName>
    <definedName name="NFI_Hygiene_Pipeline">'NFI Pipeline'!$G:$G</definedName>
    <definedName name="NFI_Hygiene_Stock">'NFI Pipeline'!$F:$F</definedName>
    <definedName name="NFI_Hygiene_Track">'NFI Tracking'!$AC:$AC</definedName>
    <definedName name="NFI_Individual">'NFI Tracking'!$K:$K</definedName>
    <definedName name="NFI_JerryCan_Pipeline">'NFI Pipeline'!$AQ:$AQ</definedName>
    <definedName name="NFI_JerryCan_Stock">'NFI Pipeline'!$AP:$AP</definedName>
    <definedName name="NFI_JerryCan_Track">'NFI Tracking'!$AL:$AL</definedName>
    <definedName name="NFI_Kitchen_Pipeline">'NFI Pipeline'!$AE:$AE</definedName>
    <definedName name="NFI_Kitchen_Stock">'NFI Pipeline'!$AD:$AD</definedName>
    <definedName name="NFI_Kitchen_Track">'NFI Tracking'!$AI:$AI</definedName>
    <definedName name="NFI_Month">'NFI Tracking'!$A:$A</definedName>
    <definedName name="NFI_Mosquito_Pipeline">'NFI Pipeline'!$V:$V</definedName>
    <definedName name="NFI_Mosquito_Stock">'NFI Pipeline'!$U:$U</definedName>
    <definedName name="NFI_Mosquito_Track">'NFI Tracking'!$AF:$AF</definedName>
    <definedName name="NFI_Org">'NFI Tracking'!$D:$D</definedName>
    <definedName name="NFI_Pipeline_State">'NFI Pipeline'!$D:$D</definedName>
    <definedName name="NFI_Pipeline_Township">'NFI Pipeline'!$E:$E</definedName>
    <definedName name="NFI_Plastic_Bucket_Pipeline">'NFI Pipeline'!$AK:$AK</definedName>
    <definedName name="NFI_Plastic_Bucket_Stock">'NFI Pipeline'!$AJ:$AJ</definedName>
    <definedName name="NFI_Plastic_Bucket_Track">'NFI Tracking'!$AK:$AK</definedName>
    <definedName name="NFI_Plastic_Mat_Pipeline">'NFI Pipeline'!$AN:$AN</definedName>
    <definedName name="NFI_Plastic_Mat_Stock">'NFI Pipeline'!$AM:$AM</definedName>
    <definedName name="NFI_Plastic_Mat_Track">'NFI Tracking'!$AM:$AM</definedName>
    <definedName name="NFI_Sanitary_Pipeline">'NFI Pipeline'!$M:$M</definedName>
    <definedName name="NFI_Sanitary_Stock">'NFI Pipeline'!$L:$L</definedName>
    <definedName name="NFI_Sanitary_Track">'NFI Tracking'!$AE:$AE</definedName>
    <definedName name="NFI_Sewing_Kit_Track">'NFI Tracking'!$AP:$AP</definedName>
    <definedName name="NFI_Solar_Lantern_Track">'NFI Tracking'!$AQ:$AQ</definedName>
    <definedName name="NFI_Solor_Lantern_Track">'NFI Tracking'!$AQ:$AQ</definedName>
    <definedName name="NFI_State">'NFI Tracking'!$F:$F</definedName>
    <definedName name="NFI_Tarpaulin_Pipeline">'NFI Pipeline'!$Y:$Y</definedName>
    <definedName name="NFI_Tarpaulin_Stock">'NFI Pipeline'!$X:$X</definedName>
    <definedName name="NFI_Tarpaulin_Track">'NFI Tracking'!$AG:$AG</definedName>
    <definedName name="NFI_Township">'NFI Tracking'!$G:$G</definedName>
    <definedName name="Organization_Code">Definition!$Z$2:$Z$7</definedName>
    <definedName name="_xlnm.Print_Area" localSheetId="12">'Camp Analysis'!$A$2:$J$62</definedName>
    <definedName name="_xlnm.Print_Area" localSheetId="7">'Camp List (printable) '!$A$2:$H$39</definedName>
    <definedName name="_xlnm.Print_Area" localSheetId="16">'Camp Management-Focal Point'!$B$2:$I$35</definedName>
    <definedName name="_xlnm.Print_Area" localSheetId="8">'CCCM Dashboard'!$A$3:$Q$50</definedName>
    <definedName name="_xlnm.Print_Area" localSheetId="15">'Displacement Areas'!$B$3:$O$57</definedName>
    <definedName name="_xlnm.Print_Area" localSheetId="27">'NFI Distribution by 12 Months'!$B$2:$K$113</definedName>
    <definedName name="_xlnm.Print_Area" localSheetId="26">'NFI Pipeline'!$A$5:$AL$9</definedName>
    <definedName name="_xlnm.Print_Area" localSheetId="28">'NFI Summary'!$B$4:$P$41</definedName>
    <definedName name="_xlnm.Print_Area" localSheetId="25">'NFI Tracking'!$A$5:$R$5</definedName>
    <definedName name="_xlnm.Print_Area" localSheetId="23">'Shelter Coverage &amp; Gaps'!$B$2:$P$38</definedName>
    <definedName name="_xlnm.Print_Area" localSheetId="21">'Shelter Progress'!$A$2:$R$24</definedName>
    <definedName name="_xlnm.Print_Area" localSheetId="22">'Shelter Summary (by agency)'!$A$2:$F$43</definedName>
    <definedName name="Rakhine" localSheetId="11">Definition_Rakhine[Rakhine]</definedName>
    <definedName name="Rakhine">Definition_Rakhine[Rakhine]</definedName>
    <definedName name="Report_Date">Definition!$A$23</definedName>
    <definedName name="Shelter_Cover2">'Shelter Tracking'!$T:$T</definedName>
    <definedName name="Shelter_HH_Covered">'Shelter Tracking'!$U:$U</definedName>
    <definedName name="Shelter_Makeshift">'Shelter Tracking'!$P:$P</definedName>
    <definedName name="Shelter_Status">Data_Shelter_t[Status]</definedName>
    <definedName name="Slicer_TOWNSHIP_NAME1">#N/A</definedName>
    <definedName name="Slicer_TOWNSHIP_NAME11">#N/A</definedName>
    <definedName name="State">Definition!$J$2:$J$2</definedName>
    <definedName name="TCL_C">Definition_TCL!$B$4:$B$1000</definedName>
    <definedName name="TCL_T">Definition_TCL!$A$4:$A$1000</definedName>
    <definedName name="TCL_T1">Definition_TCL!$A$4</definedName>
    <definedName name="Type_of_Acc">'Camp List'!$V$5:$V$131</definedName>
    <definedName name="Type_of_Accomodation">Definition!$N$2:$N$6</definedName>
    <definedName name="Type_Population">Definition!$V$2:$V$10</definedName>
    <definedName name="Type_Vulnerability">Definition!$X$2:$X$17</definedName>
    <definedName name="Vulnerability">Definition!$T$2:$T$9</definedName>
  </definedNames>
  <calcPr calcId="152511"/>
  <pivotCaches>
    <pivotCache cacheId="0" r:id="rId31"/>
    <pivotCache cacheId="1" r:id="rId32"/>
    <pivotCache cacheId="2" r:id="rId33"/>
    <pivotCache cacheId="3" r:id="rId34"/>
    <pivotCache cacheId="4" r:id="rId35"/>
    <pivotCache cacheId="5" r:id="rId36"/>
    <pivotCache cacheId="19" r:id="rId37"/>
  </pivotCaches>
  <extLst>
    <ext xmlns:x14="http://schemas.microsoft.com/office/spreadsheetml/2009/9/main" uri="{BBE1A952-AA13-448e-AADC-164F8A28A991}">
      <x14:slicerCaches>
        <x14:slicerCache r:id="rId38"/>
        <x14:slicerCache r:id="rId39"/>
      </x14:slicerCaches>
    </ext>
    <ext xmlns:x14="http://schemas.microsoft.com/office/spreadsheetml/2009/9/main" uri="{79F54976-1DA5-4618-B147-4CDE4B953A38}">
      <x14:workbookPr/>
    </ext>
  </extLst>
</workbook>
</file>

<file path=xl/calcChain.xml><?xml version="1.0" encoding="utf-8"?>
<calcChain xmlns="http://schemas.openxmlformats.org/spreadsheetml/2006/main">
  <c r="B8" i="86" l="1"/>
  <c r="A8" i="20" l="1"/>
  <c r="A7" i="20"/>
  <c r="B7" i="20"/>
  <c r="AR7" i="20"/>
  <c r="AS7" i="20"/>
  <c r="A9" i="20"/>
  <c r="B9" i="20"/>
  <c r="AR9" i="20"/>
  <c r="AS9" i="20"/>
  <c r="B8" i="20"/>
  <c r="AR8" i="20"/>
  <c r="AS8" i="20"/>
  <c r="A10" i="20"/>
  <c r="B10" i="20"/>
  <c r="AR10" i="20"/>
  <c r="AS10" i="20"/>
  <c r="A6" i="20"/>
  <c r="B6" i="20"/>
  <c r="AR6" i="20"/>
  <c r="AS6" i="20"/>
  <c r="AI27" i="14"/>
  <c r="H57" i="75"/>
  <c r="H58" i="75"/>
  <c r="H59" i="75"/>
  <c r="H60" i="75"/>
  <c r="H61" i="75"/>
  <c r="H62" i="75"/>
  <c r="H63" i="75"/>
  <c r="H64" i="75"/>
  <c r="H56" i="75"/>
  <c r="H120" i="75"/>
  <c r="H121" i="75"/>
  <c r="H122" i="75"/>
  <c r="H123" i="75"/>
  <c r="H124" i="75"/>
  <c r="H125" i="75"/>
  <c r="H126" i="75"/>
  <c r="H127" i="75"/>
  <c r="H119" i="75"/>
  <c r="H93" i="75"/>
  <c r="H94" i="75"/>
  <c r="H95" i="75"/>
  <c r="H96" i="75"/>
  <c r="H97" i="75"/>
  <c r="H98" i="75"/>
  <c r="H99" i="75"/>
  <c r="H100" i="75"/>
  <c r="H92" i="75"/>
  <c r="H84" i="75"/>
  <c r="H85" i="75"/>
  <c r="H86" i="75"/>
  <c r="H87" i="75"/>
  <c r="H88" i="75"/>
  <c r="H89" i="75"/>
  <c r="H90" i="75"/>
  <c r="H91" i="75"/>
  <c r="H83" i="75"/>
  <c r="H111" i="75"/>
  <c r="H112" i="75"/>
  <c r="H113" i="75"/>
  <c r="H114" i="75"/>
  <c r="H115" i="75"/>
  <c r="H116" i="75"/>
  <c r="H117" i="75"/>
  <c r="H118" i="75"/>
  <c r="H110" i="75"/>
  <c r="H39" i="75"/>
  <c r="H40" i="75"/>
  <c r="H41" i="75"/>
  <c r="H42" i="75"/>
  <c r="H43" i="75"/>
  <c r="H44" i="75"/>
  <c r="H45" i="75"/>
  <c r="H46" i="75"/>
  <c r="H38" i="75"/>
  <c r="Q11" i="14"/>
  <c r="H30" i="75"/>
  <c r="H31" i="75"/>
  <c r="H32" i="75"/>
  <c r="H33" i="75"/>
  <c r="H34" i="75"/>
  <c r="H35" i="75"/>
  <c r="H36" i="75"/>
  <c r="H37" i="75"/>
  <c r="H29" i="75"/>
  <c r="H21" i="75"/>
  <c r="H22" i="75"/>
  <c r="H23" i="75"/>
  <c r="H24" i="75"/>
  <c r="H25" i="75"/>
  <c r="H26" i="75"/>
  <c r="H27" i="75"/>
  <c r="H28" i="75"/>
  <c r="H20" i="75"/>
  <c r="H147" i="75" l="1"/>
  <c r="H148" i="75"/>
  <c r="H149" i="75"/>
  <c r="H150" i="75"/>
  <c r="H151" i="75"/>
  <c r="H152" i="75"/>
  <c r="H153" i="75"/>
  <c r="H154" i="75"/>
  <c r="H146" i="75"/>
  <c r="H75" i="75"/>
  <c r="H76" i="75"/>
  <c r="H77" i="75"/>
  <c r="H78" i="75"/>
  <c r="H79" i="75"/>
  <c r="H80" i="75"/>
  <c r="H81" i="75"/>
  <c r="H82" i="75"/>
  <c r="H74" i="75"/>
  <c r="W46" i="19" l="1"/>
  <c r="U46" i="19" s="1"/>
  <c r="X46" i="19"/>
  <c r="Y46" i="19"/>
  <c r="Z46" i="19"/>
  <c r="W47" i="19"/>
  <c r="U47" i="19" s="1"/>
  <c r="X47" i="19"/>
  <c r="Y47" i="19"/>
  <c r="Z47" i="19"/>
  <c r="X7" i="19" l="1"/>
  <c r="W7" i="19"/>
  <c r="U7" i="19" s="1"/>
  <c r="Y7" i="19"/>
  <c r="Z7" i="19"/>
  <c r="N4" i="94"/>
  <c r="N26" i="94"/>
  <c r="N22" i="94"/>
  <c r="N17" i="94"/>
  <c r="N25" i="94"/>
  <c r="N24" i="94"/>
  <c r="N23" i="94"/>
  <c r="N21" i="94"/>
  <c r="N20" i="94"/>
  <c r="N19" i="94"/>
  <c r="N18" i="94"/>
  <c r="N16" i="94"/>
  <c r="N15" i="94"/>
  <c r="N14" i="94"/>
  <c r="N13" i="94"/>
  <c r="N12" i="94"/>
  <c r="N11" i="94"/>
  <c r="N10" i="94"/>
  <c r="N9" i="94"/>
  <c r="N8" i="94"/>
  <c r="N7" i="94"/>
  <c r="N6" i="94"/>
  <c r="N5" i="94"/>
  <c r="M4" i="94" l="1"/>
  <c r="M17" i="94"/>
  <c r="M18" i="94"/>
  <c r="M19" i="94"/>
  <c r="M20" i="94"/>
  <c r="M21" i="94"/>
  <c r="M22" i="94"/>
  <c r="M23" i="94"/>
  <c r="M24" i="94"/>
  <c r="M25" i="94"/>
  <c r="M26" i="94"/>
  <c r="M6" i="94"/>
  <c r="M7" i="94"/>
  <c r="M8" i="94"/>
  <c r="M9" i="94"/>
  <c r="M10" i="94"/>
  <c r="M11" i="94"/>
  <c r="M12" i="94"/>
  <c r="M13" i="94"/>
  <c r="M14" i="94"/>
  <c r="M15" i="94"/>
  <c r="M16" i="94"/>
  <c r="M5" i="94"/>
  <c r="L4" i="94"/>
  <c r="L26" i="94"/>
  <c r="K26" i="94"/>
  <c r="L22" i="94"/>
  <c r="K22" i="94"/>
  <c r="L17" i="94"/>
  <c r="K17" i="94"/>
  <c r="J26" i="94"/>
  <c r="I26" i="94"/>
  <c r="L24" i="94"/>
  <c r="K24" i="94"/>
  <c r="L21" i="94"/>
  <c r="K21" i="94"/>
  <c r="L20" i="94"/>
  <c r="K20" i="94"/>
  <c r="K18" i="94"/>
  <c r="K16" i="94"/>
  <c r="E35" i="94"/>
  <c r="E34" i="94"/>
  <c r="E33" i="94"/>
  <c r="L16" i="94" s="1"/>
  <c r="K15" i="94" l="1"/>
  <c r="K14" i="94"/>
  <c r="K13" i="94"/>
  <c r="K12" i="94"/>
  <c r="K11" i="94"/>
  <c r="K10" i="94"/>
  <c r="K9" i="94"/>
  <c r="K8" i="94"/>
  <c r="K7" i="94" l="1"/>
  <c r="K6" i="94"/>
  <c r="K5" i="94"/>
  <c r="E32" i="94"/>
  <c r="E31" i="94"/>
  <c r="E30" i="94"/>
  <c r="E29" i="94"/>
  <c r="L18" i="94" s="1"/>
  <c r="E28" i="94"/>
  <c r="E27" i="94"/>
  <c r="E26" i="94"/>
  <c r="E25" i="94"/>
  <c r="E24" i="94"/>
  <c r="E23" i="94"/>
  <c r="E22" i="94"/>
  <c r="E21" i="94"/>
  <c r="E20" i="94"/>
  <c r="E19" i="94"/>
  <c r="E18" i="94"/>
  <c r="E17" i="94"/>
  <c r="E16" i="94"/>
  <c r="E15" i="94"/>
  <c r="L11" i="94" s="1"/>
  <c r="E14" i="94"/>
  <c r="E13" i="94"/>
  <c r="E12" i="94"/>
  <c r="E11" i="94"/>
  <c r="L9" i="94" s="1"/>
  <c r="E10" i="94"/>
  <c r="E9" i="94"/>
  <c r="E8" i="94"/>
  <c r="E7" i="94"/>
  <c r="L7" i="94" s="1"/>
  <c r="E6" i="94"/>
  <c r="L6" i="94" s="1"/>
  <c r="E5" i="94"/>
  <c r="E4" i="94"/>
  <c r="L8" i="94" l="1"/>
  <c r="L10" i="94"/>
  <c r="L12" i="94"/>
  <c r="L14" i="94"/>
  <c r="L5" i="94"/>
  <c r="L13" i="94"/>
  <c r="L15" i="94"/>
  <c r="J25" i="94"/>
  <c r="J24" i="94"/>
  <c r="J23" i="94"/>
  <c r="I22" i="94"/>
  <c r="J21" i="94"/>
  <c r="J20" i="94"/>
  <c r="J19" i="94"/>
  <c r="J18" i="94"/>
  <c r="I17" i="94"/>
  <c r="J16" i="94"/>
  <c r="J15" i="94"/>
  <c r="J14" i="94"/>
  <c r="J13" i="94"/>
  <c r="J12" i="94"/>
  <c r="J11" i="94"/>
  <c r="J10" i="94"/>
  <c r="J9" i="94"/>
  <c r="J8" i="94"/>
  <c r="J7" i="94"/>
  <c r="J6" i="94"/>
  <c r="J5" i="94"/>
  <c r="I4" i="94" l="1"/>
  <c r="J17" i="94"/>
  <c r="J22" i="94"/>
  <c r="J4" i="94" l="1"/>
  <c r="K4" i="94" s="1"/>
  <c r="H66" i="75" l="1"/>
  <c r="H67" i="75"/>
  <c r="H68" i="75"/>
  <c r="H69" i="75"/>
  <c r="H70" i="75"/>
  <c r="H71" i="75"/>
  <c r="H72" i="75"/>
  <c r="H73" i="75"/>
  <c r="H65" i="75"/>
  <c r="H156" i="75"/>
  <c r="H157" i="75"/>
  <c r="H158" i="75"/>
  <c r="H159" i="75"/>
  <c r="H160" i="75"/>
  <c r="H161" i="75"/>
  <c r="H162" i="75"/>
  <c r="H163" i="75"/>
  <c r="H155" i="75"/>
  <c r="H48" i="75"/>
  <c r="H49" i="75"/>
  <c r="H50" i="75"/>
  <c r="H51" i="75"/>
  <c r="H52" i="75"/>
  <c r="H53" i="75"/>
  <c r="H54" i="75"/>
  <c r="H55" i="75"/>
  <c r="H47" i="75"/>
  <c r="H138" i="75" l="1"/>
  <c r="H139" i="75"/>
  <c r="H140" i="75"/>
  <c r="H141" i="75"/>
  <c r="H142" i="75"/>
  <c r="H143" i="75"/>
  <c r="H144" i="75"/>
  <c r="H145" i="75"/>
  <c r="H137" i="75"/>
  <c r="H12" i="75"/>
  <c r="H13" i="75"/>
  <c r="H14" i="75"/>
  <c r="H15" i="75"/>
  <c r="H16" i="75"/>
  <c r="H17" i="75"/>
  <c r="H18" i="75"/>
  <c r="H19" i="75"/>
  <c r="H11" i="75"/>
  <c r="H3" i="75"/>
  <c r="H4" i="75"/>
  <c r="H5" i="75"/>
  <c r="H6" i="75"/>
  <c r="H7" i="75"/>
  <c r="H8" i="75"/>
  <c r="H9" i="75"/>
  <c r="H10" i="75"/>
  <c r="H2" i="75"/>
  <c r="H102" i="75"/>
  <c r="H103" i="75"/>
  <c r="H104" i="75"/>
  <c r="H105" i="75"/>
  <c r="H106" i="75"/>
  <c r="H107" i="75"/>
  <c r="H108" i="75"/>
  <c r="H109" i="75"/>
  <c r="H101" i="75"/>
  <c r="A15" i="20" l="1"/>
  <c r="B15" i="20"/>
  <c r="AR15" i="20"/>
  <c r="AS15" i="20"/>
  <c r="AR26" i="20" l="1"/>
  <c r="C119" i="37" l="1"/>
  <c r="C120" i="37"/>
  <c r="C121" i="37"/>
  <c r="C122" i="37"/>
  <c r="C123" i="37"/>
  <c r="AA27" i="37"/>
  <c r="AE27" i="37" s="1"/>
  <c r="AA28" i="37"/>
  <c r="AA29" i="37"/>
  <c r="AA30" i="37"/>
  <c r="AA31" i="37"/>
  <c r="A11" i="20"/>
  <c r="A12" i="20"/>
  <c r="B11" i="20"/>
  <c r="B12" i="20"/>
  <c r="L1" i="20"/>
  <c r="AR11" i="20"/>
  <c r="AR12" i="20"/>
  <c r="AS11" i="20"/>
  <c r="AS12" i="20"/>
  <c r="A14" i="20"/>
  <c r="B14" i="20"/>
  <c r="AR14" i="20"/>
  <c r="AS14" i="20"/>
  <c r="A13" i="20"/>
  <c r="B13" i="20"/>
  <c r="AR13" i="20"/>
  <c r="AS13" i="20"/>
  <c r="D153" i="75"/>
  <c r="D146" i="75"/>
  <c r="D147" i="75"/>
  <c r="D148" i="75"/>
  <c r="D149" i="75"/>
  <c r="D150" i="75"/>
  <c r="D151" i="75"/>
  <c r="D152" i="75"/>
  <c r="D154" i="75"/>
  <c r="A95" i="20"/>
  <c r="A168" i="20"/>
  <c r="A169" i="20"/>
  <c r="AO169" i="20" s="1"/>
  <c r="A170" i="20"/>
  <c r="A16" i="20"/>
  <c r="A17" i="20"/>
  <c r="A18" i="20"/>
  <c r="A19" i="20"/>
  <c r="A20" i="20"/>
  <c r="A21" i="20"/>
  <c r="A22" i="20"/>
  <c r="A23" i="20"/>
  <c r="A24" i="20"/>
  <c r="A25" i="20"/>
  <c r="A26" i="20"/>
  <c r="A27" i="20"/>
  <c r="A28" i="20"/>
  <c r="A29" i="20"/>
  <c r="AL29" i="20" s="1"/>
  <c r="A30" i="20"/>
  <c r="AE30" i="20" s="1"/>
  <c r="A31" i="20"/>
  <c r="A32" i="20"/>
  <c r="A33" i="20"/>
  <c r="AK33" i="20" s="1"/>
  <c r="A34" i="20"/>
  <c r="A35" i="20"/>
  <c r="A36" i="20"/>
  <c r="A37" i="20"/>
  <c r="AI37" i="20" s="1"/>
  <c r="A38" i="20"/>
  <c r="AC38" i="20" s="1"/>
  <c r="A39" i="20"/>
  <c r="A40" i="20"/>
  <c r="A41" i="20"/>
  <c r="AQ41" i="20" s="1"/>
  <c r="A42" i="20"/>
  <c r="AG42" i="20" s="1"/>
  <c r="A43" i="20"/>
  <c r="A44" i="20"/>
  <c r="A45" i="20"/>
  <c r="AL45" i="20" s="1"/>
  <c r="A46" i="20"/>
  <c r="AF46" i="20" s="1"/>
  <c r="A47" i="20"/>
  <c r="A48" i="20"/>
  <c r="A49" i="20"/>
  <c r="AL49" i="20" s="1"/>
  <c r="A50" i="20"/>
  <c r="A51" i="20"/>
  <c r="A52" i="20"/>
  <c r="A53" i="20"/>
  <c r="AJ53" i="20" s="1"/>
  <c r="A54" i="20"/>
  <c r="AC54" i="20" s="1"/>
  <c r="A55" i="20"/>
  <c r="A56" i="20"/>
  <c r="A57" i="20"/>
  <c r="AI57" i="20" s="1"/>
  <c r="A58" i="20"/>
  <c r="AH58" i="20" s="1"/>
  <c r="A59" i="20"/>
  <c r="A60" i="20"/>
  <c r="A61" i="20"/>
  <c r="AQ61" i="20" s="1"/>
  <c r="A62" i="20"/>
  <c r="AL62" i="20" s="1"/>
  <c r="A63" i="20"/>
  <c r="A64" i="20"/>
  <c r="A65" i="20"/>
  <c r="AC65" i="20" s="1"/>
  <c r="A66" i="20"/>
  <c r="AG66" i="20" s="1"/>
  <c r="A67" i="20"/>
  <c r="A68" i="20"/>
  <c r="A69" i="20"/>
  <c r="AH69" i="20" s="1"/>
  <c r="A70" i="20"/>
  <c r="A71" i="20"/>
  <c r="A72" i="20"/>
  <c r="A73" i="20"/>
  <c r="AH73" i="20" s="1"/>
  <c r="A74" i="20"/>
  <c r="AK74" i="20" s="1"/>
  <c r="A75" i="20"/>
  <c r="A76" i="20"/>
  <c r="A77" i="20"/>
  <c r="AL77" i="20" s="1"/>
  <c r="A78" i="20"/>
  <c r="AO78" i="20" s="1"/>
  <c r="A79" i="20"/>
  <c r="A80" i="20"/>
  <c r="A81" i="20"/>
  <c r="AO81" i="20" s="1"/>
  <c r="A82" i="20"/>
  <c r="AJ82" i="20" s="1"/>
  <c r="A83" i="20"/>
  <c r="A84" i="20"/>
  <c r="A85" i="20"/>
  <c r="A86" i="20"/>
  <c r="A87" i="20"/>
  <c r="A88" i="20"/>
  <c r="A89" i="20"/>
  <c r="A90" i="20"/>
  <c r="A91" i="20"/>
  <c r="A92" i="20"/>
  <c r="A93" i="20"/>
  <c r="A94" i="20"/>
  <c r="AO94" i="20" s="1"/>
  <c r="A96" i="20"/>
  <c r="A97" i="20"/>
  <c r="A98" i="20"/>
  <c r="AN98" i="20" s="1"/>
  <c r="A99" i="20"/>
  <c r="AG99" i="20" s="1"/>
  <c r="A100" i="20"/>
  <c r="A101" i="20"/>
  <c r="A102" i="20"/>
  <c r="AQ102" i="20" s="1"/>
  <c r="A103" i="20"/>
  <c r="A104" i="20"/>
  <c r="A105" i="20"/>
  <c r="A106" i="20"/>
  <c r="AH106" i="20" s="1"/>
  <c r="A107" i="20"/>
  <c r="AH107" i="20" s="1"/>
  <c r="A108" i="20"/>
  <c r="A109" i="20"/>
  <c r="A110" i="20"/>
  <c r="AN110" i="20" s="1"/>
  <c r="A111" i="20"/>
  <c r="AK111" i="20" s="1"/>
  <c r="A112" i="20"/>
  <c r="A113" i="20"/>
  <c r="A114" i="20"/>
  <c r="AC114" i="20" s="1"/>
  <c r="A115" i="20"/>
  <c r="A116" i="20"/>
  <c r="A117" i="20"/>
  <c r="A118" i="20"/>
  <c r="AJ118" i="20" s="1"/>
  <c r="A119" i="20"/>
  <c r="A120" i="20"/>
  <c r="A121" i="20"/>
  <c r="A122" i="20"/>
  <c r="AO122" i="20" s="1"/>
  <c r="A123" i="20"/>
  <c r="AO123" i="20" s="1"/>
  <c r="A124" i="20"/>
  <c r="A125" i="20"/>
  <c r="A126" i="20"/>
  <c r="A127" i="20"/>
  <c r="AJ127" i="20" s="1"/>
  <c r="A128" i="20"/>
  <c r="A129" i="20"/>
  <c r="A130" i="20"/>
  <c r="AE130" i="20" s="1"/>
  <c r="A131" i="20"/>
  <c r="A132" i="20"/>
  <c r="A133" i="20"/>
  <c r="A134" i="20"/>
  <c r="AJ134" i="20" s="1"/>
  <c r="A135" i="20"/>
  <c r="A136" i="20"/>
  <c r="A138" i="20"/>
  <c r="A139" i="20"/>
  <c r="AK139" i="20" s="1"/>
  <c r="A140" i="20"/>
  <c r="A141" i="20"/>
  <c r="A142" i="20"/>
  <c r="A143" i="20"/>
  <c r="AH143" i="20" s="1"/>
  <c r="A144" i="20"/>
  <c r="A145" i="20"/>
  <c r="A146" i="20"/>
  <c r="A147" i="20"/>
  <c r="AP147" i="20" s="1"/>
  <c r="A148" i="20"/>
  <c r="AN148" i="20" s="1"/>
  <c r="A149" i="20"/>
  <c r="A150" i="20"/>
  <c r="A151" i="20"/>
  <c r="AH151" i="20" s="1"/>
  <c r="A152" i="20"/>
  <c r="AC152" i="20" s="1"/>
  <c r="A153" i="20"/>
  <c r="A154" i="20"/>
  <c r="A155" i="20"/>
  <c r="AN155" i="20" s="1"/>
  <c r="A156" i="20"/>
  <c r="AQ156" i="20" s="1"/>
  <c r="A157" i="20"/>
  <c r="A158" i="20"/>
  <c r="A159" i="20"/>
  <c r="AK159" i="20" s="1"/>
  <c r="A160" i="20"/>
  <c r="AP160" i="20" s="1"/>
  <c r="A161" i="20"/>
  <c r="A162" i="20"/>
  <c r="A163" i="20"/>
  <c r="AK163" i="20" s="1"/>
  <c r="A164" i="20"/>
  <c r="AQ164" i="20" s="1"/>
  <c r="A165" i="20"/>
  <c r="A166" i="20"/>
  <c r="A167" i="20"/>
  <c r="AC167" i="20" s="1"/>
  <c r="A171" i="20"/>
  <c r="AJ171" i="20" s="1"/>
  <c r="A172" i="20"/>
  <c r="A173" i="20"/>
  <c r="A174" i="20"/>
  <c r="AE174" i="20" s="1"/>
  <c r="A175" i="20"/>
  <c r="A176" i="20"/>
  <c r="A177" i="20"/>
  <c r="A178" i="20"/>
  <c r="A179" i="20"/>
  <c r="AK179" i="20" s="1"/>
  <c r="A180" i="20"/>
  <c r="A181" i="20"/>
  <c r="A182" i="20"/>
  <c r="A183" i="20"/>
  <c r="AN183" i="20" s="1"/>
  <c r="A184" i="20"/>
  <c r="A185" i="20"/>
  <c r="A186" i="20"/>
  <c r="AO186" i="20" s="1"/>
  <c r="A187" i="20"/>
  <c r="AG187" i="20" s="1"/>
  <c r="A188" i="20"/>
  <c r="A189" i="20"/>
  <c r="A190" i="20"/>
  <c r="AK190" i="20" s="1"/>
  <c r="A191" i="20"/>
  <c r="AN191" i="20" s="1"/>
  <c r="A192" i="20"/>
  <c r="A193" i="20"/>
  <c r="A194" i="20"/>
  <c r="A195" i="20"/>
  <c r="AQ195" i="20" s="1"/>
  <c r="A196" i="20"/>
  <c r="A197" i="20"/>
  <c r="A198" i="20"/>
  <c r="AP198" i="20" s="1"/>
  <c r="A199" i="20"/>
  <c r="A200" i="20"/>
  <c r="A201" i="20"/>
  <c r="A202" i="20"/>
  <c r="A203" i="20"/>
  <c r="A204" i="20"/>
  <c r="A205" i="20"/>
  <c r="A206" i="20"/>
  <c r="AG206" i="20" s="1"/>
  <c r="A207" i="20"/>
  <c r="AN207" i="20" s="1"/>
  <c r="A208" i="20"/>
  <c r="A209" i="20"/>
  <c r="A210" i="20"/>
  <c r="AI210" i="20" s="1"/>
  <c r="A211" i="20"/>
  <c r="AN211" i="20" s="1"/>
  <c r="A212" i="20"/>
  <c r="A213" i="20"/>
  <c r="A214" i="20"/>
  <c r="AN214" i="20" s="1"/>
  <c r="A215" i="20"/>
  <c r="AK215" i="20" s="1"/>
  <c r="A216" i="20"/>
  <c r="A217" i="20"/>
  <c r="A218" i="20"/>
  <c r="A219" i="20"/>
  <c r="AP219" i="20" s="1"/>
  <c r="A220" i="20"/>
  <c r="A221" i="20"/>
  <c r="A222" i="20"/>
  <c r="AN222" i="20" s="1"/>
  <c r="A223" i="20"/>
  <c r="AI223" i="20" s="1"/>
  <c r="A224" i="20"/>
  <c r="A225" i="20"/>
  <c r="A226" i="20"/>
  <c r="AK226" i="20" s="1"/>
  <c r="A227" i="20"/>
  <c r="A228" i="20"/>
  <c r="A229" i="20"/>
  <c r="A230" i="20"/>
  <c r="A231" i="20"/>
  <c r="AE231" i="20" s="1"/>
  <c r="A232" i="20"/>
  <c r="A233" i="20"/>
  <c r="A234" i="20"/>
  <c r="AH234" i="20" s="1"/>
  <c r="A235" i="20"/>
  <c r="AP235" i="20" s="1"/>
  <c r="A236" i="20"/>
  <c r="A237" i="20"/>
  <c r="A238" i="20"/>
  <c r="AN238" i="20" s="1"/>
  <c r="A239" i="20"/>
  <c r="AH239" i="20" s="1"/>
  <c r="A240" i="20"/>
  <c r="A241" i="20"/>
  <c r="A242" i="20"/>
  <c r="AM242" i="20" s="1"/>
  <c r="A243" i="20"/>
  <c r="AQ243" i="20" s="1"/>
  <c r="A244" i="20"/>
  <c r="A245" i="20"/>
  <c r="A246" i="20"/>
  <c r="AN246" i="20" s="1"/>
  <c r="A247" i="20"/>
  <c r="AC247" i="20" s="1"/>
  <c r="A248" i="20"/>
  <c r="A249" i="20"/>
  <c r="A250" i="20"/>
  <c r="AH250" i="20" s="1"/>
  <c r="A251" i="20"/>
  <c r="A252" i="20"/>
  <c r="A253" i="20"/>
  <c r="A254" i="20"/>
  <c r="AH254" i="20" s="1"/>
  <c r="A255" i="20"/>
  <c r="AI255" i="20" s="1"/>
  <c r="A256" i="20"/>
  <c r="A257" i="20"/>
  <c r="A258" i="20"/>
  <c r="AN258" i="20" s="1"/>
  <c r="A259" i="20"/>
  <c r="AQ259" i="20" s="1"/>
  <c r="A260" i="20"/>
  <c r="A261" i="20"/>
  <c r="A262" i="20"/>
  <c r="A263" i="20"/>
  <c r="AL263" i="20" s="1"/>
  <c r="A264" i="20"/>
  <c r="A265" i="20"/>
  <c r="A266" i="20"/>
  <c r="A267" i="20"/>
  <c r="AC267" i="20" s="1"/>
  <c r="A268" i="20"/>
  <c r="A269" i="20"/>
  <c r="A270" i="20"/>
  <c r="AI270" i="20" s="1"/>
  <c r="A271" i="20"/>
  <c r="A272" i="20"/>
  <c r="A273" i="20"/>
  <c r="A274" i="20"/>
  <c r="AK274" i="20" s="1"/>
  <c r="A275" i="20"/>
  <c r="AK275" i="20" s="1"/>
  <c r="A276" i="20"/>
  <c r="A277" i="20"/>
  <c r="A278" i="20"/>
  <c r="A279" i="20"/>
  <c r="AK279" i="20" s="1"/>
  <c r="A280" i="20"/>
  <c r="A281" i="20"/>
  <c r="A282" i="20"/>
  <c r="AJ282" i="20" s="1"/>
  <c r="A283" i="20"/>
  <c r="AP283" i="20" s="1"/>
  <c r="A284" i="20"/>
  <c r="A285" i="20"/>
  <c r="A286" i="20"/>
  <c r="AJ286" i="20" s="1"/>
  <c r="A287" i="20"/>
  <c r="A288" i="20"/>
  <c r="A289" i="20"/>
  <c r="A290" i="20"/>
  <c r="AO290" i="20" s="1"/>
  <c r="A291" i="20"/>
  <c r="AP291" i="20" s="1"/>
  <c r="A292" i="20"/>
  <c r="A293" i="20"/>
  <c r="A294" i="20"/>
  <c r="A295" i="20"/>
  <c r="AL295" i="20" s="1"/>
  <c r="A296" i="20"/>
  <c r="A297" i="20"/>
  <c r="A298" i="20"/>
  <c r="AO298" i="20" s="1"/>
  <c r="A299" i="20"/>
  <c r="AJ299" i="20" s="1"/>
  <c r="A300" i="20"/>
  <c r="A301" i="20"/>
  <c r="A302" i="20"/>
  <c r="AH302" i="20" s="1"/>
  <c r="A303" i="20"/>
  <c r="AQ303" i="20" s="1"/>
  <c r="A304" i="20"/>
  <c r="A305" i="20"/>
  <c r="A306" i="20"/>
  <c r="AG306" i="20" s="1"/>
  <c r="A307" i="20"/>
  <c r="AL307" i="20" s="1"/>
  <c r="A308" i="20"/>
  <c r="A309" i="20"/>
  <c r="A310" i="20"/>
  <c r="AN310" i="20" s="1"/>
  <c r="A311" i="20"/>
  <c r="AN311" i="20" s="1"/>
  <c r="A312" i="20"/>
  <c r="A313" i="20"/>
  <c r="A314" i="20"/>
  <c r="AI314" i="20" s="1"/>
  <c r="A315" i="20"/>
  <c r="A316" i="20"/>
  <c r="A317" i="20"/>
  <c r="A318" i="20"/>
  <c r="AM318" i="20" s="1"/>
  <c r="A319" i="20"/>
  <c r="AM319" i="20" s="1"/>
  <c r="A320" i="20"/>
  <c r="A321" i="20"/>
  <c r="A322" i="20"/>
  <c r="AC322" i="20" s="1"/>
  <c r="A323" i="20"/>
  <c r="AH323" i="20" s="1"/>
  <c r="A324" i="20"/>
  <c r="A325" i="20"/>
  <c r="A326" i="20"/>
  <c r="AI326" i="20" s="1"/>
  <c r="A327" i="20"/>
  <c r="A328" i="20"/>
  <c r="A329" i="20"/>
  <c r="A330" i="20"/>
  <c r="AI330" i="20" s="1"/>
  <c r="A331" i="20"/>
  <c r="A332" i="20"/>
  <c r="A333" i="20"/>
  <c r="A334" i="20"/>
  <c r="AM334" i="20" s="1"/>
  <c r="A335" i="20"/>
  <c r="AL335" i="20" s="1"/>
  <c r="A336" i="20"/>
  <c r="A337" i="20"/>
  <c r="A338" i="20"/>
  <c r="AM338" i="20" s="1"/>
  <c r="A339" i="20"/>
  <c r="A340" i="20"/>
  <c r="A341" i="20"/>
  <c r="A342" i="20"/>
  <c r="AE342" i="20" s="1"/>
  <c r="A343" i="20"/>
  <c r="A344" i="20"/>
  <c r="A345" i="20"/>
  <c r="A346" i="20"/>
  <c r="AO346" i="20" s="1"/>
  <c r="A347" i="20"/>
  <c r="AC347" i="20" s="1"/>
  <c r="A348" i="20"/>
  <c r="A349" i="20"/>
  <c r="A350" i="20"/>
  <c r="A351" i="20"/>
  <c r="A352" i="20"/>
  <c r="A353" i="20"/>
  <c r="A354" i="20"/>
  <c r="AI354" i="20" s="1"/>
  <c r="A355" i="20"/>
  <c r="AO355" i="20" s="1"/>
  <c r="A356" i="20"/>
  <c r="A357" i="20"/>
  <c r="A358" i="20"/>
  <c r="AP358" i="20" s="1"/>
  <c r="A359" i="20"/>
  <c r="AC359" i="20" s="1"/>
  <c r="A360" i="20"/>
  <c r="A361" i="20"/>
  <c r="A362" i="20"/>
  <c r="AC362" i="20" s="1"/>
  <c r="A363" i="20"/>
  <c r="AC363" i="20" s="1"/>
  <c r="A364" i="20"/>
  <c r="A365" i="20"/>
  <c r="A366" i="20"/>
  <c r="A367" i="20"/>
  <c r="AG367" i="20" s="1"/>
  <c r="A368" i="20"/>
  <c r="A369" i="20"/>
  <c r="A370" i="20"/>
  <c r="AJ370" i="20" s="1"/>
  <c r="A371" i="20"/>
  <c r="AJ371" i="20" s="1"/>
  <c r="A372" i="20"/>
  <c r="A373" i="20"/>
  <c r="A374" i="20"/>
  <c r="A375" i="20"/>
  <c r="AK375" i="20" s="1"/>
  <c r="A376" i="20"/>
  <c r="A377" i="20"/>
  <c r="A378" i="20"/>
  <c r="AL378" i="20" s="1"/>
  <c r="A379" i="20"/>
  <c r="AO379" i="20" s="1"/>
  <c r="A380" i="20"/>
  <c r="A381" i="20"/>
  <c r="A382" i="20"/>
  <c r="AJ382" i="20" s="1"/>
  <c r="A383" i="20"/>
  <c r="AI383" i="20" s="1"/>
  <c r="A384" i="20"/>
  <c r="A385" i="20"/>
  <c r="A386" i="20"/>
  <c r="A387" i="20"/>
  <c r="AN387" i="20" s="1"/>
  <c r="A388" i="20"/>
  <c r="A389" i="20"/>
  <c r="A390" i="20"/>
  <c r="A391" i="20"/>
  <c r="AQ391" i="20" s="1"/>
  <c r="A392" i="20"/>
  <c r="A393" i="20"/>
  <c r="A394" i="20"/>
  <c r="AH394" i="20" s="1"/>
  <c r="A395" i="20"/>
  <c r="AI395" i="20" s="1"/>
  <c r="A396" i="20"/>
  <c r="A397" i="20"/>
  <c r="A398" i="20"/>
  <c r="AI398" i="20" s="1"/>
  <c r="A399" i="20"/>
  <c r="AQ399" i="20" s="1"/>
  <c r="A400" i="20"/>
  <c r="A401" i="20"/>
  <c r="A402" i="20"/>
  <c r="A403" i="20"/>
  <c r="AI403" i="20" s="1"/>
  <c r="A404" i="20"/>
  <c r="A405" i="20"/>
  <c r="A406" i="20"/>
  <c r="AL406" i="20" s="1"/>
  <c r="A407" i="20"/>
  <c r="AH407" i="20" s="1"/>
  <c r="A408" i="20"/>
  <c r="A409" i="20"/>
  <c r="A410" i="20"/>
  <c r="AJ410" i="20" s="1"/>
  <c r="A411" i="20"/>
  <c r="AM411" i="20" s="1"/>
  <c r="A412" i="20"/>
  <c r="A413" i="20"/>
  <c r="A414" i="20"/>
  <c r="AH414" i="20" s="1"/>
  <c r="A415" i="20"/>
  <c r="AH415" i="20" s="1"/>
  <c r="A416" i="20"/>
  <c r="A417" i="20"/>
  <c r="A418" i="20"/>
  <c r="AH418" i="20" s="1"/>
  <c r="A419" i="20"/>
  <c r="A420" i="20"/>
  <c r="A421" i="20"/>
  <c r="A422" i="20"/>
  <c r="AP422" i="20" s="1"/>
  <c r="A423" i="20"/>
  <c r="AE423" i="20" s="1"/>
  <c r="A424" i="20"/>
  <c r="A425" i="20"/>
  <c r="A426" i="20"/>
  <c r="AC426" i="20" s="1"/>
  <c r="A427" i="20"/>
  <c r="AJ427" i="20" s="1"/>
  <c r="A428" i="20"/>
  <c r="A429" i="20"/>
  <c r="A430" i="20"/>
  <c r="AO430" i="20" s="1"/>
  <c r="A431" i="20"/>
  <c r="AI431" i="20" s="1"/>
  <c r="A432" i="20"/>
  <c r="A433" i="20"/>
  <c r="A434" i="20"/>
  <c r="A435" i="20"/>
  <c r="A436" i="20"/>
  <c r="A437" i="20"/>
  <c r="A438" i="20"/>
  <c r="A439" i="20"/>
  <c r="A440" i="20"/>
  <c r="A441" i="20"/>
  <c r="A442" i="20"/>
  <c r="AC442" i="20" s="1"/>
  <c r="A443" i="20"/>
  <c r="A444" i="20"/>
  <c r="A445" i="20"/>
  <c r="A446" i="20"/>
  <c r="AC446" i="20" s="1"/>
  <c r="A447" i="20"/>
  <c r="A448" i="20"/>
  <c r="A449" i="20"/>
  <c r="A450" i="20"/>
  <c r="AL450" i="20" s="1"/>
  <c r="A451" i="20"/>
  <c r="AN451" i="20" s="1"/>
  <c r="A452" i="20"/>
  <c r="A453" i="20"/>
  <c r="A454" i="20"/>
  <c r="A455" i="20"/>
  <c r="A456" i="20"/>
  <c r="A457" i="20"/>
  <c r="A458" i="20"/>
  <c r="AH458" i="20" s="1"/>
  <c r="A459" i="20"/>
  <c r="A460" i="20"/>
  <c r="A461" i="20"/>
  <c r="A462" i="20"/>
  <c r="AE462" i="20" s="1"/>
  <c r="A463" i="20"/>
  <c r="A464" i="20"/>
  <c r="A465" i="20"/>
  <c r="A466" i="20"/>
  <c r="AK466" i="20" s="1"/>
  <c r="A467" i="20"/>
  <c r="AQ467" i="20" s="1"/>
  <c r="A468" i="20"/>
  <c r="A469" i="20"/>
  <c r="A470" i="20"/>
  <c r="AI470" i="20" s="1"/>
  <c r="A471" i="20"/>
  <c r="A472" i="20"/>
  <c r="A473" i="20"/>
  <c r="A474" i="20"/>
  <c r="AI474" i="20" s="1"/>
  <c r="A475" i="20"/>
  <c r="A476" i="20"/>
  <c r="A477" i="20"/>
  <c r="A478" i="20"/>
  <c r="AN478" i="20" s="1"/>
  <c r="A479" i="20"/>
  <c r="A480" i="20"/>
  <c r="A481" i="20"/>
  <c r="A482" i="20"/>
  <c r="AO482" i="20" s="1"/>
  <c r="A483" i="20"/>
  <c r="AI483" i="20" s="1"/>
  <c r="A484" i="20"/>
  <c r="A485" i="20"/>
  <c r="A486" i="20"/>
  <c r="A487" i="20"/>
  <c r="A488" i="20"/>
  <c r="A489" i="20"/>
  <c r="A490" i="20"/>
  <c r="AQ490" i="20" s="1"/>
  <c r="A491" i="20"/>
  <c r="A492" i="20"/>
  <c r="A493" i="20"/>
  <c r="A494" i="20"/>
  <c r="AE494" i="20" s="1"/>
  <c r="A495" i="20"/>
  <c r="A496" i="20"/>
  <c r="A497" i="20"/>
  <c r="A498" i="20"/>
  <c r="AI498" i="20" s="1"/>
  <c r="A499" i="20"/>
  <c r="AG499" i="20" s="1"/>
  <c r="A500" i="20"/>
  <c r="A501" i="20"/>
  <c r="A502" i="20"/>
  <c r="AK502" i="20" s="1"/>
  <c r="A503" i="20"/>
  <c r="A504" i="20"/>
  <c r="A505" i="20"/>
  <c r="A506" i="20"/>
  <c r="AO506" i="20" s="1"/>
  <c r="A507" i="20"/>
  <c r="AE507" i="20" s="1"/>
  <c r="A508" i="20"/>
  <c r="A509" i="20"/>
  <c r="A510" i="20"/>
  <c r="AM510" i="20" s="1"/>
  <c r="A511" i="20"/>
  <c r="A512" i="20"/>
  <c r="A513" i="20"/>
  <c r="A514" i="20"/>
  <c r="A515" i="20"/>
  <c r="AI515" i="20" s="1"/>
  <c r="A516" i="20"/>
  <c r="A517" i="20"/>
  <c r="A518" i="20"/>
  <c r="AI518" i="20" s="1"/>
  <c r="A519" i="20"/>
  <c r="AJ519" i="20" s="1"/>
  <c r="A520" i="20"/>
  <c r="A521" i="20"/>
  <c r="A522" i="20"/>
  <c r="A523" i="20"/>
  <c r="AM523" i="20" s="1"/>
  <c r="A524" i="20"/>
  <c r="A525" i="20"/>
  <c r="A526" i="20"/>
  <c r="A527" i="20"/>
  <c r="A528" i="20"/>
  <c r="A529" i="20"/>
  <c r="A530" i="20"/>
  <c r="AK530" i="20" s="1"/>
  <c r="A531" i="20"/>
  <c r="AM531" i="20" s="1"/>
  <c r="A532" i="20"/>
  <c r="A533" i="20"/>
  <c r="A534" i="20"/>
  <c r="AK534" i="20" s="1"/>
  <c r="A535" i="20"/>
  <c r="A536" i="20"/>
  <c r="A537" i="20"/>
  <c r="A538" i="20"/>
  <c r="AJ538" i="20" s="1"/>
  <c r="B17" i="20"/>
  <c r="AR17" i="20"/>
  <c r="AS17" i="20"/>
  <c r="B19" i="20"/>
  <c r="AR19" i="20"/>
  <c r="AS19" i="20"/>
  <c r="B20" i="20"/>
  <c r="AR20" i="20"/>
  <c r="AS20" i="20"/>
  <c r="B18" i="20"/>
  <c r="AR18" i="20"/>
  <c r="AS18" i="20"/>
  <c r="B21" i="20"/>
  <c r="AR21" i="20"/>
  <c r="AS21" i="20"/>
  <c r="B22" i="20"/>
  <c r="AR22" i="20"/>
  <c r="AS22" i="20"/>
  <c r="B23" i="20"/>
  <c r="AR23" i="20"/>
  <c r="AS23" i="20"/>
  <c r="B16" i="20"/>
  <c r="AR16" i="20"/>
  <c r="AS16" i="20"/>
  <c r="B24" i="20"/>
  <c r="B25" i="20"/>
  <c r="AR24" i="20"/>
  <c r="AR25" i="20"/>
  <c r="AS24" i="20"/>
  <c r="AS25" i="20"/>
  <c r="B27" i="20"/>
  <c r="AR27" i="20"/>
  <c r="AS27" i="20"/>
  <c r="B26" i="20"/>
  <c r="AS26" i="20"/>
  <c r="B35" i="20"/>
  <c r="AR35" i="20"/>
  <c r="AS35" i="20"/>
  <c r="B127" i="20"/>
  <c r="AB27" i="37"/>
  <c r="AB28" i="37"/>
  <c r="B29" i="20"/>
  <c r="B30" i="20"/>
  <c r="AR29" i="20"/>
  <c r="AR30" i="20"/>
  <c r="AS29" i="20"/>
  <c r="AS30" i="20"/>
  <c r="B31" i="20"/>
  <c r="AR31" i="20"/>
  <c r="AS31" i="20"/>
  <c r="B28" i="20"/>
  <c r="B32" i="20"/>
  <c r="AR28" i="20"/>
  <c r="AR32" i="20"/>
  <c r="AS28" i="20"/>
  <c r="AS32" i="20"/>
  <c r="B34" i="20"/>
  <c r="AR34" i="20"/>
  <c r="AS34" i="20"/>
  <c r="B33" i="20"/>
  <c r="AR33" i="20"/>
  <c r="AS33" i="20"/>
  <c r="K42" i="20"/>
  <c r="B42" i="20"/>
  <c r="AR42" i="20"/>
  <c r="AS42" i="20"/>
  <c r="B37" i="20"/>
  <c r="AR37" i="20"/>
  <c r="AS37" i="20"/>
  <c r="B38" i="20"/>
  <c r="AR38" i="20"/>
  <c r="AS38" i="20"/>
  <c r="B36" i="20"/>
  <c r="AR36" i="20"/>
  <c r="AS36" i="20"/>
  <c r="B39" i="20"/>
  <c r="AR39" i="20"/>
  <c r="AS39" i="20"/>
  <c r="B44" i="20"/>
  <c r="AR44" i="20"/>
  <c r="AS44" i="20"/>
  <c r="B40" i="20"/>
  <c r="AR40" i="20"/>
  <c r="AS40" i="20"/>
  <c r="B43" i="20"/>
  <c r="AR43" i="20"/>
  <c r="AS43" i="20"/>
  <c r="B41" i="20"/>
  <c r="AR41" i="20"/>
  <c r="AS41" i="20"/>
  <c r="B45" i="20"/>
  <c r="AR45" i="20"/>
  <c r="AS45" i="20"/>
  <c r="B74" i="20"/>
  <c r="AR74" i="20"/>
  <c r="AS74" i="20"/>
  <c r="B76" i="20"/>
  <c r="AR76" i="20"/>
  <c r="AS76" i="20"/>
  <c r="B73" i="20"/>
  <c r="AR73" i="20"/>
  <c r="AS73" i="20"/>
  <c r="B75" i="20"/>
  <c r="AR75" i="20"/>
  <c r="AS75" i="20"/>
  <c r="B77" i="20"/>
  <c r="AR77" i="20"/>
  <c r="AS77" i="20"/>
  <c r="B59" i="20"/>
  <c r="AR59" i="20"/>
  <c r="AS59" i="20"/>
  <c r="B60" i="20"/>
  <c r="AR60" i="20"/>
  <c r="AS60" i="20"/>
  <c r="A137" i="20"/>
  <c r="B64" i="20"/>
  <c r="AR64" i="20"/>
  <c r="AS64" i="20"/>
  <c r="B62" i="20"/>
  <c r="AR62" i="20"/>
  <c r="AS62" i="20"/>
  <c r="B63" i="20"/>
  <c r="AR63" i="20"/>
  <c r="AS63" i="20"/>
  <c r="B57" i="20"/>
  <c r="AR57" i="20"/>
  <c r="AS57" i="20"/>
  <c r="B53" i="20"/>
  <c r="AR53" i="20"/>
  <c r="AS53" i="20"/>
  <c r="B52" i="20"/>
  <c r="AR52" i="20"/>
  <c r="AS52" i="20"/>
  <c r="B51" i="20"/>
  <c r="AR51" i="20"/>
  <c r="AS51" i="20"/>
  <c r="B46" i="20"/>
  <c r="AR46" i="20"/>
  <c r="AS46" i="20"/>
  <c r="B47" i="20"/>
  <c r="AR47" i="20"/>
  <c r="AS47" i="20"/>
  <c r="B49" i="20"/>
  <c r="AR49" i="20"/>
  <c r="AS49" i="20"/>
  <c r="B50" i="20"/>
  <c r="AR50" i="20"/>
  <c r="AS50" i="20"/>
  <c r="B48" i="20"/>
  <c r="AR48" i="20"/>
  <c r="AS48" i="20"/>
  <c r="B55" i="20"/>
  <c r="AR55" i="20"/>
  <c r="AS55" i="20"/>
  <c r="B56" i="20"/>
  <c r="AR56" i="20"/>
  <c r="AS56" i="20"/>
  <c r="B54" i="20"/>
  <c r="AR54" i="20"/>
  <c r="AS54" i="20"/>
  <c r="B70" i="20"/>
  <c r="AR70" i="20"/>
  <c r="AS70" i="20"/>
  <c r="B71" i="20"/>
  <c r="AR71" i="20"/>
  <c r="AS71" i="20"/>
  <c r="B72" i="20"/>
  <c r="AR72" i="20"/>
  <c r="AS72" i="20"/>
  <c r="B83" i="20"/>
  <c r="AR83" i="20"/>
  <c r="AS83" i="20"/>
  <c r="B84" i="20"/>
  <c r="AR84" i="20"/>
  <c r="AS84" i="20"/>
  <c r="D88" i="74"/>
  <c r="D89" i="74"/>
  <c r="D90" i="74"/>
  <c r="D91" i="74"/>
  <c r="H88" i="74"/>
  <c r="H89" i="74"/>
  <c r="H90" i="74"/>
  <c r="H91" i="74"/>
  <c r="D92" i="74"/>
  <c r="D93" i="74"/>
  <c r="D94" i="74"/>
  <c r="D95" i="74"/>
  <c r="H92" i="74"/>
  <c r="H93" i="74"/>
  <c r="H94" i="74"/>
  <c r="H95" i="74"/>
  <c r="D96" i="74"/>
  <c r="D97" i="74"/>
  <c r="H96" i="74"/>
  <c r="H97" i="74"/>
  <c r="D98" i="74"/>
  <c r="H98" i="74"/>
  <c r="D99" i="74"/>
  <c r="H99" i="74"/>
  <c r="H5" i="74"/>
  <c r="H6" i="74"/>
  <c r="H7" i="74"/>
  <c r="H8" i="74"/>
  <c r="H9" i="74"/>
  <c r="H10" i="74"/>
  <c r="H11" i="74"/>
  <c r="H12" i="74"/>
  <c r="H13" i="74"/>
  <c r="H14" i="74"/>
  <c r="H15" i="74"/>
  <c r="H16" i="74"/>
  <c r="H17" i="74"/>
  <c r="H18" i="74"/>
  <c r="H19" i="74"/>
  <c r="H20" i="74"/>
  <c r="H21" i="74"/>
  <c r="H22" i="74"/>
  <c r="H23" i="74"/>
  <c r="H24" i="74"/>
  <c r="H25" i="74"/>
  <c r="H26" i="74"/>
  <c r="H27" i="74"/>
  <c r="H28" i="74"/>
  <c r="H29" i="74"/>
  <c r="H30" i="74"/>
  <c r="H31" i="74"/>
  <c r="H32" i="74"/>
  <c r="H33" i="74"/>
  <c r="H34" i="74"/>
  <c r="H35" i="74"/>
  <c r="H36" i="74"/>
  <c r="H37" i="74"/>
  <c r="H38" i="74"/>
  <c r="H39" i="74"/>
  <c r="H40" i="74"/>
  <c r="H41" i="74"/>
  <c r="H42" i="74"/>
  <c r="H43" i="74"/>
  <c r="H44" i="74"/>
  <c r="H45" i="74"/>
  <c r="H46" i="74"/>
  <c r="H47" i="74"/>
  <c r="H48" i="74"/>
  <c r="H49" i="74"/>
  <c r="H50" i="74"/>
  <c r="H51" i="74"/>
  <c r="H52" i="74"/>
  <c r="H53" i="74"/>
  <c r="H54" i="74"/>
  <c r="H55" i="74"/>
  <c r="H56" i="74"/>
  <c r="H57" i="74"/>
  <c r="H58" i="74"/>
  <c r="H59" i="74"/>
  <c r="H60" i="74"/>
  <c r="H61" i="74"/>
  <c r="H62" i="74"/>
  <c r="H63" i="74"/>
  <c r="H64" i="74"/>
  <c r="H65" i="74"/>
  <c r="H66" i="74"/>
  <c r="H67" i="74"/>
  <c r="H68" i="74"/>
  <c r="H69" i="74"/>
  <c r="H70" i="74"/>
  <c r="H71" i="74"/>
  <c r="H72" i="74"/>
  <c r="H73" i="74"/>
  <c r="H74" i="74"/>
  <c r="H75" i="74"/>
  <c r="H76" i="74"/>
  <c r="H77" i="74"/>
  <c r="H78" i="74"/>
  <c r="H79" i="74"/>
  <c r="H80" i="74"/>
  <c r="H81" i="74"/>
  <c r="H82" i="74"/>
  <c r="H83" i="74"/>
  <c r="H84" i="74"/>
  <c r="H85" i="74"/>
  <c r="H86" i="74"/>
  <c r="H87" i="74"/>
  <c r="H100" i="74"/>
  <c r="H101" i="74"/>
  <c r="H102" i="74"/>
  <c r="H103" i="74"/>
  <c r="H104" i="74"/>
  <c r="H105" i="74"/>
  <c r="H106" i="74"/>
  <c r="H107" i="74"/>
  <c r="H108" i="74"/>
  <c r="H109" i="74"/>
  <c r="H110" i="74"/>
  <c r="H111" i="74"/>
  <c r="H112" i="74"/>
  <c r="H113" i="74"/>
  <c r="H114" i="74"/>
  <c r="H115" i="74"/>
  <c r="H116" i="74"/>
  <c r="H117" i="74"/>
  <c r="H118" i="74"/>
  <c r="H119" i="74"/>
  <c r="H120" i="74"/>
  <c r="H121" i="74"/>
  <c r="H122" i="74"/>
  <c r="H123" i="74"/>
  <c r="H124" i="74"/>
  <c r="H125" i="74"/>
  <c r="H126" i="74"/>
  <c r="H127" i="74"/>
  <c r="H128" i="74"/>
  <c r="H129" i="74"/>
  <c r="H130" i="74"/>
  <c r="H131" i="74"/>
  <c r="H132" i="74"/>
  <c r="H133" i="74"/>
  <c r="H134" i="74"/>
  <c r="H135" i="74"/>
  <c r="H136" i="74"/>
  <c r="H137" i="74"/>
  <c r="H138" i="74"/>
  <c r="H139" i="74"/>
  <c r="H140" i="74"/>
  <c r="H141" i="74"/>
  <c r="H142" i="74"/>
  <c r="H143" i="74"/>
  <c r="H144" i="74"/>
  <c r="H145" i="74"/>
  <c r="H146" i="74"/>
  <c r="H147" i="74"/>
  <c r="H148" i="74"/>
  <c r="H149" i="74"/>
  <c r="H150" i="74"/>
  <c r="H151" i="74"/>
  <c r="H152" i="74"/>
  <c r="H153" i="74"/>
  <c r="H154" i="74"/>
  <c r="H155" i="74"/>
  <c r="H156" i="74"/>
  <c r="H157" i="74"/>
  <c r="H158" i="74"/>
  <c r="H159" i="74"/>
  <c r="H160" i="74"/>
  <c r="H161" i="74"/>
  <c r="H162" i="74"/>
  <c r="H163" i="74"/>
  <c r="H164" i="74"/>
  <c r="H165" i="74"/>
  <c r="H166" i="74"/>
  <c r="H167" i="74"/>
  <c r="H168" i="74"/>
  <c r="H169" i="74"/>
  <c r="H170" i="74"/>
  <c r="H171" i="74"/>
  <c r="H172" i="74"/>
  <c r="H173" i="74"/>
  <c r="H174" i="74"/>
  <c r="H175" i="74"/>
  <c r="H176" i="74"/>
  <c r="H177" i="74"/>
  <c r="H178" i="74"/>
  <c r="H179" i="74"/>
  <c r="H180" i="74"/>
  <c r="H181" i="74"/>
  <c r="H182" i="74"/>
  <c r="H183" i="74"/>
  <c r="H184" i="74"/>
  <c r="H185" i="74"/>
  <c r="H186" i="74"/>
  <c r="H187" i="74"/>
  <c r="H188" i="74"/>
  <c r="H189" i="74"/>
  <c r="H190" i="74"/>
  <c r="H191" i="74"/>
  <c r="H192" i="74"/>
  <c r="H193" i="74"/>
  <c r="H194" i="74"/>
  <c r="H195" i="74"/>
  <c r="H196" i="74"/>
  <c r="H197" i="74"/>
  <c r="H198" i="74"/>
  <c r="H199" i="74"/>
  <c r="H200" i="74"/>
  <c r="H201" i="74"/>
  <c r="H202" i="74"/>
  <c r="H203" i="74"/>
  <c r="H204" i="74"/>
  <c r="H205" i="74"/>
  <c r="H206" i="74"/>
  <c r="H207" i="74"/>
  <c r="H208" i="74"/>
  <c r="H209" i="74"/>
  <c r="H210" i="74"/>
  <c r="H211" i="74"/>
  <c r="H212" i="74"/>
  <c r="H213" i="74"/>
  <c r="H214" i="74"/>
  <c r="H215" i="74"/>
  <c r="H216" i="74"/>
  <c r="H217" i="74"/>
  <c r="H218" i="74"/>
  <c r="H219" i="74"/>
  <c r="R11" i="14"/>
  <c r="J19" i="40"/>
  <c r="Y6" i="72" s="1"/>
  <c r="J20" i="40"/>
  <c r="Y8" i="72" s="1"/>
  <c r="J21" i="40"/>
  <c r="Y9" i="72" s="1"/>
  <c r="J22" i="40"/>
  <c r="Y10" i="72" s="1"/>
  <c r="J23" i="40"/>
  <c r="Y11" i="72" s="1"/>
  <c r="J24" i="40"/>
  <c r="Y12" i="72" s="1"/>
  <c r="J18" i="40"/>
  <c r="Y4" i="72" s="1"/>
  <c r="J17" i="40"/>
  <c r="Y3" i="72" s="1"/>
  <c r="I19" i="40"/>
  <c r="X6" i="72" s="1"/>
  <c r="I20" i="40"/>
  <c r="X8" i="72" s="1"/>
  <c r="I21" i="40"/>
  <c r="X9" i="72" s="1"/>
  <c r="I22" i="40"/>
  <c r="X10" i="72" s="1"/>
  <c r="I23" i="40"/>
  <c r="X11" i="72" s="1"/>
  <c r="I24" i="40"/>
  <c r="X12" i="72" s="1"/>
  <c r="I18" i="40"/>
  <c r="X4" i="72" s="1"/>
  <c r="I17" i="40"/>
  <c r="X3" i="72" s="1"/>
  <c r="AH23" i="40"/>
  <c r="AI23" i="40"/>
  <c r="AJ23" i="40"/>
  <c r="AK23" i="40"/>
  <c r="AL23" i="40"/>
  <c r="AN23" i="40"/>
  <c r="AO23" i="40"/>
  <c r="AP23" i="40"/>
  <c r="AQ23" i="40"/>
  <c r="A4" i="40"/>
  <c r="B7" i="86"/>
  <c r="AR32" i="40"/>
  <c r="L21" i="40" s="1"/>
  <c r="AN32" i="40"/>
  <c r="K21" i="40" s="1"/>
  <c r="Z9" i="72" s="1"/>
  <c r="AP22" i="40"/>
  <c r="L18" i="40" s="1"/>
  <c r="G21" i="36"/>
  <c r="W37" i="19"/>
  <c r="U37" i="19" s="1"/>
  <c r="X37" i="19"/>
  <c r="AJ59" i="14" s="1"/>
  <c r="Y37" i="19"/>
  <c r="Z37" i="19"/>
  <c r="W38" i="19"/>
  <c r="U38" i="19" s="1"/>
  <c r="X38" i="19"/>
  <c r="AJ60" i="14" s="1"/>
  <c r="Y38" i="19"/>
  <c r="Z38" i="19"/>
  <c r="A3" i="91"/>
  <c r="B3" i="37"/>
  <c r="B115" i="20"/>
  <c r="AR115" i="20"/>
  <c r="AS115" i="20"/>
  <c r="K108" i="20"/>
  <c r="K109" i="20"/>
  <c r="K107" i="20"/>
  <c r="K96" i="20"/>
  <c r="K93" i="20"/>
  <c r="K94" i="20"/>
  <c r="K91" i="20"/>
  <c r="K92" i="20"/>
  <c r="K90" i="20"/>
  <c r="K88" i="20"/>
  <c r="K89" i="20"/>
  <c r="K85" i="20"/>
  <c r="K82" i="20"/>
  <c r="K81" i="20"/>
  <c r="K67" i="20"/>
  <c r="K65" i="20"/>
  <c r="K66" i="20"/>
  <c r="K58" i="20"/>
  <c r="H23" i="36"/>
  <c r="C22" i="36"/>
  <c r="K22" i="36" s="1"/>
  <c r="B22" i="36"/>
  <c r="I22" i="36" s="1"/>
  <c r="F22" i="36"/>
  <c r="D22" i="36"/>
  <c r="D21" i="36"/>
  <c r="D17" i="36"/>
  <c r="E30" i="45"/>
  <c r="F19" i="36"/>
  <c r="W90" i="19"/>
  <c r="X90" i="19"/>
  <c r="AJ35" i="14" s="1"/>
  <c r="Y90" i="19"/>
  <c r="Z90" i="19"/>
  <c r="W6" i="19"/>
  <c r="U6" i="19" s="1"/>
  <c r="X6" i="19"/>
  <c r="Y6" i="19"/>
  <c r="Z6" i="19"/>
  <c r="W5" i="19"/>
  <c r="U5" i="19" s="1"/>
  <c r="X5" i="19"/>
  <c r="AJ26" i="14" s="1"/>
  <c r="Y5" i="19"/>
  <c r="Z5" i="19"/>
  <c r="G18" i="36"/>
  <c r="C20" i="36"/>
  <c r="K20" i="36" s="1"/>
  <c r="B20" i="36"/>
  <c r="J20" i="36" s="1"/>
  <c r="C9" i="36"/>
  <c r="B9" i="36"/>
  <c r="C16" i="36"/>
  <c r="K16" i="36" s="1"/>
  <c r="C17" i="36"/>
  <c r="K17" i="36" s="1"/>
  <c r="C18" i="36"/>
  <c r="K18" i="36" s="1"/>
  <c r="C19" i="36"/>
  <c r="K19" i="36" s="1"/>
  <c r="C21" i="36"/>
  <c r="K21" i="36" s="1"/>
  <c r="C15" i="36"/>
  <c r="K15" i="36" s="1"/>
  <c r="C6" i="36"/>
  <c r="D19" i="36"/>
  <c r="G19" i="36"/>
  <c r="G16" i="36"/>
  <c r="G15" i="36"/>
  <c r="D15" i="36"/>
  <c r="B15" i="36"/>
  <c r="I15" i="36" s="1"/>
  <c r="F16" i="36"/>
  <c r="F18" i="36"/>
  <c r="F20" i="36"/>
  <c r="F21" i="36"/>
  <c r="F15" i="36"/>
  <c r="E16" i="36"/>
  <c r="E17" i="36"/>
  <c r="E18" i="36"/>
  <c r="E19" i="36"/>
  <c r="E20" i="36"/>
  <c r="E21" i="36"/>
  <c r="E15" i="36"/>
  <c r="D16" i="36"/>
  <c r="D18" i="36"/>
  <c r="D20" i="36"/>
  <c r="C7" i="36"/>
  <c r="B7" i="36"/>
  <c r="C8" i="36"/>
  <c r="C10" i="36"/>
  <c r="B10" i="36"/>
  <c r="B6" i="36"/>
  <c r="AA131" i="14"/>
  <c r="AI131" i="14"/>
  <c r="AJ131" i="14"/>
  <c r="B16" i="36"/>
  <c r="B18" i="36"/>
  <c r="B17" i="36"/>
  <c r="J17" i="36" s="1"/>
  <c r="B19" i="36"/>
  <c r="B21" i="36"/>
  <c r="B8" i="36"/>
  <c r="T11" i="19"/>
  <c r="T88" i="19"/>
  <c r="W87" i="19"/>
  <c r="U87" i="19" s="1"/>
  <c r="X87" i="19"/>
  <c r="Y87" i="19"/>
  <c r="Z87" i="19"/>
  <c r="W88" i="19"/>
  <c r="U88" i="19" s="1"/>
  <c r="X88" i="19"/>
  <c r="Y88" i="19"/>
  <c r="Z88" i="19"/>
  <c r="T82" i="19"/>
  <c r="T66" i="19"/>
  <c r="W24" i="19"/>
  <c r="U24" i="19" s="1"/>
  <c r="X24" i="19"/>
  <c r="AJ43" i="14" s="1"/>
  <c r="Y24" i="19"/>
  <c r="Z24" i="19"/>
  <c r="Q93" i="19"/>
  <c r="R93" i="19"/>
  <c r="J93" i="19"/>
  <c r="K93" i="19"/>
  <c r="L93" i="19"/>
  <c r="M93" i="19"/>
  <c r="A3" i="19"/>
  <c r="B69" i="20"/>
  <c r="AR69" i="20"/>
  <c r="AS69" i="20"/>
  <c r="B58" i="20"/>
  <c r="B61" i="20"/>
  <c r="AR58" i="20"/>
  <c r="AR61" i="20"/>
  <c r="AS58" i="20"/>
  <c r="AS61" i="20"/>
  <c r="B65" i="20"/>
  <c r="B66" i="20"/>
  <c r="B67" i="20"/>
  <c r="AR65" i="20"/>
  <c r="AR66" i="20"/>
  <c r="AR67" i="20"/>
  <c r="AS65" i="20"/>
  <c r="AS66" i="20"/>
  <c r="AS67" i="20"/>
  <c r="B68" i="20"/>
  <c r="AR68" i="20"/>
  <c r="AS68" i="20"/>
  <c r="AI30" i="14"/>
  <c r="B80" i="20"/>
  <c r="AR80" i="20"/>
  <c r="AS80" i="20"/>
  <c r="B79" i="20"/>
  <c r="B78" i="20"/>
  <c r="AR79" i="20"/>
  <c r="AR78" i="20"/>
  <c r="AS79" i="20"/>
  <c r="AS78" i="20"/>
  <c r="B81" i="20"/>
  <c r="AR81" i="20"/>
  <c r="AS81" i="20"/>
  <c r="B82" i="20"/>
  <c r="B85" i="20"/>
  <c r="AR82" i="20"/>
  <c r="AR85" i="20"/>
  <c r="AS82" i="20"/>
  <c r="AS85" i="20"/>
  <c r="B87" i="20"/>
  <c r="AR87" i="20"/>
  <c r="AS87" i="20"/>
  <c r="B86" i="20"/>
  <c r="AR86" i="20"/>
  <c r="AS86" i="20"/>
  <c r="B92" i="20"/>
  <c r="AR92" i="20"/>
  <c r="AS92" i="20"/>
  <c r="B94" i="20"/>
  <c r="AR94" i="20"/>
  <c r="AS94" i="20"/>
  <c r="B93" i="20"/>
  <c r="AR93" i="20"/>
  <c r="AS93" i="20"/>
  <c r="B88" i="20"/>
  <c r="AR88" i="20"/>
  <c r="AS88" i="20"/>
  <c r="B90" i="20"/>
  <c r="AR90" i="20"/>
  <c r="AS90" i="20"/>
  <c r="B89" i="20"/>
  <c r="AR89" i="20"/>
  <c r="AS89" i="20"/>
  <c r="B95" i="20"/>
  <c r="AR95" i="20"/>
  <c r="AS95" i="20"/>
  <c r="B91" i="20"/>
  <c r="AR91" i="20"/>
  <c r="AS91" i="20"/>
  <c r="B99" i="20"/>
  <c r="AR99" i="20"/>
  <c r="AS99" i="20"/>
  <c r="B98" i="20"/>
  <c r="AR98" i="20"/>
  <c r="AS98" i="20"/>
  <c r="B96" i="20"/>
  <c r="B97" i="20"/>
  <c r="AR96" i="20"/>
  <c r="AR97" i="20"/>
  <c r="AS96" i="20"/>
  <c r="AS97" i="20"/>
  <c r="B100" i="20"/>
  <c r="B101" i="20"/>
  <c r="B102" i="20"/>
  <c r="AR100" i="20"/>
  <c r="AR101" i="20"/>
  <c r="AR102" i="20"/>
  <c r="AS100" i="20"/>
  <c r="AS101" i="20"/>
  <c r="AS102" i="20"/>
  <c r="B104" i="20"/>
  <c r="AR104" i="20"/>
  <c r="AS104" i="20"/>
  <c r="B103" i="20"/>
  <c r="AR103" i="20"/>
  <c r="AS103" i="20"/>
  <c r="T93" i="19"/>
  <c r="D7" i="36"/>
  <c r="B106" i="20"/>
  <c r="B105" i="20"/>
  <c r="AR105" i="20"/>
  <c r="AS105" i="20"/>
  <c r="B107" i="20"/>
  <c r="AR107" i="20"/>
  <c r="AS107" i="20"/>
  <c r="B108" i="20"/>
  <c r="AR108" i="20"/>
  <c r="AS108" i="20"/>
  <c r="B120" i="20"/>
  <c r="B116" i="20"/>
  <c r="B110" i="20"/>
  <c r="B111" i="20"/>
  <c r="B112" i="20"/>
  <c r="B129" i="20"/>
  <c r="B109" i="20"/>
  <c r="AR109" i="20"/>
  <c r="AR110" i="20"/>
  <c r="AS109" i="20"/>
  <c r="AS110" i="20"/>
  <c r="AR112" i="20"/>
  <c r="AS112" i="20"/>
  <c r="AR111" i="20"/>
  <c r="AS111" i="20"/>
  <c r="AR106" i="20"/>
  <c r="AS106" i="20"/>
  <c r="B113" i="20"/>
  <c r="B114" i="20"/>
  <c r="AR113" i="20"/>
  <c r="AR114" i="20"/>
  <c r="AS113" i="20"/>
  <c r="AS114" i="20"/>
  <c r="AR116" i="20"/>
  <c r="AS116" i="20"/>
  <c r="B123" i="20"/>
  <c r="AR123" i="20"/>
  <c r="AS123" i="20"/>
  <c r="B126" i="20"/>
  <c r="AR126" i="20"/>
  <c r="AS126" i="20"/>
  <c r="B121" i="20"/>
  <c r="AR121" i="20"/>
  <c r="AS121" i="20"/>
  <c r="B122" i="20"/>
  <c r="AR122" i="20"/>
  <c r="AS122" i="20"/>
  <c r="B117" i="20"/>
  <c r="AR117" i="20"/>
  <c r="AS117" i="20"/>
  <c r="B118" i="20"/>
  <c r="AR118" i="20"/>
  <c r="AS118" i="20"/>
  <c r="B119" i="20"/>
  <c r="B124" i="20"/>
  <c r="AR119" i="20"/>
  <c r="AR124" i="20"/>
  <c r="AS119" i="20"/>
  <c r="AS124" i="20"/>
  <c r="B125" i="20"/>
  <c r="AR125" i="20"/>
  <c r="AS125" i="20"/>
  <c r="AR120" i="20"/>
  <c r="AS120" i="20"/>
  <c r="AR127" i="20"/>
  <c r="AS127" i="20"/>
  <c r="AR132" i="20"/>
  <c r="AS132" i="20"/>
  <c r="AR136" i="20"/>
  <c r="AS136" i="20"/>
  <c r="B128" i="20"/>
  <c r="AR128" i="20"/>
  <c r="AR129" i="20"/>
  <c r="AS128" i="20"/>
  <c r="AS129" i="20"/>
  <c r="AR130" i="20"/>
  <c r="AS130" i="20"/>
  <c r="AR131" i="20"/>
  <c r="AS131" i="20"/>
  <c r="AS137" i="20"/>
  <c r="AR137" i="20"/>
  <c r="AR138" i="20"/>
  <c r="AR135" i="20"/>
  <c r="AS135" i="20"/>
  <c r="AR134" i="20"/>
  <c r="AS134" i="20"/>
  <c r="B138" i="20"/>
  <c r="AS138" i="20"/>
  <c r="AR133" i="20"/>
  <c r="AS133" i="20"/>
  <c r="B139" i="20"/>
  <c r="AR139" i="20"/>
  <c r="AS139" i="20"/>
  <c r="B140" i="20"/>
  <c r="AR140" i="20"/>
  <c r="AS140" i="20"/>
  <c r="B141" i="20"/>
  <c r="AR141" i="20"/>
  <c r="AS141" i="20"/>
  <c r="D118" i="75"/>
  <c r="D100" i="75"/>
  <c r="D37" i="75"/>
  <c r="D28" i="75"/>
  <c r="D64" i="75"/>
  <c r="D127" i="75"/>
  <c r="D46" i="75"/>
  <c r="D91" i="75"/>
  <c r="D145" i="75"/>
  <c r="D163" i="75"/>
  <c r="D73" i="75"/>
  <c r="D82" i="75"/>
  <c r="D55" i="75"/>
  <c r="D19" i="75"/>
  <c r="D10" i="75"/>
  <c r="D109" i="75"/>
  <c r="D4" i="74"/>
  <c r="D5" i="74"/>
  <c r="D6" i="74"/>
  <c r="D7" i="74"/>
  <c r="D8" i="74"/>
  <c r="D9" i="74"/>
  <c r="D10" i="74"/>
  <c r="D11" i="74"/>
  <c r="D12" i="74"/>
  <c r="D13" i="74"/>
  <c r="D14" i="74"/>
  <c r="D15" i="74"/>
  <c r="D16" i="74"/>
  <c r="D17" i="74"/>
  <c r="D18" i="74"/>
  <c r="D19" i="74"/>
  <c r="D20" i="74"/>
  <c r="D21" i="74"/>
  <c r="D22" i="74"/>
  <c r="D23" i="74"/>
  <c r="D24" i="74"/>
  <c r="D25" i="74"/>
  <c r="D26" i="74"/>
  <c r="D27" i="74"/>
  <c r="D28" i="74"/>
  <c r="D29" i="74"/>
  <c r="D30" i="74"/>
  <c r="D31" i="74"/>
  <c r="D32" i="74"/>
  <c r="D33" i="74"/>
  <c r="D34"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66" i="74"/>
  <c r="D67" i="74"/>
  <c r="D68" i="74"/>
  <c r="D69" i="74"/>
  <c r="D70" i="74"/>
  <c r="D71" i="74"/>
  <c r="D72" i="74"/>
  <c r="D73" i="74"/>
  <c r="D74" i="74"/>
  <c r="D75" i="74"/>
  <c r="D76" i="74"/>
  <c r="D77" i="74"/>
  <c r="D78" i="74"/>
  <c r="D79" i="74"/>
  <c r="D80" i="74"/>
  <c r="D81" i="74"/>
  <c r="D82" i="74"/>
  <c r="D83" i="74"/>
  <c r="D84" i="74"/>
  <c r="D85" i="74"/>
  <c r="D86" i="74"/>
  <c r="D87" i="74"/>
  <c r="D100" i="74"/>
  <c r="D101" i="74"/>
  <c r="D102" i="74"/>
  <c r="D103" i="74"/>
  <c r="D104" i="74"/>
  <c r="D105" i="74"/>
  <c r="D106" i="74"/>
  <c r="D107" i="74"/>
  <c r="D108" i="74"/>
  <c r="D109" i="74"/>
  <c r="D110" i="74"/>
  <c r="D111" i="74"/>
  <c r="D112" i="74"/>
  <c r="D113" i="74"/>
  <c r="D114" i="74"/>
  <c r="D115" i="74"/>
  <c r="D116" i="74"/>
  <c r="D117" i="74"/>
  <c r="D118" i="74"/>
  <c r="D119" i="74"/>
  <c r="D120" i="74"/>
  <c r="D121" i="74"/>
  <c r="D122" i="74"/>
  <c r="D123" i="74"/>
  <c r="D124" i="74"/>
  <c r="D125" i="74"/>
  <c r="D126" i="74"/>
  <c r="D127" i="74"/>
  <c r="D128" i="74"/>
  <c r="D129" i="74"/>
  <c r="D130" i="74"/>
  <c r="D131" i="74"/>
  <c r="D132" i="74"/>
  <c r="D133" i="74"/>
  <c r="D134" i="74"/>
  <c r="D135" i="74"/>
  <c r="D136" i="74"/>
  <c r="D137" i="74"/>
  <c r="D138" i="74"/>
  <c r="D139" i="74"/>
  <c r="D140" i="74"/>
  <c r="D141" i="74"/>
  <c r="D142" i="74"/>
  <c r="D143" i="74"/>
  <c r="D144" i="74"/>
  <c r="D145" i="74"/>
  <c r="D146" i="74"/>
  <c r="D147" i="74"/>
  <c r="D148" i="74"/>
  <c r="D149" i="74"/>
  <c r="D150" i="74"/>
  <c r="D151" i="74"/>
  <c r="D152" i="74"/>
  <c r="D153" i="74"/>
  <c r="D154" i="74"/>
  <c r="D155" i="74"/>
  <c r="D156" i="74"/>
  <c r="D157" i="74"/>
  <c r="D158" i="74"/>
  <c r="D159" i="74"/>
  <c r="D160" i="74"/>
  <c r="D161" i="74"/>
  <c r="D162" i="74"/>
  <c r="D163" i="74"/>
  <c r="D164" i="74"/>
  <c r="D165" i="74"/>
  <c r="D166" i="74"/>
  <c r="D167" i="74"/>
  <c r="D168" i="74"/>
  <c r="D169" i="74"/>
  <c r="D170" i="74"/>
  <c r="D171" i="74"/>
  <c r="D172" i="74"/>
  <c r="D173" i="74"/>
  <c r="D174" i="74"/>
  <c r="D175" i="74"/>
  <c r="D176" i="74"/>
  <c r="D177" i="74"/>
  <c r="D178" i="74"/>
  <c r="D179" i="74"/>
  <c r="D180" i="74"/>
  <c r="D181" i="74"/>
  <c r="D182" i="74"/>
  <c r="D183" i="74"/>
  <c r="D184" i="74"/>
  <c r="D185" i="74"/>
  <c r="D186" i="74"/>
  <c r="D187" i="74"/>
  <c r="D188" i="74"/>
  <c r="D189" i="74"/>
  <c r="D190" i="74"/>
  <c r="D191" i="74"/>
  <c r="D192" i="74"/>
  <c r="D193" i="74"/>
  <c r="D194" i="74"/>
  <c r="D195" i="74"/>
  <c r="D196" i="74"/>
  <c r="D197" i="74"/>
  <c r="D198" i="74"/>
  <c r="D199" i="74"/>
  <c r="D200" i="74"/>
  <c r="D201" i="74"/>
  <c r="D202" i="74"/>
  <c r="D203" i="74"/>
  <c r="D204" i="74"/>
  <c r="D205" i="74"/>
  <c r="D206" i="74"/>
  <c r="D207" i="74"/>
  <c r="D208" i="74"/>
  <c r="D209" i="74"/>
  <c r="D210" i="74"/>
  <c r="D211" i="74"/>
  <c r="D212" i="74"/>
  <c r="D213" i="74"/>
  <c r="D214" i="74"/>
  <c r="D215" i="74"/>
  <c r="D216" i="74"/>
  <c r="D217" i="74"/>
  <c r="D218" i="74"/>
  <c r="D219" i="74"/>
  <c r="AN21" i="40"/>
  <c r="K17" i="40" s="1"/>
  <c r="Z3" i="72" s="1"/>
  <c r="B5" i="86"/>
  <c r="AA127" i="14"/>
  <c r="AA128" i="14"/>
  <c r="AA129" i="14"/>
  <c r="AA130" i="14"/>
  <c r="AI127" i="14"/>
  <c r="AI128" i="14"/>
  <c r="AI129" i="14"/>
  <c r="AI130" i="14"/>
  <c r="AJ127" i="14"/>
  <c r="AJ128" i="14"/>
  <c r="AJ129" i="14"/>
  <c r="AJ130" i="14"/>
  <c r="AA126" i="14"/>
  <c r="AI126" i="14"/>
  <c r="AJ126" i="14"/>
  <c r="AA115" i="14"/>
  <c r="AA116" i="14"/>
  <c r="AA117" i="14"/>
  <c r="AA118" i="14"/>
  <c r="AA119" i="14"/>
  <c r="AA120" i="14"/>
  <c r="AA121" i="14"/>
  <c r="AA122" i="14"/>
  <c r="AA123" i="14"/>
  <c r="AA124" i="14"/>
  <c r="AA125" i="14"/>
  <c r="AI115" i="14"/>
  <c r="AI116" i="14"/>
  <c r="AI117" i="14"/>
  <c r="AI118" i="14"/>
  <c r="AI119" i="14"/>
  <c r="AI120" i="14"/>
  <c r="AI121" i="14"/>
  <c r="AI122" i="14"/>
  <c r="AI123" i="14"/>
  <c r="AI124" i="14"/>
  <c r="AI125" i="14"/>
  <c r="AJ115" i="14"/>
  <c r="AJ116" i="14"/>
  <c r="AJ117" i="14"/>
  <c r="AJ118" i="14"/>
  <c r="AJ119" i="14"/>
  <c r="AJ120" i="14"/>
  <c r="AJ121" i="14"/>
  <c r="AJ122" i="14"/>
  <c r="AJ123" i="14"/>
  <c r="AJ124" i="14"/>
  <c r="AJ125" i="14"/>
  <c r="AA111" i="14"/>
  <c r="AA112" i="14"/>
  <c r="AA113" i="14"/>
  <c r="AA114" i="14"/>
  <c r="AI111" i="14"/>
  <c r="AI112" i="14"/>
  <c r="AI113" i="14"/>
  <c r="AI114" i="14"/>
  <c r="AJ111" i="14"/>
  <c r="AJ112" i="14"/>
  <c r="AJ113" i="14"/>
  <c r="AJ114" i="14"/>
  <c r="A3" i="88"/>
  <c r="B3" i="89"/>
  <c r="B143" i="20"/>
  <c r="AR143" i="20"/>
  <c r="AS143" i="20"/>
  <c r="AR144" i="20"/>
  <c r="AS144" i="20"/>
  <c r="AB29" i="37"/>
  <c r="AB30" i="37"/>
  <c r="AB31" i="37"/>
  <c r="B142" i="20"/>
  <c r="AR142" i="20"/>
  <c r="AS142" i="20"/>
  <c r="AA13" i="14"/>
  <c r="AA15" i="14"/>
  <c r="AA24" i="14"/>
  <c r="AA17" i="14"/>
  <c r="AA29" i="14"/>
  <c r="AA32" i="14"/>
  <c r="AA7" i="14"/>
  <c r="A3" i="30"/>
  <c r="B9" i="86"/>
  <c r="C5" i="35"/>
  <c r="AI17" i="14"/>
  <c r="AI15" i="14"/>
  <c r="B10" i="86"/>
  <c r="AK22" i="40"/>
  <c r="AK24" i="40"/>
  <c r="AK25" i="40"/>
  <c r="AK31" i="40"/>
  <c r="AK32" i="40"/>
  <c r="AK33" i="40"/>
  <c r="AK34" i="40"/>
  <c r="AK35" i="40"/>
  <c r="AJ22" i="40"/>
  <c r="AJ24" i="40"/>
  <c r="AJ25" i="40"/>
  <c r="AJ31" i="40"/>
  <c r="AJ32" i="40"/>
  <c r="AJ33" i="40"/>
  <c r="AJ34" i="40"/>
  <c r="AJ35" i="40"/>
  <c r="AI22" i="40"/>
  <c r="AI21" i="40"/>
  <c r="AI24" i="40"/>
  <c r="AI25" i="40"/>
  <c r="AI31" i="40"/>
  <c r="AI32" i="40"/>
  <c r="AI33" i="40"/>
  <c r="AI34" i="40"/>
  <c r="AI35" i="40"/>
  <c r="AH22" i="40"/>
  <c r="AH24" i="40"/>
  <c r="AH25" i="40"/>
  <c r="AH31" i="40"/>
  <c r="AL31" i="40"/>
  <c r="AH32" i="40"/>
  <c r="AH33" i="40"/>
  <c r="AH34" i="40"/>
  <c r="AH35" i="40"/>
  <c r="AL35" i="40"/>
  <c r="AQ22" i="40"/>
  <c r="AQ24" i="40"/>
  <c r="AQ25" i="40"/>
  <c r="AQ31" i="40"/>
  <c r="AQ32" i="40"/>
  <c r="AQ33" i="40"/>
  <c r="AQ34" i="40"/>
  <c r="AQ35" i="40"/>
  <c r="AQ21" i="40"/>
  <c r="AP24" i="40"/>
  <c r="AP25" i="40"/>
  <c r="AP31" i="40"/>
  <c r="AP32" i="40"/>
  <c r="AO32" i="40"/>
  <c r="AP33" i="40"/>
  <c r="AP34" i="40"/>
  <c r="AP35" i="40"/>
  <c r="AP21" i="40"/>
  <c r="AO21" i="40"/>
  <c r="AO22" i="40"/>
  <c r="AO24" i="40"/>
  <c r="AO25" i="40"/>
  <c r="AO31" i="40"/>
  <c r="AO33" i="40"/>
  <c r="AO34" i="40"/>
  <c r="AO35" i="40"/>
  <c r="AN22" i="40"/>
  <c r="AN24" i="40"/>
  <c r="K19" i="40" s="1"/>
  <c r="Z6" i="72" s="1"/>
  <c r="AN25" i="40"/>
  <c r="AN31" i="40"/>
  <c r="AN33" i="40"/>
  <c r="K22" i="40" s="1"/>
  <c r="Z10" i="72" s="1"/>
  <c r="AN34" i="40"/>
  <c r="K23" i="40" s="1"/>
  <c r="AN35" i="40"/>
  <c r="K24" i="40" s="1"/>
  <c r="Z12" i="72" s="1"/>
  <c r="AL22" i="40"/>
  <c r="AL24" i="40"/>
  <c r="AL25" i="40"/>
  <c r="AL32" i="40"/>
  <c r="AL33" i="40"/>
  <c r="AL34" i="40"/>
  <c r="AL8" i="40"/>
  <c r="AL9" i="40"/>
  <c r="AL10" i="40"/>
  <c r="AL11" i="40"/>
  <c r="AL12" i="40"/>
  <c r="AL13" i="40"/>
  <c r="AL14" i="40"/>
  <c r="AL15" i="40"/>
  <c r="AL16" i="40"/>
  <c r="AL7" i="40"/>
  <c r="AK8" i="40"/>
  <c r="AK9" i="40"/>
  <c r="AK10" i="40"/>
  <c r="AK11" i="40"/>
  <c r="AK12" i="40"/>
  <c r="AK13" i="40"/>
  <c r="AK14" i="40"/>
  <c r="AK15" i="40"/>
  <c r="AK16" i="40"/>
  <c r="AK7" i="40"/>
  <c r="AJ8" i="40"/>
  <c r="AJ9" i="40"/>
  <c r="AJ10" i="40"/>
  <c r="AJ11" i="40"/>
  <c r="AJ12" i="40"/>
  <c r="AJ13" i="40"/>
  <c r="AJ14" i="40"/>
  <c r="AJ15" i="40"/>
  <c r="AJ16" i="40"/>
  <c r="AJ7" i="40"/>
  <c r="AI8" i="40"/>
  <c r="AI9" i="40"/>
  <c r="AI10" i="40"/>
  <c r="AI11" i="40"/>
  <c r="AI12" i="40"/>
  <c r="AI13" i="40"/>
  <c r="AI14" i="40"/>
  <c r="AI15" i="40"/>
  <c r="AI16" i="40"/>
  <c r="AI7" i="40"/>
  <c r="AH8" i="40"/>
  <c r="AH9" i="40"/>
  <c r="AH10" i="40"/>
  <c r="AH11" i="40"/>
  <c r="AH12" i="40"/>
  <c r="AH13" i="40"/>
  <c r="AH14" i="40"/>
  <c r="AH15" i="40"/>
  <c r="AH16" i="40"/>
  <c r="AH7" i="40"/>
  <c r="AL21" i="40"/>
  <c r="AK21" i="40"/>
  <c r="AJ21" i="40"/>
  <c r="AH21" i="40"/>
  <c r="B6" i="86"/>
  <c r="AR146" i="20"/>
  <c r="AS146" i="20"/>
  <c r="AR149" i="20"/>
  <c r="AS149" i="20"/>
  <c r="AR145" i="20"/>
  <c r="AS145" i="20"/>
  <c r="AR148" i="20"/>
  <c r="AS148" i="20"/>
  <c r="AR147" i="20"/>
  <c r="AS147" i="20"/>
  <c r="AR166" i="20"/>
  <c r="AR165" i="20"/>
  <c r="AS165" i="20"/>
  <c r="AS166" i="20"/>
  <c r="AR159" i="20"/>
  <c r="AS159" i="20"/>
  <c r="AR155" i="20"/>
  <c r="AS155" i="20"/>
  <c r="AR154" i="20"/>
  <c r="AS154" i="20"/>
  <c r="A3" i="36"/>
  <c r="B3" i="62"/>
  <c r="A3" i="20"/>
  <c r="S93" i="19"/>
  <c r="A3" i="67"/>
  <c r="AR204" i="20"/>
  <c r="AR151" i="20"/>
  <c r="AR153" i="20"/>
  <c r="AR150" i="20"/>
  <c r="AR152" i="20"/>
  <c r="AR178" i="20"/>
  <c r="AS204" i="20"/>
  <c r="AS151" i="20"/>
  <c r="AS153" i="20"/>
  <c r="AS150" i="20"/>
  <c r="AS152" i="20"/>
  <c r="AS178" i="20"/>
  <c r="B157" i="20"/>
  <c r="AR157" i="20"/>
  <c r="AS157" i="20"/>
  <c r="AJ76" i="14"/>
  <c r="AJ77" i="14"/>
  <c r="AJ78" i="14"/>
  <c r="AJ79" i="14"/>
  <c r="AJ80" i="14"/>
  <c r="AJ81" i="14"/>
  <c r="AJ82" i="14"/>
  <c r="AJ83" i="14"/>
  <c r="AJ84" i="14"/>
  <c r="AJ85" i="14"/>
  <c r="AJ86" i="14"/>
  <c r="AJ87" i="14"/>
  <c r="AJ88" i="14"/>
  <c r="AJ89" i="14"/>
  <c r="AJ90" i="14"/>
  <c r="AJ91" i="14"/>
  <c r="AJ92" i="14"/>
  <c r="AJ72" i="14"/>
  <c r="AJ40" i="14"/>
  <c r="AJ62" i="14"/>
  <c r="AJ68" i="14"/>
  <c r="AJ93" i="14"/>
  <c r="AJ94" i="14"/>
  <c r="AJ95" i="14"/>
  <c r="AJ96" i="14"/>
  <c r="AJ97" i="14"/>
  <c r="AJ98" i="14"/>
  <c r="AJ99" i="14"/>
  <c r="AJ100" i="14"/>
  <c r="AJ101" i="14"/>
  <c r="AJ102" i="14"/>
  <c r="AJ103" i="14"/>
  <c r="AJ104" i="14"/>
  <c r="AJ7" i="14"/>
  <c r="AJ69" i="14"/>
  <c r="AJ70" i="14"/>
  <c r="AJ71" i="14"/>
  <c r="AJ73" i="14"/>
  <c r="AJ75" i="14"/>
  <c r="AJ105" i="14"/>
  <c r="AJ106" i="14"/>
  <c r="AJ107" i="14"/>
  <c r="AJ108" i="14"/>
  <c r="AJ109" i="14"/>
  <c r="AJ74" i="14"/>
  <c r="AJ12" i="14"/>
  <c r="AJ110" i="14"/>
  <c r="AJ28" i="14"/>
  <c r="X23" i="19"/>
  <c r="AJ42" i="14" s="1"/>
  <c r="X25" i="19"/>
  <c r="AJ41" i="14" s="1"/>
  <c r="X26" i="19"/>
  <c r="AJ46" i="14" s="1"/>
  <c r="X27" i="19"/>
  <c r="AJ48" i="14" s="1"/>
  <c r="X28" i="19"/>
  <c r="X29" i="19"/>
  <c r="AJ52" i="14" s="1"/>
  <c r="X30" i="19"/>
  <c r="X31" i="19"/>
  <c r="AJ54" i="14" s="1"/>
  <c r="X18" i="19"/>
  <c r="X32" i="19"/>
  <c r="AJ50" i="14" s="1"/>
  <c r="X33" i="19"/>
  <c r="AJ55" i="14" s="1"/>
  <c r="X34" i="19"/>
  <c r="AJ56" i="14" s="1"/>
  <c r="X35" i="19"/>
  <c r="AJ57" i="14" s="1"/>
  <c r="X19" i="19"/>
  <c r="AJ33" i="14" s="1"/>
  <c r="X20" i="19"/>
  <c r="AJ34" i="14" s="1"/>
  <c r="X36" i="19"/>
  <c r="AJ58" i="14" s="1"/>
  <c r="X21" i="19"/>
  <c r="AJ39" i="14" s="1"/>
  <c r="X8" i="19"/>
  <c r="AJ21" i="14"/>
  <c r="X22" i="19"/>
  <c r="AJ38" i="14" s="1"/>
  <c r="X39" i="19"/>
  <c r="AJ44" i="14" s="1"/>
  <c r="X40" i="19"/>
  <c r="AJ45" i="14" s="1"/>
  <c r="X41" i="19"/>
  <c r="AJ47" i="14" s="1"/>
  <c r="X42" i="19"/>
  <c r="AJ49" i="14" s="1"/>
  <c r="X43" i="19"/>
  <c r="X44" i="19"/>
  <c r="X9" i="19"/>
  <c r="X10" i="19"/>
  <c r="X45" i="19"/>
  <c r="X54" i="19"/>
  <c r="AJ5" i="14" s="1"/>
  <c r="X11" i="19"/>
  <c r="AJ6" i="14" s="1"/>
  <c r="X55" i="19"/>
  <c r="X56" i="19"/>
  <c r="X57" i="19"/>
  <c r="X58" i="19"/>
  <c r="X59" i="19"/>
  <c r="X60" i="19"/>
  <c r="X61" i="19"/>
  <c r="X62" i="19"/>
  <c r="X63" i="19"/>
  <c r="X64" i="19"/>
  <c r="X65" i="19"/>
  <c r="X48" i="19"/>
  <c r="X12" i="19"/>
  <c r="X13" i="19"/>
  <c r="X66" i="19"/>
  <c r="X67" i="19"/>
  <c r="AJ16" i="14" s="1"/>
  <c r="X49" i="19"/>
  <c r="X50" i="19"/>
  <c r="X68" i="19"/>
  <c r="X14" i="19"/>
  <c r="AJ13" i="14" s="1"/>
  <c r="X16" i="19"/>
  <c r="AJ18" i="14" s="1"/>
  <c r="X69" i="19"/>
  <c r="X70" i="19"/>
  <c r="X71" i="19"/>
  <c r="X72" i="19"/>
  <c r="X73" i="19"/>
  <c r="X74" i="19"/>
  <c r="X75" i="19"/>
  <c r="X15" i="19"/>
  <c r="AJ30" i="14" s="1"/>
  <c r="X51" i="19"/>
  <c r="AJ64" i="14"/>
  <c r="X76" i="19"/>
  <c r="X77" i="19"/>
  <c r="X78" i="19"/>
  <c r="X79" i="19"/>
  <c r="X80" i="19"/>
  <c r="X81" i="19"/>
  <c r="X89" i="19"/>
  <c r="AJ31" i="14" s="1"/>
  <c r="X82" i="19"/>
  <c r="AJ24" i="14" s="1"/>
  <c r="X83" i="19"/>
  <c r="AJ25" i="14" s="1"/>
  <c r="X84" i="19"/>
  <c r="X85" i="19"/>
  <c r="X52" i="19"/>
  <c r="X53" i="19"/>
  <c r="X91" i="19"/>
  <c r="AJ36" i="14" s="1"/>
  <c r="X92" i="19"/>
  <c r="AJ37" i="14" s="1"/>
  <c r="X86" i="19"/>
  <c r="X17" i="19"/>
  <c r="AJ32" i="14" s="1"/>
  <c r="Z17" i="19"/>
  <c r="Y17" i="19"/>
  <c r="AJ65" i="14"/>
  <c r="AJ61" i="14"/>
  <c r="AJ9" i="14"/>
  <c r="AJ66" i="14"/>
  <c r="AJ63" i="14"/>
  <c r="AJ67" i="14"/>
  <c r="B158" i="20"/>
  <c r="AR158" i="20"/>
  <c r="AS158" i="20"/>
  <c r="B156" i="20"/>
  <c r="AR156" i="20"/>
  <c r="AS156" i="20"/>
  <c r="I93" i="19"/>
  <c r="H93" i="19"/>
  <c r="W17" i="19"/>
  <c r="U17" i="19" s="1"/>
  <c r="W45" i="19"/>
  <c r="U45" i="19" s="1"/>
  <c r="Y45" i="19"/>
  <c r="Z45" i="19"/>
  <c r="AR195" i="20"/>
  <c r="AS195" i="20"/>
  <c r="AR206" i="20"/>
  <c r="AS206" i="20"/>
  <c r="AR205" i="20"/>
  <c r="AS205" i="20"/>
  <c r="C5" i="43"/>
  <c r="AS162" i="20"/>
  <c r="AR162" i="20"/>
  <c r="B162" i="20"/>
  <c r="AS161" i="20"/>
  <c r="AR161" i="20"/>
  <c r="B161" i="20"/>
  <c r="AS160" i="20"/>
  <c r="AR160" i="20"/>
  <c r="B160" i="20"/>
  <c r="AS163" i="20"/>
  <c r="AR163" i="20"/>
  <c r="B163" i="20"/>
  <c r="AS164" i="20"/>
  <c r="AR164" i="20"/>
  <c r="B164" i="20"/>
  <c r="AS167" i="20"/>
  <c r="AR167" i="20"/>
  <c r="B167" i="20"/>
  <c r="AS169" i="20"/>
  <c r="AR169" i="20"/>
  <c r="B169" i="20"/>
  <c r="AS175" i="20"/>
  <c r="AR175" i="20"/>
  <c r="B175" i="20"/>
  <c r="AS171" i="20"/>
  <c r="AR171" i="20"/>
  <c r="B171" i="20"/>
  <c r="AS170" i="20"/>
  <c r="AR170" i="20"/>
  <c r="B170" i="20"/>
  <c r="AS174" i="20"/>
  <c r="AR174" i="20"/>
  <c r="B174" i="20"/>
  <c r="AS173" i="20"/>
  <c r="AR173" i="20"/>
  <c r="B173" i="20"/>
  <c r="AS172" i="20"/>
  <c r="AR172" i="20"/>
  <c r="B172" i="20"/>
  <c r="AS168" i="20"/>
  <c r="AR168" i="20"/>
  <c r="B168" i="20"/>
  <c r="AS182" i="20"/>
  <c r="AR182" i="20"/>
  <c r="B182" i="20"/>
  <c r="AS181" i="20"/>
  <c r="AR181" i="20"/>
  <c r="B181" i="20"/>
  <c r="AS180" i="20"/>
  <c r="AR180" i="20"/>
  <c r="B180" i="20"/>
  <c r="AS179" i="20"/>
  <c r="AR179" i="20"/>
  <c r="B179" i="20"/>
  <c r="AS185" i="20"/>
  <c r="AR185" i="20"/>
  <c r="B185" i="20"/>
  <c r="AS184" i="20"/>
  <c r="AR184" i="20"/>
  <c r="B184" i="20"/>
  <c r="AS183" i="20"/>
  <c r="AR183" i="20"/>
  <c r="B183" i="20"/>
  <c r="AS189" i="20"/>
  <c r="AR189" i="20"/>
  <c r="B189" i="20"/>
  <c r="AS186" i="20"/>
  <c r="AR186" i="20"/>
  <c r="B186" i="20"/>
  <c r="AS188" i="20"/>
  <c r="AR188" i="20"/>
  <c r="B188" i="20"/>
  <c r="AS193" i="20"/>
  <c r="AR193" i="20"/>
  <c r="B193" i="20"/>
  <c r="AS192" i="20"/>
  <c r="AR192" i="20"/>
  <c r="B192" i="20"/>
  <c r="AS187" i="20"/>
  <c r="AR187" i="20"/>
  <c r="B187" i="20"/>
  <c r="AS191" i="20"/>
  <c r="AR191" i="20"/>
  <c r="B191" i="20"/>
  <c r="AS194" i="20"/>
  <c r="AR194" i="20"/>
  <c r="B194" i="20"/>
  <c r="AS198" i="20"/>
  <c r="AR198" i="20"/>
  <c r="B198" i="20"/>
  <c r="AS202" i="20"/>
  <c r="AR202" i="20"/>
  <c r="AS197" i="20"/>
  <c r="AR197" i="20"/>
  <c r="B197" i="20"/>
  <c r="AS200" i="20"/>
  <c r="AR200" i="20"/>
  <c r="B200" i="20"/>
  <c r="AS208" i="20"/>
  <c r="AR208" i="20"/>
  <c r="B208" i="20"/>
  <c r="AS196" i="20"/>
  <c r="AR196" i="20"/>
  <c r="B196" i="20"/>
  <c r="AS199" i="20"/>
  <c r="AR199" i="20"/>
  <c r="B199" i="20"/>
  <c r="AS207" i="20"/>
  <c r="AR207" i="20"/>
  <c r="B207" i="20"/>
  <c r="AS201" i="20"/>
  <c r="AR201" i="20"/>
  <c r="B201" i="20"/>
  <c r="AS231" i="20"/>
  <c r="AR231" i="20"/>
  <c r="B231" i="20"/>
  <c r="AS230" i="20"/>
  <c r="AR230" i="20"/>
  <c r="B230" i="20"/>
  <c r="AS229" i="20"/>
  <c r="AR229" i="20"/>
  <c r="B229" i="20"/>
  <c r="AS228" i="20"/>
  <c r="AR228" i="20"/>
  <c r="B228" i="20"/>
  <c r="AS227" i="20"/>
  <c r="AR227" i="20"/>
  <c r="B227" i="20"/>
  <c r="AS226" i="20"/>
  <c r="AR226" i="20"/>
  <c r="B226" i="20"/>
  <c r="AS225" i="20"/>
  <c r="AR225" i="20"/>
  <c r="B225" i="20"/>
  <c r="AS224" i="20"/>
  <c r="AR224" i="20"/>
  <c r="B224" i="20"/>
  <c r="AS223" i="20"/>
  <c r="AR223" i="20"/>
  <c r="B223" i="20"/>
  <c r="AS222" i="20"/>
  <c r="AR222" i="20"/>
  <c r="B222" i="20"/>
  <c r="AS221" i="20"/>
  <c r="AR221" i="20"/>
  <c r="B221" i="20"/>
  <c r="AS216" i="20"/>
  <c r="AR216" i="20"/>
  <c r="B216" i="20"/>
  <c r="AS190" i="20"/>
  <c r="AR190" i="20"/>
  <c r="AS203" i="20"/>
  <c r="AR203" i="20"/>
  <c r="AS215" i="20"/>
  <c r="AR215" i="20"/>
  <c r="B215" i="20"/>
  <c r="AS214" i="20"/>
  <c r="AR214" i="20"/>
  <c r="B214" i="20"/>
  <c r="AS177" i="20"/>
  <c r="AR177" i="20"/>
  <c r="AS211" i="20"/>
  <c r="AR211" i="20"/>
  <c r="B211" i="20"/>
  <c r="AS210" i="20"/>
  <c r="AR210" i="20"/>
  <c r="B210" i="20"/>
  <c r="AS176" i="20"/>
  <c r="AR176" i="20"/>
  <c r="AS209" i="20"/>
  <c r="AR209" i="20"/>
  <c r="B209" i="20"/>
  <c r="AS212" i="20"/>
  <c r="AR212" i="20"/>
  <c r="B212" i="20"/>
  <c r="AS213" i="20"/>
  <c r="AR213" i="20"/>
  <c r="B213" i="20"/>
  <c r="AS217" i="20"/>
  <c r="AR217" i="20"/>
  <c r="B217" i="20"/>
  <c r="AS218" i="20"/>
  <c r="AR218" i="20"/>
  <c r="B218" i="20"/>
  <c r="AS220" i="20"/>
  <c r="AR220" i="20"/>
  <c r="B220" i="20"/>
  <c r="AS219" i="20"/>
  <c r="AR219" i="20"/>
  <c r="B219" i="20"/>
  <c r="AS234" i="20"/>
  <c r="AR234" i="20"/>
  <c r="B234" i="20"/>
  <c r="AS233" i="20"/>
  <c r="AR233" i="20"/>
  <c r="B233" i="20"/>
  <c r="AS232" i="20"/>
  <c r="AR232" i="20"/>
  <c r="B232" i="20"/>
  <c r="AS235" i="20"/>
  <c r="AR235" i="20"/>
  <c r="B235" i="20"/>
  <c r="AS236" i="20"/>
  <c r="AR236" i="20"/>
  <c r="B236" i="20"/>
  <c r="AS237" i="20"/>
  <c r="AR237" i="20"/>
  <c r="B237" i="20"/>
  <c r="AS241" i="20"/>
  <c r="AR241" i="20"/>
  <c r="B241" i="20"/>
  <c r="AS240" i="20"/>
  <c r="AR240" i="20"/>
  <c r="B240" i="20"/>
  <c r="AS239" i="20"/>
  <c r="AR239" i="20"/>
  <c r="B239" i="20"/>
  <c r="AS238" i="20"/>
  <c r="AR238" i="20"/>
  <c r="B238" i="20"/>
  <c r="AS242" i="20"/>
  <c r="AR242" i="20"/>
  <c r="B242" i="20"/>
  <c r="AS244" i="20"/>
  <c r="AR244" i="20"/>
  <c r="B244" i="20"/>
  <c r="AS243" i="20"/>
  <c r="AR243" i="20"/>
  <c r="B243" i="20"/>
  <c r="AS246" i="20"/>
  <c r="AR246" i="20"/>
  <c r="B246" i="20"/>
  <c r="AS245" i="20"/>
  <c r="AR245" i="20"/>
  <c r="B245" i="20"/>
  <c r="AS247" i="20"/>
  <c r="AR247" i="20"/>
  <c r="B247" i="20"/>
  <c r="AS249" i="20"/>
  <c r="AR249" i="20"/>
  <c r="B249" i="20"/>
  <c r="AS248" i="20"/>
  <c r="AR248" i="20"/>
  <c r="B248" i="20"/>
  <c r="AS252" i="20"/>
  <c r="AR252" i="20"/>
  <c r="B252" i="20"/>
  <c r="AS251" i="20"/>
  <c r="AR251" i="20"/>
  <c r="B251" i="20"/>
  <c r="AS250" i="20"/>
  <c r="AR250" i="20"/>
  <c r="B250" i="20"/>
  <c r="AS254" i="20"/>
  <c r="AR254" i="20"/>
  <c r="B254" i="20"/>
  <c r="AS253" i="20"/>
  <c r="AR253" i="20"/>
  <c r="B253" i="20"/>
  <c r="AS255" i="20"/>
  <c r="AR255" i="20"/>
  <c r="B255" i="20"/>
  <c r="AS257" i="20"/>
  <c r="AR257" i="20"/>
  <c r="B257" i="20"/>
  <c r="AS256" i="20"/>
  <c r="AR256" i="20"/>
  <c r="B256" i="20"/>
  <c r="AS258" i="20"/>
  <c r="AR258" i="20"/>
  <c r="B258" i="20"/>
  <c r="AS259" i="20"/>
  <c r="AR259" i="20"/>
  <c r="B259" i="20"/>
  <c r="AS264" i="20"/>
  <c r="AR264" i="20"/>
  <c r="B264" i="20"/>
  <c r="AS263" i="20"/>
  <c r="AR263" i="20"/>
  <c r="B263" i="20"/>
  <c r="AS262" i="20"/>
  <c r="AR262" i="20"/>
  <c r="B262" i="20"/>
  <c r="AS261" i="20"/>
  <c r="AR261" i="20"/>
  <c r="B261" i="20"/>
  <c r="AS260" i="20"/>
  <c r="AR260" i="20"/>
  <c r="B260" i="20"/>
  <c r="AS268" i="20"/>
  <c r="AR268" i="20"/>
  <c r="B268" i="20"/>
  <c r="AS267" i="20"/>
  <c r="AR267" i="20"/>
  <c r="B267" i="20"/>
  <c r="AS266" i="20"/>
  <c r="AR266" i="20"/>
  <c r="B266" i="20"/>
  <c r="AS265" i="20"/>
  <c r="AR265" i="20"/>
  <c r="B265" i="20"/>
  <c r="AS270" i="20"/>
  <c r="AR270" i="20"/>
  <c r="B270" i="20"/>
  <c r="AS269" i="20"/>
  <c r="AR269" i="20"/>
  <c r="B269" i="20"/>
  <c r="AS272" i="20"/>
  <c r="AR272" i="20"/>
  <c r="B272" i="20"/>
  <c r="AS271" i="20"/>
  <c r="AR271" i="20"/>
  <c r="B271" i="20"/>
  <c r="AS273" i="20"/>
  <c r="AR273" i="20"/>
  <c r="B273" i="20"/>
  <c r="AS274" i="20"/>
  <c r="AR274" i="20"/>
  <c r="B274" i="20"/>
  <c r="AS275" i="20"/>
  <c r="AR275" i="20"/>
  <c r="B275" i="20"/>
  <c r="AS276" i="20"/>
  <c r="AR276" i="20"/>
  <c r="B276" i="20"/>
  <c r="AS277" i="20"/>
  <c r="AR277" i="20"/>
  <c r="B277" i="20"/>
  <c r="AS278" i="20"/>
  <c r="AR278" i="20"/>
  <c r="B278" i="20"/>
  <c r="AS279" i="20"/>
  <c r="AR279" i="20"/>
  <c r="B279" i="20"/>
  <c r="AS280" i="20"/>
  <c r="AR280" i="20"/>
  <c r="B280" i="20"/>
  <c r="AS282" i="20"/>
  <c r="AR282" i="20"/>
  <c r="B282" i="20"/>
  <c r="AS281" i="20"/>
  <c r="AR281" i="20"/>
  <c r="B281" i="20"/>
  <c r="AS284" i="20"/>
  <c r="AR284" i="20"/>
  <c r="B284" i="20"/>
  <c r="AS283" i="20"/>
  <c r="AR283" i="20"/>
  <c r="B283" i="20"/>
  <c r="AS289" i="20"/>
  <c r="AR289" i="20"/>
  <c r="B289" i="20"/>
  <c r="AS288" i="20"/>
  <c r="AR288" i="20"/>
  <c r="B288" i="20"/>
  <c r="AS287" i="20"/>
  <c r="AR287" i="20"/>
  <c r="B287" i="20"/>
  <c r="AS286" i="20"/>
  <c r="AR286" i="20"/>
  <c r="B286" i="20"/>
  <c r="AS285" i="20"/>
  <c r="AR285" i="20"/>
  <c r="B285" i="20"/>
  <c r="AS292" i="20"/>
  <c r="AR292" i="20"/>
  <c r="B292" i="20"/>
  <c r="AS291" i="20"/>
  <c r="AR291" i="20"/>
  <c r="B291" i="20"/>
  <c r="AS290" i="20"/>
  <c r="AR290" i="20"/>
  <c r="B290" i="20"/>
  <c r="AS303" i="20"/>
  <c r="AR303" i="20"/>
  <c r="B303" i="20"/>
  <c r="AS302" i="20"/>
  <c r="AR302" i="20"/>
  <c r="B302" i="20"/>
  <c r="AS301" i="20"/>
  <c r="AR301" i="20"/>
  <c r="B301" i="20"/>
  <c r="AS300" i="20"/>
  <c r="AR300" i="20"/>
  <c r="B300" i="20"/>
  <c r="AS299" i="20"/>
  <c r="AR299" i="20"/>
  <c r="B299" i="20"/>
  <c r="AS298" i="20"/>
  <c r="AR298" i="20"/>
  <c r="B298" i="20"/>
  <c r="AS297" i="20"/>
  <c r="AR297" i="20"/>
  <c r="B297" i="20"/>
  <c r="AS296" i="20"/>
  <c r="AR296" i="20"/>
  <c r="B296" i="20"/>
  <c r="AS295" i="20"/>
  <c r="AR295" i="20"/>
  <c r="B295" i="20"/>
  <c r="AS294" i="20"/>
  <c r="AR294" i="20"/>
  <c r="B294" i="20"/>
  <c r="AS293" i="20"/>
  <c r="AR293" i="20"/>
  <c r="B293" i="20"/>
  <c r="AS306" i="20"/>
  <c r="AR306" i="20"/>
  <c r="B306" i="20"/>
  <c r="AS305" i="20"/>
  <c r="AR305" i="20"/>
  <c r="B305" i="20"/>
  <c r="AS304" i="20"/>
  <c r="AR304" i="20"/>
  <c r="B304" i="20"/>
  <c r="AS312" i="20"/>
  <c r="AR312" i="20"/>
  <c r="B312" i="20"/>
  <c r="AS311" i="20"/>
  <c r="AR311" i="20"/>
  <c r="B311" i="20"/>
  <c r="AS310" i="20"/>
  <c r="AR310" i="20"/>
  <c r="B310" i="20"/>
  <c r="AS309" i="20"/>
  <c r="AR309" i="20"/>
  <c r="B309" i="20"/>
  <c r="AS308" i="20"/>
  <c r="AR308" i="20"/>
  <c r="B308" i="20"/>
  <c r="AS307" i="20"/>
  <c r="AR307" i="20"/>
  <c r="B307" i="20"/>
  <c r="AS314" i="20"/>
  <c r="AR314" i="20"/>
  <c r="B314" i="20"/>
  <c r="AS313" i="20"/>
  <c r="AR313" i="20"/>
  <c r="B313" i="20"/>
  <c r="AS316" i="20"/>
  <c r="AR316" i="20"/>
  <c r="B316" i="20"/>
  <c r="AS315" i="20"/>
  <c r="AR315" i="20"/>
  <c r="B315" i="20"/>
  <c r="AS317" i="20"/>
  <c r="AR317" i="20"/>
  <c r="B317" i="20"/>
  <c r="AS318" i="20"/>
  <c r="AR318" i="20"/>
  <c r="B318" i="20"/>
  <c r="AS319" i="20"/>
  <c r="AR319" i="20"/>
  <c r="B319" i="20"/>
  <c r="AS321" i="20"/>
  <c r="AR321" i="20"/>
  <c r="B321" i="20"/>
  <c r="AS320" i="20"/>
  <c r="AR320" i="20"/>
  <c r="B320" i="20"/>
  <c r="AS322" i="20"/>
  <c r="AR322" i="20"/>
  <c r="B322" i="20"/>
  <c r="AS323" i="20"/>
  <c r="AR323" i="20"/>
  <c r="B323" i="20"/>
  <c r="AS324" i="20"/>
  <c r="AR324" i="20"/>
  <c r="B324" i="20"/>
  <c r="AS325" i="20"/>
  <c r="AR325" i="20"/>
  <c r="B325" i="20"/>
  <c r="AS327" i="20"/>
  <c r="AR327" i="20"/>
  <c r="B327" i="20"/>
  <c r="AS326" i="20"/>
  <c r="AR326" i="20"/>
  <c r="B326" i="20"/>
  <c r="AS328" i="20"/>
  <c r="AR328" i="20"/>
  <c r="B328" i="20"/>
  <c r="AS329" i="20"/>
  <c r="AR329" i="20"/>
  <c r="B329" i="20"/>
  <c r="AS330" i="20"/>
  <c r="AR330" i="20"/>
  <c r="B330" i="20"/>
  <c r="AS331" i="20"/>
  <c r="AR331" i="20"/>
  <c r="B331" i="20"/>
  <c r="AS336" i="20"/>
  <c r="AR336" i="20"/>
  <c r="B336" i="20"/>
  <c r="AS335" i="20"/>
  <c r="AR335" i="20"/>
  <c r="B335" i="20"/>
  <c r="AS334" i="20"/>
  <c r="AR334" i="20"/>
  <c r="B334" i="20"/>
  <c r="AS333" i="20"/>
  <c r="AR333" i="20"/>
  <c r="B333" i="20"/>
  <c r="AS332" i="20"/>
  <c r="AR332" i="20"/>
  <c r="B332" i="20"/>
  <c r="AS337" i="20"/>
  <c r="AR337" i="20"/>
  <c r="B337" i="20"/>
  <c r="AS338" i="20"/>
  <c r="AR338" i="20"/>
  <c r="B338" i="20"/>
  <c r="AS340" i="20"/>
  <c r="AR340" i="20"/>
  <c r="B340" i="20"/>
  <c r="AS339" i="20"/>
  <c r="AR339" i="20"/>
  <c r="B339" i="20"/>
  <c r="AS346" i="20"/>
  <c r="AR346" i="20"/>
  <c r="B346" i="20"/>
  <c r="AS345" i="20"/>
  <c r="AR345" i="20"/>
  <c r="B345" i="20"/>
  <c r="AS344" i="20"/>
  <c r="AR344" i="20"/>
  <c r="B344" i="20"/>
  <c r="AS343" i="20"/>
  <c r="AR343" i="20"/>
  <c r="B343" i="20"/>
  <c r="AS342" i="20"/>
  <c r="AR342" i="20"/>
  <c r="B342" i="20"/>
  <c r="AS341" i="20"/>
  <c r="AR341" i="20"/>
  <c r="B341" i="20"/>
  <c r="AS350" i="20"/>
  <c r="AR350" i="20"/>
  <c r="B350" i="20"/>
  <c r="AS349" i="20"/>
  <c r="AR349" i="20"/>
  <c r="B349" i="20"/>
  <c r="AS348" i="20"/>
  <c r="AR348" i="20"/>
  <c r="B348" i="20"/>
  <c r="AS347" i="20"/>
  <c r="AR347" i="20"/>
  <c r="B347" i="20"/>
  <c r="AS351" i="20"/>
  <c r="AR351" i="20"/>
  <c r="B351" i="20"/>
  <c r="AS361" i="20"/>
  <c r="AR361" i="20"/>
  <c r="B361" i="20"/>
  <c r="AS360" i="20"/>
  <c r="AR360" i="20"/>
  <c r="B360" i="20"/>
  <c r="AS359" i="20"/>
  <c r="AR359" i="20"/>
  <c r="B359" i="20"/>
  <c r="AS358" i="20"/>
  <c r="AR358" i="20"/>
  <c r="B358" i="20"/>
  <c r="AS357" i="20"/>
  <c r="AR357" i="20"/>
  <c r="B357" i="20"/>
  <c r="AS356" i="20"/>
  <c r="AR356" i="20"/>
  <c r="B356" i="20"/>
  <c r="AS355" i="20"/>
  <c r="AR355" i="20"/>
  <c r="B355" i="20"/>
  <c r="AS354" i="20"/>
  <c r="AR354" i="20"/>
  <c r="B354" i="20"/>
  <c r="AS353" i="20"/>
  <c r="AR353" i="20"/>
  <c r="B353" i="20"/>
  <c r="AS352" i="20"/>
  <c r="AR352" i="20"/>
  <c r="B352" i="20"/>
  <c r="AS363" i="20"/>
  <c r="AR363" i="20"/>
  <c r="B363" i="20"/>
  <c r="AS362" i="20"/>
  <c r="AR362" i="20"/>
  <c r="B362" i="20"/>
  <c r="AS369" i="20"/>
  <c r="AR369" i="20"/>
  <c r="B369" i="20"/>
  <c r="AS368" i="20"/>
  <c r="AR368" i="20"/>
  <c r="B368" i="20"/>
  <c r="AS367" i="20"/>
  <c r="AR367" i="20"/>
  <c r="B367" i="20"/>
  <c r="AS366" i="20"/>
  <c r="AR366" i="20"/>
  <c r="B366" i="20"/>
  <c r="AS365" i="20"/>
  <c r="AR365" i="20"/>
  <c r="B365" i="20"/>
  <c r="AS364" i="20"/>
  <c r="AR364" i="20"/>
  <c r="B364" i="20"/>
  <c r="AS371" i="20"/>
  <c r="AR371" i="20"/>
  <c r="B371" i="20"/>
  <c r="AS370" i="20"/>
  <c r="AR370" i="20"/>
  <c r="B370" i="20"/>
  <c r="AS372" i="20"/>
  <c r="AR372" i="20"/>
  <c r="B372" i="20"/>
  <c r="AS373" i="20"/>
  <c r="AR373" i="20"/>
  <c r="B373" i="20"/>
  <c r="AS374" i="20"/>
  <c r="AR374" i="20"/>
  <c r="B374" i="20"/>
  <c r="AS377" i="20"/>
  <c r="AR377" i="20"/>
  <c r="B377" i="20"/>
  <c r="AS376" i="20"/>
  <c r="AR376" i="20"/>
  <c r="B376" i="20"/>
  <c r="AS375" i="20"/>
  <c r="AR375" i="20"/>
  <c r="B375" i="20"/>
  <c r="AS378" i="20"/>
  <c r="AR378" i="20"/>
  <c r="B378" i="20"/>
  <c r="AS381" i="20"/>
  <c r="AR381" i="20"/>
  <c r="B381" i="20"/>
  <c r="AS380" i="20"/>
  <c r="AR380" i="20"/>
  <c r="B380" i="20"/>
  <c r="AS379" i="20"/>
  <c r="AR379" i="20"/>
  <c r="B379" i="20"/>
  <c r="AS382" i="20"/>
  <c r="AR382" i="20"/>
  <c r="B382" i="20"/>
  <c r="AS386" i="20"/>
  <c r="AR386" i="20"/>
  <c r="B386" i="20"/>
  <c r="AS385" i="20"/>
  <c r="AR385" i="20"/>
  <c r="B385" i="20"/>
  <c r="AS384" i="20"/>
  <c r="AR384" i="20"/>
  <c r="B384" i="20"/>
  <c r="AS383" i="20"/>
  <c r="AR383" i="20"/>
  <c r="B383" i="20"/>
  <c r="AS395" i="20"/>
  <c r="AR395" i="20"/>
  <c r="B395" i="20"/>
  <c r="AS394" i="20"/>
  <c r="AR394" i="20"/>
  <c r="B394" i="20"/>
  <c r="AS393" i="20"/>
  <c r="AR393" i="20"/>
  <c r="B393" i="20"/>
  <c r="AS392" i="20"/>
  <c r="AR392" i="20"/>
  <c r="B392" i="20"/>
  <c r="AS391" i="20"/>
  <c r="AR391" i="20"/>
  <c r="B391" i="20"/>
  <c r="AS390" i="20"/>
  <c r="AR390" i="20"/>
  <c r="B390" i="20"/>
  <c r="AS389" i="20"/>
  <c r="AR389" i="20"/>
  <c r="B389" i="20"/>
  <c r="AS388" i="20"/>
  <c r="AR388" i="20"/>
  <c r="B388" i="20"/>
  <c r="AS387" i="20"/>
  <c r="AR387" i="20"/>
  <c r="B387" i="20"/>
  <c r="AS398" i="20"/>
  <c r="AR398" i="20"/>
  <c r="B398" i="20"/>
  <c r="AS397" i="20"/>
  <c r="AR397" i="20"/>
  <c r="B397" i="20"/>
  <c r="AS396" i="20"/>
  <c r="AR396" i="20"/>
  <c r="B396" i="20"/>
  <c r="AS400" i="20"/>
  <c r="AR400" i="20"/>
  <c r="B400" i="20"/>
  <c r="AS399" i="20"/>
  <c r="AR399" i="20"/>
  <c r="B399" i="20"/>
  <c r="AS402" i="20"/>
  <c r="AR402" i="20"/>
  <c r="B402" i="20"/>
  <c r="AS401" i="20"/>
  <c r="AR401" i="20"/>
  <c r="B401" i="20"/>
  <c r="AS404" i="20"/>
  <c r="AR404" i="20"/>
  <c r="B404" i="20"/>
  <c r="AS403" i="20"/>
  <c r="AR403" i="20"/>
  <c r="B403" i="20"/>
  <c r="AS406" i="20"/>
  <c r="AR406" i="20"/>
  <c r="B406" i="20"/>
  <c r="AS405" i="20"/>
  <c r="AR405" i="20"/>
  <c r="B405" i="20"/>
  <c r="AS412" i="20"/>
  <c r="AR412" i="20"/>
  <c r="B412" i="20"/>
  <c r="AS411" i="20"/>
  <c r="AR411" i="20"/>
  <c r="B411" i="20"/>
  <c r="AS410" i="20"/>
  <c r="AR410" i="20"/>
  <c r="B410" i="20"/>
  <c r="AS409" i="20"/>
  <c r="AR409" i="20"/>
  <c r="B409" i="20"/>
  <c r="AS408" i="20"/>
  <c r="AR408" i="20"/>
  <c r="B408" i="20"/>
  <c r="AS407" i="20"/>
  <c r="AR407" i="20"/>
  <c r="B407" i="20"/>
  <c r="AS413" i="20"/>
  <c r="AR413" i="20"/>
  <c r="B413" i="20"/>
  <c r="AS432" i="20"/>
  <c r="AR432" i="20"/>
  <c r="B432" i="20"/>
  <c r="AS431" i="20"/>
  <c r="AR431" i="20"/>
  <c r="B431" i="20"/>
  <c r="AS430" i="20"/>
  <c r="AR430" i="20"/>
  <c r="B430" i="20"/>
  <c r="AS429" i="20"/>
  <c r="AR429" i="20"/>
  <c r="B429" i="20"/>
  <c r="AS428" i="20"/>
  <c r="AR428" i="20"/>
  <c r="B428" i="20"/>
  <c r="AS427" i="20"/>
  <c r="AR427" i="20"/>
  <c r="B427" i="20"/>
  <c r="AS426" i="20"/>
  <c r="AR426" i="20"/>
  <c r="B426" i="20"/>
  <c r="AS425" i="20"/>
  <c r="AR425" i="20"/>
  <c r="B425" i="20"/>
  <c r="AS424" i="20"/>
  <c r="AR424" i="20"/>
  <c r="B424" i="20"/>
  <c r="AS423" i="20"/>
  <c r="AR423" i="20"/>
  <c r="B423" i="20"/>
  <c r="AS422" i="20"/>
  <c r="AR422" i="20"/>
  <c r="B422" i="20"/>
  <c r="AS421" i="20"/>
  <c r="AR421" i="20"/>
  <c r="B421" i="20"/>
  <c r="AS420" i="20"/>
  <c r="AR420" i="20"/>
  <c r="B420" i="20"/>
  <c r="AS419" i="20"/>
  <c r="AR419" i="20"/>
  <c r="B419" i="20"/>
  <c r="AS418" i="20"/>
  <c r="AR418" i="20"/>
  <c r="B418" i="20"/>
  <c r="AS417" i="20"/>
  <c r="AR417" i="20"/>
  <c r="B417" i="20"/>
  <c r="AS416" i="20"/>
  <c r="AR416" i="20"/>
  <c r="B416" i="20"/>
  <c r="AS415" i="20"/>
  <c r="AR415" i="20"/>
  <c r="B415" i="20"/>
  <c r="AS414" i="20"/>
  <c r="AR414" i="20"/>
  <c r="B414" i="20"/>
  <c r="AS436" i="20"/>
  <c r="AR436" i="20"/>
  <c r="B436" i="20"/>
  <c r="AS435" i="20"/>
  <c r="AR435" i="20"/>
  <c r="B435" i="20"/>
  <c r="AS434" i="20"/>
  <c r="AR434" i="20"/>
  <c r="B434" i="20"/>
  <c r="AS433" i="20"/>
  <c r="AR433" i="20"/>
  <c r="B433" i="20"/>
  <c r="AS438" i="20"/>
  <c r="AR438" i="20"/>
  <c r="B438" i="20"/>
  <c r="AS437" i="20"/>
  <c r="AR437" i="20"/>
  <c r="B437" i="20"/>
  <c r="AS439" i="20"/>
  <c r="AR439" i="20"/>
  <c r="B439" i="20"/>
  <c r="AS440" i="20"/>
  <c r="AR440" i="20"/>
  <c r="B440" i="20"/>
  <c r="AS447" i="20"/>
  <c r="AR447" i="20"/>
  <c r="B447" i="20"/>
  <c r="AS446" i="20"/>
  <c r="AR446" i="20"/>
  <c r="B446" i="20"/>
  <c r="AS445" i="20"/>
  <c r="AR445" i="20"/>
  <c r="B445" i="20"/>
  <c r="AS444" i="20"/>
  <c r="AR444" i="20"/>
  <c r="B444" i="20"/>
  <c r="AS443" i="20"/>
  <c r="AR443" i="20"/>
  <c r="B443" i="20"/>
  <c r="AS442" i="20"/>
  <c r="AR442" i="20"/>
  <c r="B442" i="20"/>
  <c r="AS441" i="20"/>
  <c r="AR441" i="20"/>
  <c r="B441" i="20"/>
  <c r="AS453" i="20"/>
  <c r="AR453" i="20"/>
  <c r="B453" i="20"/>
  <c r="AS452" i="20"/>
  <c r="AR452" i="20"/>
  <c r="B452" i="20"/>
  <c r="AS451" i="20"/>
  <c r="AR451" i="20"/>
  <c r="B451" i="20"/>
  <c r="AS450" i="20"/>
  <c r="AR450" i="20"/>
  <c r="B450" i="20"/>
  <c r="AS449" i="20"/>
  <c r="AR449" i="20"/>
  <c r="B449" i="20"/>
  <c r="AS448" i="20"/>
  <c r="AR448" i="20"/>
  <c r="B448" i="20"/>
  <c r="AS459" i="20"/>
  <c r="AR459" i="20"/>
  <c r="B459" i="20"/>
  <c r="AS458" i="20"/>
  <c r="AR458" i="20"/>
  <c r="B458" i="20"/>
  <c r="AS457" i="20"/>
  <c r="AR457" i="20"/>
  <c r="B457" i="20"/>
  <c r="AS456" i="20"/>
  <c r="AR456" i="20"/>
  <c r="B456" i="20"/>
  <c r="AS455" i="20"/>
  <c r="AR455" i="20"/>
  <c r="B455" i="20"/>
  <c r="AS454" i="20"/>
  <c r="AR454" i="20"/>
  <c r="B454" i="20"/>
  <c r="AS460" i="20"/>
  <c r="AR460" i="20"/>
  <c r="B460" i="20"/>
  <c r="AS461" i="20"/>
  <c r="AR461" i="20"/>
  <c r="B461" i="20"/>
  <c r="AS462" i="20"/>
  <c r="AR462" i="20"/>
  <c r="B462" i="20"/>
  <c r="AS465" i="20"/>
  <c r="AR465" i="20"/>
  <c r="B465" i="20"/>
  <c r="AS464" i="20"/>
  <c r="AR464" i="20"/>
  <c r="B464" i="20"/>
  <c r="AS463" i="20"/>
  <c r="AR463" i="20"/>
  <c r="B463" i="20"/>
  <c r="AS467" i="20"/>
  <c r="AR467" i="20"/>
  <c r="B467" i="20"/>
  <c r="AS466" i="20"/>
  <c r="AR466" i="20"/>
  <c r="B466" i="20"/>
  <c r="AS468" i="20"/>
  <c r="AR468" i="20"/>
  <c r="B468" i="20"/>
  <c r="AS469" i="20"/>
  <c r="AR469" i="20"/>
  <c r="B469" i="20"/>
  <c r="AS470" i="20"/>
  <c r="AR470" i="20"/>
  <c r="B470" i="20"/>
  <c r="AS471" i="20"/>
  <c r="AR471" i="20"/>
  <c r="B471" i="20"/>
  <c r="AS475" i="20"/>
  <c r="AR475" i="20"/>
  <c r="B475" i="20"/>
  <c r="AS474" i="20"/>
  <c r="AR474" i="20"/>
  <c r="B474" i="20"/>
  <c r="AS473" i="20"/>
  <c r="AR473" i="20"/>
  <c r="B473" i="20"/>
  <c r="AS472" i="20"/>
  <c r="AR472" i="20"/>
  <c r="B472" i="20"/>
  <c r="AS476" i="20"/>
  <c r="AR476" i="20"/>
  <c r="B476" i="20"/>
  <c r="AS477" i="20"/>
  <c r="AR477" i="20"/>
  <c r="B477" i="20"/>
  <c r="AS479" i="20"/>
  <c r="AR479" i="20"/>
  <c r="B479" i="20"/>
  <c r="AS478" i="20"/>
  <c r="AR478" i="20"/>
  <c r="B478" i="20"/>
  <c r="AS481" i="20"/>
  <c r="AR481" i="20"/>
  <c r="B481" i="20"/>
  <c r="AS480" i="20"/>
  <c r="AR480" i="20"/>
  <c r="B480" i="20"/>
  <c r="AS482" i="20"/>
  <c r="AR482" i="20"/>
  <c r="B482" i="20"/>
  <c r="AS483" i="20"/>
  <c r="AR483" i="20"/>
  <c r="B483" i="20"/>
  <c r="AS484" i="20"/>
  <c r="AR484" i="20"/>
  <c r="B484" i="20"/>
  <c r="AS486" i="20"/>
  <c r="AR486" i="20"/>
  <c r="B486" i="20"/>
  <c r="AS485" i="20"/>
  <c r="AR485" i="20"/>
  <c r="B485" i="20"/>
  <c r="AS487" i="20"/>
  <c r="AR487" i="20"/>
  <c r="B487" i="20"/>
  <c r="AS488" i="20"/>
  <c r="AR488" i="20"/>
  <c r="B488" i="20"/>
  <c r="AS490" i="20"/>
  <c r="AR490" i="20"/>
  <c r="B490" i="20"/>
  <c r="AS489" i="20"/>
  <c r="AR489" i="20"/>
  <c r="B489" i="20"/>
  <c r="AS491" i="20"/>
  <c r="AR491" i="20"/>
  <c r="B491" i="20"/>
  <c r="AS492" i="20"/>
  <c r="AR492" i="20"/>
  <c r="B492" i="20"/>
  <c r="AS498" i="20"/>
  <c r="AR498" i="20"/>
  <c r="B498" i="20"/>
  <c r="AS497" i="20"/>
  <c r="AR497" i="20"/>
  <c r="B497" i="20"/>
  <c r="AS496" i="20"/>
  <c r="AR496" i="20"/>
  <c r="B496" i="20"/>
  <c r="AS495" i="20"/>
  <c r="AR495" i="20"/>
  <c r="B495" i="20"/>
  <c r="AS494" i="20"/>
  <c r="AR494" i="20"/>
  <c r="B494" i="20"/>
  <c r="AS493" i="20"/>
  <c r="AR493" i="20"/>
  <c r="B493" i="20"/>
  <c r="AS508" i="20"/>
  <c r="AR508" i="20"/>
  <c r="B508" i="20"/>
  <c r="AS507" i="20"/>
  <c r="AR507" i="20"/>
  <c r="B507" i="20"/>
  <c r="AS506" i="20"/>
  <c r="AR506" i="20"/>
  <c r="B506" i="20"/>
  <c r="AS505" i="20"/>
  <c r="AR505" i="20"/>
  <c r="B505" i="20"/>
  <c r="AS504" i="20"/>
  <c r="AR504" i="20"/>
  <c r="B504" i="20"/>
  <c r="AS503" i="20"/>
  <c r="AR503" i="20"/>
  <c r="B503" i="20"/>
  <c r="AS502" i="20"/>
  <c r="AR502" i="20"/>
  <c r="B502" i="20"/>
  <c r="AS501" i="20"/>
  <c r="AR501" i="20"/>
  <c r="B501" i="20"/>
  <c r="AS500" i="20"/>
  <c r="AR500" i="20"/>
  <c r="B500" i="20"/>
  <c r="AS499" i="20"/>
  <c r="AR499" i="20"/>
  <c r="B499" i="20"/>
  <c r="AS512" i="20"/>
  <c r="AR512" i="20"/>
  <c r="B512" i="20"/>
  <c r="AS511" i="20"/>
  <c r="AR511" i="20"/>
  <c r="B511" i="20"/>
  <c r="AS510" i="20"/>
  <c r="AR510" i="20"/>
  <c r="B510" i="20"/>
  <c r="AS509" i="20"/>
  <c r="AR509" i="20"/>
  <c r="B509" i="20"/>
  <c r="AS519" i="20"/>
  <c r="AR519" i="20"/>
  <c r="B519" i="20"/>
  <c r="AS518" i="20"/>
  <c r="AR518" i="20"/>
  <c r="B518" i="20"/>
  <c r="AS517" i="20"/>
  <c r="AR517" i="20"/>
  <c r="B517" i="20"/>
  <c r="AS516" i="20"/>
  <c r="AR516" i="20"/>
  <c r="B516" i="20"/>
  <c r="AS515" i="20"/>
  <c r="AR515" i="20"/>
  <c r="B515" i="20"/>
  <c r="AS514" i="20"/>
  <c r="AR514" i="20"/>
  <c r="B514" i="20"/>
  <c r="AS513" i="20"/>
  <c r="AR513" i="20"/>
  <c r="B513" i="20"/>
  <c r="AS525" i="20"/>
  <c r="AR525" i="20"/>
  <c r="B525" i="20"/>
  <c r="AS524" i="20"/>
  <c r="AR524" i="20"/>
  <c r="B524" i="20"/>
  <c r="AS523" i="20"/>
  <c r="AR523" i="20"/>
  <c r="B523" i="20"/>
  <c r="AS522" i="20"/>
  <c r="AR522" i="20"/>
  <c r="B522" i="20"/>
  <c r="AS521" i="20"/>
  <c r="AR521" i="20"/>
  <c r="B521" i="20"/>
  <c r="AS520" i="20"/>
  <c r="AR520" i="20"/>
  <c r="B520" i="20"/>
  <c r="AS530" i="20"/>
  <c r="AR530" i="20"/>
  <c r="B530" i="20"/>
  <c r="AS529" i="20"/>
  <c r="AR529" i="20"/>
  <c r="B529" i="20"/>
  <c r="AS528" i="20"/>
  <c r="AR528" i="20"/>
  <c r="B528" i="20"/>
  <c r="AS527" i="20"/>
  <c r="AR527" i="20"/>
  <c r="B527" i="20"/>
  <c r="AS526" i="20"/>
  <c r="AR526" i="20"/>
  <c r="B526" i="20"/>
  <c r="AS535" i="20"/>
  <c r="AR535" i="20"/>
  <c r="B535" i="20"/>
  <c r="AS534" i="20"/>
  <c r="AR534" i="20"/>
  <c r="B534" i="20"/>
  <c r="AS533" i="20"/>
  <c r="AR533" i="20"/>
  <c r="B533" i="20"/>
  <c r="AS532" i="20"/>
  <c r="AR532" i="20"/>
  <c r="B532" i="20"/>
  <c r="AS531" i="20"/>
  <c r="AR531" i="20"/>
  <c r="B531" i="20"/>
  <c r="AS538" i="20"/>
  <c r="AR538" i="20"/>
  <c r="B538" i="20"/>
  <c r="AS537" i="20"/>
  <c r="AR537" i="20"/>
  <c r="B537" i="20"/>
  <c r="AS536" i="20"/>
  <c r="AR536" i="20"/>
  <c r="B536" i="20"/>
  <c r="AG13" i="72"/>
  <c r="AF13" i="72"/>
  <c r="AE13" i="72"/>
  <c r="AF12" i="72"/>
  <c r="AE12" i="72"/>
  <c r="U12" i="72"/>
  <c r="AF11" i="72"/>
  <c r="AE11" i="72"/>
  <c r="U11" i="72"/>
  <c r="AF10" i="72"/>
  <c r="AE10" i="72"/>
  <c r="U10" i="72"/>
  <c r="AF9" i="72"/>
  <c r="AE9" i="72"/>
  <c r="U9" i="72"/>
  <c r="AF8" i="72"/>
  <c r="AE8" i="72"/>
  <c r="U8" i="72"/>
  <c r="AF7" i="72"/>
  <c r="AE7" i="72"/>
  <c r="U7" i="72"/>
  <c r="AF6" i="72"/>
  <c r="AE6" i="72"/>
  <c r="U6" i="72"/>
  <c r="AF5" i="72"/>
  <c r="AE5" i="72"/>
  <c r="U5" i="72"/>
  <c r="AF4" i="72"/>
  <c r="AE4" i="72"/>
  <c r="U4" i="72"/>
  <c r="AF3" i="72"/>
  <c r="AE3" i="72"/>
  <c r="U3" i="72"/>
  <c r="L13" i="62"/>
  <c r="K13" i="62"/>
  <c r="J13" i="62"/>
  <c r="L12" i="62"/>
  <c r="K12" i="62"/>
  <c r="J12" i="62"/>
  <c r="L11" i="62"/>
  <c r="K11" i="62"/>
  <c r="J11" i="62"/>
  <c r="L10" i="62"/>
  <c r="K10" i="62"/>
  <c r="J10" i="62"/>
  <c r="J8" i="62"/>
  <c r="J9" i="62"/>
  <c r="L9" i="62"/>
  <c r="K9" i="62"/>
  <c r="L8" i="62"/>
  <c r="K8" i="62"/>
  <c r="A3" i="45"/>
  <c r="G10" i="36"/>
  <c r="F10" i="36"/>
  <c r="E10" i="36"/>
  <c r="D10" i="36"/>
  <c r="G9" i="36"/>
  <c r="F9" i="36"/>
  <c r="E9" i="36"/>
  <c r="D9" i="36"/>
  <c r="G8" i="36"/>
  <c r="F8" i="36"/>
  <c r="E8" i="36"/>
  <c r="D8" i="36"/>
  <c r="G7" i="36"/>
  <c r="F7" i="36"/>
  <c r="E7" i="36"/>
  <c r="G6" i="36"/>
  <c r="F6" i="36"/>
  <c r="E6" i="36"/>
  <c r="D6" i="36"/>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O93" i="19"/>
  <c r="N93" i="19"/>
  <c r="Z10" i="19"/>
  <c r="Y10" i="19"/>
  <c r="W10" i="19"/>
  <c r="U10" i="19" s="1"/>
  <c r="Z9" i="19"/>
  <c r="Y9" i="19"/>
  <c r="W9" i="19"/>
  <c r="U9" i="19" s="1"/>
  <c r="Z44" i="19"/>
  <c r="Y44" i="19"/>
  <c r="W44" i="19"/>
  <c r="U44" i="19" s="1"/>
  <c r="Z43" i="19"/>
  <c r="Y43" i="19"/>
  <c r="W43" i="19"/>
  <c r="U43" i="19" s="1"/>
  <c r="Z42" i="19"/>
  <c r="Y42" i="19"/>
  <c r="W42" i="19"/>
  <c r="U42" i="19" s="1"/>
  <c r="Z41" i="19"/>
  <c r="Y41" i="19"/>
  <c r="W41" i="19"/>
  <c r="U41" i="19" s="1"/>
  <c r="Z40" i="19"/>
  <c r="Y40" i="19"/>
  <c r="W40" i="19"/>
  <c r="U40" i="19" s="1"/>
  <c r="Z39" i="19"/>
  <c r="Y39" i="19"/>
  <c r="W39" i="19"/>
  <c r="U39" i="19" s="1"/>
  <c r="Z22" i="19"/>
  <c r="Y22" i="19"/>
  <c r="W22" i="19"/>
  <c r="U22" i="19" s="1"/>
  <c r="Z8" i="19"/>
  <c r="Y8" i="19"/>
  <c r="W8" i="19"/>
  <c r="U8" i="19" s="1"/>
  <c r="Z21" i="19"/>
  <c r="Y21" i="19"/>
  <c r="W21" i="19"/>
  <c r="U21" i="19" s="1"/>
  <c r="Z36" i="19"/>
  <c r="Y36" i="19"/>
  <c r="W36" i="19"/>
  <c r="U36" i="19" s="1"/>
  <c r="Z20" i="19"/>
  <c r="Y20" i="19"/>
  <c r="W20" i="19"/>
  <c r="U20" i="19" s="1"/>
  <c r="Z19" i="19"/>
  <c r="Y19" i="19"/>
  <c r="W19" i="19"/>
  <c r="U19" i="19" s="1"/>
  <c r="Z35" i="19"/>
  <c r="Y35" i="19"/>
  <c r="W35" i="19"/>
  <c r="U35" i="19" s="1"/>
  <c r="Z34" i="19"/>
  <c r="Y34" i="19"/>
  <c r="W34" i="19"/>
  <c r="U34" i="19" s="1"/>
  <c r="Z33" i="19"/>
  <c r="Y33" i="19"/>
  <c r="W33" i="19"/>
  <c r="U33" i="19" s="1"/>
  <c r="Z32" i="19"/>
  <c r="Y32" i="19"/>
  <c r="W32" i="19"/>
  <c r="U32" i="19" s="1"/>
  <c r="Z18" i="19"/>
  <c r="Y18" i="19"/>
  <c r="W18" i="19"/>
  <c r="U18" i="19" s="1"/>
  <c r="Z31" i="19"/>
  <c r="Y31" i="19"/>
  <c r="W31" i="19"/>
  <c r="U31" i="19" s="1"/>
  <c r="Z30" i="19"/>
  <c r="Y30" i="19"/>
  <c r="W30" i="19"/>
  <c r="U30" i="19" s="1"/>
  <c r="Z29" i="19"/>
  <c r="Y29" i="19"/>
  <c r="W29" i="19"/>
  <c r="U29" i="19" s="1"/>
  <c r="Z28" i="19"/>
  <c r="Y28" i="19"/>
  <c r="W28" i="19"/>
  <c r="U28" i="19" s="1"/>
  <c r="Z27" i="19"/>
  <c r="Y27" i="19"/>
  <c r="W27" i="19"/>
  <c r="U27" i="19" s="1"/>
  <c r="Z26" i="19"/>
  <c r="Y26" i="19"/>
  <c r="W26" i="19"/>
  <c r="U26" i="19" s="1"/>
  <c r="Z25" i="19"/>
  <c r="Y25" i="19"/>
  <c r="W25" i="19"/>
  <c r="U25" i="19" s="1"/>
  <c r="Z23" i="19"/>
  <c r="Y23" i="19"/>
  <c r="W23" i="19"/>
  <c r="U23" i="19" s="1"/>
  <c r="Z86" i="19"/>
  <c r="Y86" i="19"/>
  <c r="W86" i="19"/>
  <c r="U86" i="19" s="1"/>
  <c r="Z92" i="19"/>
  <c r="Y92" i="19"/>
  <c r="W92" i="19"/>
  <c r="U92" i="19" s="1"/>
  <c r="Z91" i="19"/>
  <c r="Y91" i="19"/>
  <c r="W91" i="19"/>
  <c r="U91" i="19" s="1"/>
  <c r="Z53" i="19"/>
  <c r="Y53" i="19"/>
  <c r="W53" i="19"/>
  <c r="U53" i="19" s="1"/>
  <c r="Z52" i="19"/>
  <c r="Y52" i="19"/>
  <c r="W52" i="19"/>
  <c r="U52" i="19" s="1"/>
  <c r="Z85" i="19"/>
  <c r="Y85" i="19"/>
  <c r="W85" i="19"/>
  <c r="U85" i="19" s="1"/>
  <c r="Z84" i="19"/>
  <c r="Y84" i="19"/>
  <c r="W84" i="19"/>
  <c r="U84" i="19" s="1"/>
  <c r="Z83" i="19"/>
  <c r="Y83" i="19"/>
  <c r="W83" i="19"/>
  <c r="U83" i="19" s="1"/>
  <c r="Z82" i="19"/>
  <c r="Y82" i="19"/>
  <c r="W82" i="19"/>
  <c r="U82" i="19" s="1"/>
  <c r="Z89" i="19"/>
  <c r="Y89" i="19"/>
  <c r="W89" i="19"/>
  <c r="U89" i="19" s="1"/>
  <c r="Z81" i="19"/>
  <c r="Y81" i="19"/>
  <c r="W81" i="19"/>
  <c r="U81" i="19" s="1"/>
  <c r="Z80" i="19"/>
  <c r="Y80" i="19"/>
  <c r="W80" i="19"/>
  <c r="U80" i="19" s="1"/>
  <c r="Z79" i="19"/>
  <c r="Y79" i="19"/>
  <c r="W79" i="19"/>
  <c r="U79" i="19" s="1"/>
  <c r="Z78" i="19"/>
  <c r="Y78" i="19"/>
  <c r="W78" i="19"/>
  <c r="U78" i="19" s="1"/>
  <c r="Z77" i="19"/>
  <c r="Y77" i="19"/>
  <c r="W77" i="19"/>
  <c r="U77" i="19" s="1"/>
  <c r="Z76" i="19"/>
  <c r="Y76" i="19"/>
  <c r="W76" i="19"/>
  <c r="U76" i="19" s="1"/>
  <c r="Z51" i="19"/>
  <c r="Y51" i="19"/>
  <c r="W51" i="19"/>
  <c r="U51" i="19" s="1"/>
  <c r="Z15" i="19"/>
  <c r="Y15" i="19"/>
  <c r="W15" i="19"/>
  <c r="U15" i="19" s="1"/>
  <c r="Z75" i="19"/>
  <c r="Y75" i="19"/>
  <c r="W75" i="19"/>
  <c r="U75" i="19" s="1"/>
  <c r="Z74" i="19"/>
  <c r="Y74" i="19"/>
  <c r="W74" i="19"/>
  <c r="U74" i="19" s="1"/>
  <c r="Z73" i="19"/>
  <c r="Y73" i="19"/>
  <c r="W73" i="19"/>
  <c r="U73" i="19" s="1"/>
  <c r="Z72" i="19"/>
  <c r="Y72" i="19"/>
  <c r="W72" i="19"/>
  <c r="U72" i="19" s="1"/>
  <c r="Z71" i="19"/>
  <c r="Y71" i="19"/>
  <c r="W71" i="19"/>
  <c r="U71" i="19" s="1"/>
  <c r="Z70" i="19"/>
  <c r="Y70" i="19"/>
  <c r="W70" i="19"/>
  <c r="U70" i="19" s="1"/>
  <c r="Z69" i="19"/>
  <c r="Y69" i="19"/>
  <c r="W69" i="19"/>
  <c r="U69" i="19" s="1"/>
  <c r="Z16" i="19"/>
  <c r="Y16" i="19"/>
  <c r="W16" i="19"/>
  <c r="U16" i="19" s="1"/>
  <c r="Z14" i="19"/>
  <c r="Y14" i="19"/>
  <c r="W14" i="19"/>
  <c r="U14" i="19" s="1"/>
  <c r="Z68" i="19"/>
  <c r="Y68" i="19"/>
  <c r="W68" i="19"/>
  <c r="U68" i="19" s="1"/>
  <c r="Z50" i="19"/>
  <c r="Y50" i="19"/>
  <c r="W50" i="19"/>
  <c r="U50" i="19" s="1"/>
  <c r="Z49" i="19"/>
  <c r="Y49" i="19"/>
  <c r="W49" i="19"/>
  <c r="U49" i="19" s="1"/>
  <c r="Z67" i="19"/>
  <c r="Y67" i="19"/>
  <c r="W67" i="19"/>
  <c r="U67" i="19" s="1"/>
  <c r="Z66" i="19"/>
  <c r="Y66" i="19"/>
  <c r="W66" i="19"/>
  <c r="U66" i="19" s="1"/>
  <c r="Z13" i="19"/>
  <c r="Y13" i="19"/>
  <c r="W13" i="19"/>
  <c r="U13" i="19" s="1"/>
  <c r="Z12" i="19"/>
  <c r="Y12" i="19"/>
  <c r="W12" i="19"/>
  <c r="U12" i="19" s="1"/>
  <c r="Z48" i="19"/>
  <c r="Y48" i="19"/>
  <c r="W48" i="19"/>
  <c r="U48" i="19" s="1"/>
  <c r="Z65" i="19"/>
  <c r="Y65" i="19"/>
  <c r="W65" i="19"/>
  <c r="U65" i="19" s="1"/>
  <c r="Z64" i="19"/>
  <c r="Y64" i="19"/>
  <c r="W64" i="19"/>
  <c r="U64" i="19" s="1"/>
  <c r="Z63" i="19"/>
  <c r="Y63" i="19"/>
  <c r="W63" i="19"/>
  <c r="U63" i="19" s="1"/>
  <c r="Z62" i="19"/>
  <c r="Y62" i="19"/>
  <c r="W62" i="19"/>
  <c r="U62" i="19" s="1"/>
  <c r="Z61" i="19"/>
  <c r="Y61" i="19"/>
  <c r="W61" i="19"/>
  <c r="U61" i="19" s="1"/>
  <c r="Z60" i="19"/>
  <c r="Y60" i="19"/>
  <c r="W60" i="19"/>
  <c r="U60" i="19" s="1"/>
  <c r="Z59" i="19"/>
  <c r="Y59" i="19"/>
  <c r="W59" i="19"/>
  <c r="U59" i="19" s="1"/>
  <c r="Z58" i="19"/>
  <c r="Y58" i="19"/>
  <c r="W58" i="19"/>
  <c r="U58" i="19" s="1"/>
  <c r="Z57" i="19"/>
  <c r="Y57" i="19"/>
  <c r="W57" i="19"/>
  <c r="U57" i="19" s="1"/>
  <c r="Z56" i="19"/>
  <c r="Y56" i="19"/>
  <c r="W56" i="19"/>
  <c r="U56" i="19" s="1"/>
  <c r="Z55" i="19"/>
  <c r="Y55" i="19"/>
  <c r="W55" i="19"/>
  <c r="U55" i="19" s="1"/>
  <c r="Z11" i="19"/>
  <c r="Y11" i="19"/>
  <c r="W11" i="19"/>
  <c r="U11" i="19" s="1"/>
  <c r="Z54" i="19"/>
  <c r="Y54" i="19"/>
  <c r="W54" i="19"/>
  <c r="U54" i="19" s="1"/>
  <c r="A2" i="83"/>
  <c r="Y7" i="72"/>
  <c r="X7" i="72"/>
  <c r="Y5" i="72"/>
  <c r="X5" i="72"/>
  <c r="B4" i="80"/>
  <c r="B3" i="78"/>
  <c r="A3" i="33"/>
  <c r="D162" i="75"/>
  <c r="D161" i="75"/>
  <c r="D160" i="75"/>
  <c r="D159" i="75"/>
  <c r="D158" i="75"/>
  <c r="D157" i="75"/>
  <c r="D156" i="75"/>
  <c r="D155" i="75"/>
  <c r="D144" i="75"/>
  <c r="D143" i="75"/>
  <c r="D142" i="75"/>
  <c r="D141" i="75"/>
  <c r="D140" i="75"/>
  <c r="D139" i="75"/>
  <c r="D138" i="75"/>
  <c r="D137" i="75"/>
  <c r="D136" i="75"/>
  <c r="D135" i="75"/>
  <c r="D134" i="75"/>
  <c r="D133" i="75"/>
  <c r="D126" i="75"/>
  <c r="D125" i="75"/>
  <c r="D124" i="75"/>
  <c r="D123" i="75"/>
  <c r="D122" i="75"/>
  <c r="D121" i="75"/>
  <c r="D120" i="75"/>
  <c r="D119" i="75"/>
  <c r="D117" i="75"/>
  <c r="D116" i="75"/>
  <c r="D115" i="75"/>
  <c r="D114" i="75"/>
  <c r="D113" i="75"/>
  <c r="D112" i="75"/>
  <c r="D111" i="75"/>
  <c r="D110" i="75"/>
  <c r="D108" i="75"/>
  <c r="D107" i="75"/>
  <c r="D106" i="75"/>
  <c r="D105" i="75"/>
  <c r="D104" i="75"/>
  <c r="D103" i="75"/>
  <c r="D102" i="75"/>
  <c r="D101" i="75"/>
  <c r="D99" i="75"/>
  <c r="D98" i="75"/>
  <c r="D97" i="75"/>
  <c r="D96" i="75"/>
  <c r="D95" i="75"/>
  <c r="D94" i="75"/>
  <c r="D93" i="75"/>
  <c r="D92" i="75"/>
  <c r="D90" i="75"/>
  <c r="D89" i="75"/>
  <c r="D88" i="75"/>
  <c r="D87" i="75"/>
  <c r="D86" i="75"/>
  <c r="D85" i="75"/>
  <c r="D84" i="75"/>
  <c r="D83" i="75"/>
  <c r="D81" i="75"/>
  <c r="D80" i="75"/>
  <c r="D79" i="75"/>
  <c r="D78" i="75"/>
  <c r="D77" i="75"/>
  <c r="D76" i="75"/>
  <c r="D75" i="75"/>
  <c r="D74" i="75"/>
  <c r="D72" i="75"/>
  <c r="D71" i="75"/>
  <c r="D70" i="75"/>
  <c r="D69" i="75"/>
  <c r="D68" i="75"/>
  <c r="D67" i="75"/>
  <c r="D66" i="75"/>
  <c r="D65" i="75"/>
  <c r="D63" i="75"/>
  <c r="D62" i="75"/>
  <c r="D61" i="75"/>
  <c r="D60" i="75"/>
  <c r="D59" i="75"/>
  <c r="D58" i="75"/>
  <c r="D57" i="75"/>
  <c r="D56" i="75"/>
  <c r="D54" i="75"/>
  <c r="D53" i="75"/>
  <c r="D52" i="75"/>
  <c r="D51" i="75"/>
  <c r="D50" i="75"/>
  <c r="D49" i="75"/>
  <c r="D48" i="75"/>
  <c r="D47" i="75"/>
  <c r="D45" i="75"/>
  <c r="D44" i="75"/>
  <c r="D43" i="75"/>
  <c r="D42" i="75"/>
  <c r="D41" i="75"/>
  <c r="D40" i="75"/>
  <c r="D39" i="75"/>
  <c r="D38" i="75"/>
  <c r="D36" i="75"/>
  <c r="D35" i="75"/>
  <c r="D34" i="75"/>
  <c r="D33" i="75"/>
  <c r="D32" i="75"/>
  <c r="D31" i="75"/>
  <c r="D30" i="75"/>
  <c r="D29" i="75"/>
  <c r="D27" i="75"/>
  <c r="D26" i="75"/>
  <c r="D25" i="75"/>
  <c r="D24" i="75"/>
  <c r="D23" i="75"/>
  <c r="D22" i="75"/>
  <c r="D21" i="75"/>
  <c r="D20" i="75"/>
  <c r="D18" i="75"/>
  <c r="D17" i="75"/>
  <c r="D16" i="75"/>
  <c r="D15" i="75"/>
  <c r="D14" i="75"/>
  <c r="D13" i="75"/>
  <c r="D12" i="75"/>
  <c r="D11" i="75"/>
  <c r="D9" i="75"/>
  <c r="D8" i="75"/>
  <c r="D7" i="75"/>
  <c r="D6" i="75"/>
  <c r="D5" i="75"/>
  <c r="D4" i="75"/>
  <c r="D3" i="75"/>
  <c r="D2" i="75"/>
  <c r="H4" i="74"/>
  <c r="AI28" i="14"/>
  <c r="AA28" i="14"/>
  <c r="AA27" i="14"/>
  <c r="AI110" i="14"/>
  <c r="AI26" i="14"/>
  <c r="AA26" i="14"/>
  <c r="AI31" i="14"/>
  <c r="AA31" i="14"/>
  <c r="AI38" i="14"/>
  <c r="AA38" i="14"/>
  <c r="AI23" i="14"/>
  <c r="AA23" i="14"/>
  <c r="AI37" i="14"/>
  <c r="AA37" i="14"/>
  <c r="AI36" i="14"/>
  <c r="AA36" i="14"/>
  <c r="AI22" i="14"/>
  <c r="AA22" i="14"/>
  <c r="AI19" i="14"/>
  <c r="AA19" i="14"/>
  <c r="AI18" i="14"/>
  <c r="AA18" i="14"/>
  <c r="AI16" i="14"/>
  <c r="AA16" i="14"/>
  <c r="AI14" i="14"/>
  <c r="AA14" i="14"/>
  <c r="AI12" i="14"/>
  <c r="AA12" i="14"/>
  <c r="AI74" i="14"/>
  <c r="AA74" i="14"/>
  <c r="AI109" i="14"/>
  <c r="AA109" i="14"/>
  <c r="AI108" i="14"/>
  <c r="AA108" i="14"/>
  <c r="AI107" i="14"/>
  <c r="AA107" i="14"/>
  <c r="AI106" i="14"/>
  <c r="AA106" i="14"/>
  <c r="AI105" i="14"/>
  <c r="AA105" i="14"/>
  <c r="AI75" i="14"/>
  <c r="AA75" i="14"/>
  <c r="AI73" i="14"/>
  <c r="AA73" i="14"/>
  <c r="AI11" i="14"/>
  <c r="AA11" i="14"/>
  <c r="AI71" i="14"/>
  <c r="AA71" i="14"/>
  <c r="AI70" i="14"/>
  <c r="AA70" i="14"/>
  <c r="AI69" i="14"/>
  <c r="AA69" i="14"/>
  <c r="AI10" i="14"/>
  <c r="AA10" i="14"/>
  <c r="AI8" i="14"/>
  <c r="AA8" i="14"/>
  <c r="AI7" i="14"/>
  <c r="AI6" i="14"/>
  <c r="AA6" i="14"/>
  <c r="AI60" i="14"/>
  <c r="AA60" i="14"/>
  <c r="AI59" i="14"/>
  <c r="AA59" i="14"/>
  <c r="AI9" i="14"/>
  <c r="AI21" i="14"/>
  <c r="AA21" i="14"/>
  <c r="AI24" i="14"/>
  <c r="AI29" i="14"/>
  <c r="AI35" i="14"/>
  <c r="AA35" i="14"/>
  <c r="AI5" i="14"/>
  <c r="AA5" i="14"/>
  <c r="AI25" i="14"/>
  <c r="AA25" i="14"/>
  <c r="AI39" i="14"/>
  <c r="AA39" i="14"/>
  <c r="AI58" i="14"/>
  <c r="AA58" i="14"/>
  <c r="AI34" i="14"/>
  <c r="AA34" i="14"/>
  <c r="AI33" i="14"/>
  <c r="AA33" i="14"/>
  <c r="AI57" i="14"/>
  <c r="AA57" i="14"/>
  <c r="AI56" i="14"/>
  <c r="AA56" i="14"/>
  <c r="AI55" i="14"/>
  <c r="AA55" i="14"/>
  <c r="AI50" i="14"/>
  <c r="AA50" i="14"/>
  <c r="AI54" i="14"/>
  <c r="AA54" i="14"/>
  <c r="AI53" i="14"/>
  <c r="AA53" i="14"/>
  <c r="AI52" i="14"/>
  <c r="AA52" i="14"/>
  <c r="AI51" i="14"/>
  <c r="AA51" i="14"/>
  <c r="AI104" i="14"/>
  <c r="AA104" i="14"/>
  <c r="AI103" i="14"/>
  <c r="AA103" i="14"/>
  <c r="AI102" i="14"/>
  <c r="AA102" i="14"/>
  <c r="AI101" i="14"/>
  <c r="AA101" i="14"/>
  <c r="AI100" i="14"/>
  <c r="AA100" i="14"/>
  <c r="AI99" i="14"/>
  <c r="AA99" i="14"/>
  <c r="AI98" i="14"/>
  <c r="AA98" i="14"/>
  <c r="AI97" i="14"/>
  <c r="AA97" i="14"/>
  <c r="AI96" i="14"/>
  <c r="AA96" i="14"/>
  <c r="AI95" i="14"/>
  <c r="AA95" i="14"/>
  <c r="AI94" i="14"/>
  <c r="AA94" i="14"/>
  <c r="AI93" i="14"/>
  <c r="AA93" i="14"/>
  <c r="AI68" i="14"/>
  <c r="AA68" i="14"/>
  <c r="AI67" i="14"/>
  <c r="AA67" i="14"/>
  <c r="AI66" i="14"/>
  <c r="AA66" i="14"/>
  <c r="AI65" i="14"/>
  <c r="AA65" i="14"/>
  <c r="AI64" i="14"/>
  <c r="AA64" i="14"/>
  <c r="AI63" i="14"/>
  <c r="AA63" i="14"/>
  <c r="AI62" i="14"/>
  <c r="AA62" i="14"/>
  <c r="AI61" i="14"/>
  <c r="AA61" i="14"/>
  <c r="AI40" i="14"/>
  <c r="AA40" i="14"/>
  <c r="AI49" i="14"/>
  <c r="AA49" i="14"/>
  <c r="AI72" i="14"/>
  <c r="AA72" i="14"/>
  <c r="AI48" i="14"/>
  <c r="AA48" i="14"/>
  <c r="AI47" i="14"/>
  <c r="AA47" i="14"/>
  <c r="AI13" i="14"/>
  <c r="AI46" i="14"/>
  <c r="AA46" i="14"/>
  <c r="AI32" i="14"/>
  <c r="AI45" i="14"/>
  <c r="AA45" i="14"/>
  <c r="AI44" i="14"/>
  <c r="AA44" i="14"/>
  <c r="AI41" i="14"/>
  <c r="AA41" i="14"/>
  <c r="AI43" i="14"/>
  <c r="AA43" i="14"/>
  <c r="AI42" i="14"/>
  <c r="AA42" i="14"/>
  <c r="AI20" i="14"/>
  <c r="AA20" i="14"/>
  <c r="AI92" i="14"/>
  <c r="AA92" i="14"/>
  <c r="AI91" i="14"/>
  <c r="AA91" i="14"/>
  <c r="AI90" i="14"/>
  <c r="AA90" i="14"/>
  <c r="AI89" i="14"/>
  <c r="AA89" i="14"/>
  <c r="AI88" i="14"/>
  <c r="AA88" i="14"/>
  <c r="AI87" i="14"/>
  <c r="AA87" i="14"/>
  <c r="AI86" i="14"/>
  <c r="AA86" i="14"/>
  <c r="AI85" i="14"/>
  <c r="AA85" i="14"/>
  <c r="AI84" i="14"/>
  <c r="AA84" i="14"/>
  <c r="AI83" i="14"/>
  <c r="AA83" i="14"/>
  <c r="AI82" i="14"/>
  <c r="AA82" i="14"/>
  <c r="AI81" i="14"/>
  <c r="AA81" i="14"/>
  <c r="AI80" i="14"/>
  <c r="AA80" i="14"/>
  <c r="AI79" i="14"/>
  <c r="AA79" i="14"/>
  <c r="AI78" i="14"/>
  <c r="AA78" i="14"/>
  <c r="AI77" i="14"/>
  <c r="AA77" i="14"/>
  <c r="AI76" i="14"/>
  <c r="AA76" i="14"/>
  <c r="AA30" i="14"/>
  <c r="Z25" i="35"/>
  <c r="Y10" i="35"/>
  <c r="AA8" i="35"/>
  <c r="C3" i="70"/>
  <c r="C2" i="70" s="1"/>
  <c r="AA8" i="72"/>
  <c r="AA7" i="72"/>
  <c r="AA5" i="72"/>
  <c r="O12" i="62"/>
  <c r="AA11" i="72"/>
  <c r="AA10" i="72"/>
  <c r="Z5" i="72"/>
  <c r="Z7" i="72"/>
  <c r="AL20" i="20"/>
  <c r="AE367" i="20"/>
  <c r="AC401" i="20"/>
  <c r="AE365" i="20"/>
  <c r="AO539" i="20"/>
  <c r="AE162" i="20"/>
  <c r="AI273" i="20"/>
  <c r="AL193" i="20"/>
  <c r="AG337" i="20"/>
  <c r="AP84" i="20"/>
  <c r="AE185" i="20"/>
  <c r="AM436" i="20"/>
  <c r="AK189" i="20"/>
  <c r="AL92" i="20"/>
  <c r="AG109" i="20"/>
  <c r="AO230" i="20"/>
  <c r="AO162" i="20"/>
  <c r="AH154" i="20"/>
  <c r="AK154" i="20"/>
  <c r="AI129" i="20"/>
  <c r="AH129" i="20"/>
  <c r="AK121" i="20"/>
  <c r="AO105" i="20"/>
  <c r="J53" i="37" s="1"/>
  <c r="AJ97" i="20"/>
  <c r="AQ162" i="20"/>
  <c r="AQ405" i="20"/>
  <c r="AE138" i="20"/>
  <c r="AQ517" i="20"/>
  <c r="AQ393" i="20"/>
  <c r="AQ234" i="20"/>
  <c r="AN158" i="20"/>
  <c r="AG150" i="20"/>
  <c r="AI150" i="20"/>
  <c r="AN133" i="20"/>
  <c r="AJ133" i="20"/>
  <c r="AK125" i="20"/>
  <c r="AN109" i="20"/>
  <c r="AK109" i="20"/>
  <c r="AN101" i="20"/>
  <c r="AC85" i="20"/>
  <c r="AE393" i="20"/>
  <c r="AM162" i="20"/>
  <c r="AG105" i="20"/>
  <c r="D53" i="37" s="1"/>
  <c r="AO450" i="20"/>
  <c r="AM382" i="20"/>
  <c r="AQ60" i="20"/>
  <c r="AO199" i="20"/>
  <c r="AK532" i="20"/>
  <c r="AJ522" i="20"/>
  <c r="AE390" i="20"/>
  <c r="AC522" i="20"/>
  <c r="AN476" i="20"/>
  <c r="AJ392" i="20"/>
  <c r="AM341" i="20"/>
  <c r="AC313" i="20"/>
  <c r="AK309" i="20"/>
  <c r="AL289" i="20"/>
  <c r="AP92" i="20"/>
  <c r="AE309" i="20"/>
  <c r="AQ333" i="20"/>
  <c r="AK64" i="20"/>
  <c r="AQ112" i="20"/>
  <c r="AK317" i="20"/>
  <c r="AQ185" i="20"/>
  <c r="AJ337" i="20"/>
  <c r="AK329" i="20"/>
  <c r="AG333" i="20"/>
  <c r="AH450" i="20"/>
  <c r="AP159" i="20"/>
  <c r="AQ415" i="20"/>
  <c r="AL180" i="20"/>
  <c r="AE415" i="20"/>
  <c r="AQ328" i="20"/>
  <c r="AL431" i="20"/>
  <c r="AJ328" i="20"/>
  <c r="AI135" i="20"/>
  <c r="AE336" i="20"/>
  <c r="AE439" i="20"/>
  <c r="AJ188" i="20"/>
  <c r="AC389" i="20"/>
  <c r="AM222" i="20"/>
  <c r="AC142" i="20"/>
  <c r="AI85" i="20"/>
  <c r="AL28" i="20"/>
  <c r="AG264" i="20"/>
  <c r="AC240" i="20"/>
  <c r="AM176" i="20"/>
  <c r="AO284" i="20"/>
  <c r="AG304" i="20"/>
  <c r="AN284" i="20"/>
  <c r="AN268" i="20"/>
  <c r="AC248" i="20"/>
  <c r="AK224" i="20"/>
  <c r="AQ208" i="20"/>
  <c r="AC200" i="20"/>
  <c r="AN188" i="20"/>
  <c r="AI180" i="20"/>
  <c r="AJ168" i="20"/>
  <c r="AG160" i="20"/>
  <c r="AC160" i="20"/>
  <c r="AK148" i="20"/>
  <c r="AI144" i="20"/>
  <c r="AG140" i="20"/>
  <c r="AK127" i="20"/>
  <c r="AQ127" i="20"/>
  <c r="AJ115" i="20"/>
  <c r="AI107" i="20"/>
  <c r="AH99" i="20"/>
  <c r="AI95" i="20"/>
  <c r="AK95" i="20"/>
  <c r="AG95" i="20"/>
  <c r="AJ91" i="20"/>
  <c r="AL103" i="20"/>
  <c r="AL192" i="20"/>
  <c r="AO216" i="20"/>
  <c r="AP135" i="20"/>
  <c r="AK156" i="20"/>
  <c r="AH374" i="20"/>
  <c r="AE377" i="20"/>
  <c r="AH194" i="20"/>
  <c r="AH101" i="20"/>
  <c r="AH97" i="20"/>
  <c r="AG486" i="20"/>
  <c r="AH372" i="20"/>
  <c r="AH333" i="20"/>
  <c r="AK333" i="20"/>
  <c r="AJ439" i="20"/>
  <c r="AK423" i="20"/>
  <c r="AN415" i="20"/>
  <c r="AN407" i="20"/>
  <c r="AH403" i="20"/>
  <c r="AK419" i="20"/>
  <c r="AO363" i="20"/>
  <c r="AO241" i="20"/>
  <c r="AN233" i="20"/>
  <c r="AI217" i="20"/>
  <c r="AG173" i="20"/>
  <c r="AJ369" i="20"/>
  <c r="AE369" i="20"/>
  <c r="AM353" i="20"/>
  <c r="AL334" i="20"/>
  <c r="AK211" i="20"/>
  <c r="AM195" i="20"/>
  <c r="AK195" i="20"/>
  <c r="AC187" i="20"/>
  <c r="AO179" i="20"/>
  <c r="AK171" i="20"/>
  <c r="AN171" i="20"/>
  <c r="AI155" i="20"/>
  <c r="AN118" i="20"/>
  <c r="AK90" i="20"/>
  <c r="AH78" i="20"/>
  <c r="AC72" i="20"/>
  <c r="AH72" i="20"/>
  <c r="AO72" i="20"/>
  <c r="AI60" i="20"/>
  <c r="AE59" i="20"/>
  <c r="AC44" i="20"/>
  <c r="AQ36" i="20"/>
  <c r="AL36" i="20"/>
  <c r="AI36" i="20"/>
  <c r="AE72" i="20"/>
  <c r="AQ48" i="20"/>
  <c r="AQ211" i="20"/>
  <c r="AP72" i="20"/>
  <c r="AQ507" i="20"/>
  <c r="AK491" i="20"/>
  <c r="AK483" i="20"/>
  <c r="AM399" i="20"/>
  <c r="AG342" i="20"/>
  <c r="AQ235" i="20"/>
  <c r="AO207" i="20"/>
  <c r="AL199" i="20"/>
  <c r="AE191" i="20"/>
  <c r="AK183" i="20"/>
  <c r="AG175" i="20"/>
  <c r="AN159" i="20"/>
  <c r="AJ143" i="20"/>
  <c r="AI106" i="20"/>
  <c r="AI86" i="20"/>
  <c r="AC82" i="20"/>
  <c r="AK82" i="20"/>
  <c r="AN48" i="20"/>
  <c r="AI48" i="20"/>
  <c r="AP348" i="20"/>
  <c r="AK41" i="20"/>
  <c r="AI39" i="20"/>
  <c r="AI38" i="20"/>
  <c r="AG38" i="20"/>
  <c r="AL76" i="20"/>
  <c r="AL74" i="20"/>
  <c r="AJ72" i="20"/>
  <c r="AE60" i="20"/>
  <c r="AH60" i="20"/>
  <c r="AQ40" i="20"/>
  <c r="AK44" i="20"/>
  <c r="AL110" i="20"/>
  <c r="AQ348" i="20"/>
  <c r="AE36" i="20"/>
  <c r="AI187" i="20"/>
  <c r="AJ326" i="20"/>
  <c r="AO348" i="20"/>
  <c r="AM143" i="20"/>
  <c r="AN74" i="20"/>
  <c r="AG60" i="20"/>
  <c r="AE187" i="20"/>
  <c r="AE491" i="20"/>
  <c r="AL40" i="20"/>
  <c r="AG44" i="20"/>
  <c r="AP211" i="20"/>
  <c r="AO483" i="20"/>
  <c r="AN491" i="20"/>
  <c r="AK389" i="20"/>
  <c r="AG50" i="20"/>
  <c r="AJ88" i="20"/>
  <c r="AO189" i="20"/>
  <c r="AN340" i="20"/>
  <c r="AI489" i="20"/>
  <c r="AP489" i="20"/>
  <c r="AI485" i="20"/>
  <c r="AG485" i="20"/>
  <c r="AJ477" i="20"/>
  <c r="AG393" i="20"/>
  <c r="AN393" i="20"/>
  <c r="AN389" i="20"/>
  <c r="AC385" i="20"/>
  <c r="AC381" i="20"/>
  <c r="AN381" i="20"/>
  <c r="AH249" i="20"/>
  <c r="AC237" i="20"/>
  <c r="AI237" i="20"/>
  <c r="AH237" i="20"/>
  <c r="AH233" i="20"/>
  <c r="AI233" i="20"/>
  <c r="AJ233" i="20"/>
  <c r="AJ229" i="20"/>
  <c r="AI229" i="20"/>
  <c r="AM229" i="20"/>
  <c r="AM221" i="20"/>
  <c r="AP217" i="20"/>
  <c r="AG217" i="20"/>
  <c r="AJ213" i="20"/>
  <c r="AM213" i="20"/>
  <c r="AN213" i="20"/>
  <c r="AO273" i="20"/>
  <c r="AL253" i="20"/>
  <c r="AQ213" i="20"/>
  <c r="AP229" i="20"/>
  <c r="AE237" i="20"/>
  <c r="AP277" i="20"/>
  <c r="AE173" i="20"/>
  <c r="AE389" i="20"/>
  <c r="AE289" i="20"/>
  <c r="AE355" i="20"/>
  <c r="AE217" i="20"/>
  <c r="AQ84" i="20"/>
  <c r="AE363" i="20"/>
  <c r="AL336" i="20"/>
  <c r="AH201" i="20"/>
  <c r="AI401" i="20"/>
  <c r="AH401" i="20"/>
  <c r="AK205" i="20"/>
  <c r="AL401" i="20"/>
  <c r="AQ485" i="20"/>
  <c r="AC273" i="20"/>
  <c r="AP385" i="20"/>
  <c r="AL389" i="20"/>
  <c r="AI289" i="20"/>
  <c r="AO393" i="20"/>
  <c r="AO397" i="20"/>
  <c r="AH50" i="20"/>
  <c r="AN481" i="20"/>
  <c r="AM481" i="20"/>
  <c r="AO489" i="20"/>
  <c r="AM225" i="20"/>
  <c r="AJ485" i="20"/>
  <c r="AL225" i="20"/>
  <c r="AI213" i="20"/>
  <c r="AH420" i="20"/>
  <c r="AQ473" i="20"/>
  <c r="AL461" i="20"/>
  <c r="AQ461" i="20"/>
  <c r="AO465" i="20"/>
  <c r="AP469" i="20"/>
  <c r="AJ473" i="20"/>
  <c r="AP467" i="20"/>
  <c r="AG491" i="20"/>
  <c r="AH483" i="20"/>
  <c r="AH229" i="20"/>
  <c r="AJ225" i="20"/>
  <c r="AH225" i="20"/>
  <c r="AJ217" i="20"/>
  <c r="AG213" i="20"/>
  <c r="AI56" i="20"/>
  <c r="AE461" i="20"/>
  <c r="AI71" i="20"/>
  <c r="AE457" i="20"/>
  <c r="AQ457" i="20"/>
  <c r="AL476" i="20"/>
  <c r="AI461" i="20"/>
  <c r="AN461" i="20"/>
  <c r="AP465" i="20"/>
  <c r="AL469" i="20"/>
  <c r="AO473" i="20"/>
  <c r="AJ71" i="20"/>
  <c r="AO52" i="20"/>
  <c r="AQ465" i="20"/>
  <c r="AH461" i="20"/>
  <c r="AI469" i="20"/>
  <c r="AJ469" i="20"/>
  <c r="AO467" i="20"/>
  <c r="AG450" i="20"/>
  <c r="AG418" i="20"/>
  <c r="AH353" i="20"/>
  <c r="AI353" i="20"/>
  <c r="AH207" i="20"/>
  <c r="AG207" i="20"/>
  <c r="AC203" i="20"/>
  <c r="AI183" i="20"/>
  <c r="AI171" i="20"/>
  <c r="AC126" i="20"/>
  <c r="AG90" i="20"/>
  <c r="AJ66" i="20"/>
  <c r="AH384" i="20"/>
  <c r="AM537" i="20"/>
  <c r="AP537" i="20"/>
  <c r="AQ537" i="20"/>
  <c r="AO533" i="20"/>
  <c r="AN533" i="20"/>
  <c r="AK533" i="20"/>
  <c r="AM533" i="20"/>
  <c r="AP533" i="20"/>
  <c r="AQ533" i="20"/>
  <c r="AG533" i="20"/>
  <c r="AN525" i="20"/>
  <c r="AK525" i="20"/>
  <c r="AP525" i="20"/>
  <c r="AO525" i="20"/>
  <c r="AH525" i="20"/>
  <c r="AL525" i="20"/>
  <c r="AG525" i="20"/>
  <c r="AC521" i="20"/>
  <c r="AH521" i="20"/>
  <c r="AM521" i="20"/>
  <c r="AG513" i="20"/>
  <c r="AJ513" i="20"/>
  <c r="AP509" i="20"/>
  <c r="AO509" i="20"/>
  <c r="AN509" i="20"/>
  <c r="AJ509" i="20"/>
  <c r="AG509" i="20"/>
  <c r="AH509" i="20"/>
  <c r="AI509" i="20"/>
  <c r="AK501" i="20"/>
  <c r="AO501" i="20"/>
  <c r="AI501" i="20"/>
  <c r="AQ501" i="20"/>
  <c r="AP501" i="20"/>
  <c r="AE501" i="20"/>
  <c r="AC501" i="20"/>
  <c r="AL493" i="20"/>
  <c r="AK493" i="20"/>
  <c r="AQ460" i="20"/>
  <c r="AM453" i="20"/>
  <c r="AO453" i="20"/>
  <c r="AL453" i="20"/>
  <c r="AM449" i="20"/>
  <c r="AI449" i="20"/>
  <c r="AH449" i="20"/>
  <c r="AC449" i="20"/>
  <c r="AG449" i="20"/>
  <c r="AE449" i="20"/>
  <c r="AP449" i="20"/>
  <c r="AM441" i="20"/>
  <c r="AI441" i="20"/>
  <c r="AG441" i="20"/>
  <c r="AK441" i="20"/>
  <c r="AN441" i="20"/>
  <c r="AQ441" i="20"/>
  <c r="AH441" i="20"/>
  <c r="AN437" i="20"/>
  <c r="AC437" i="20"/>
  <c r="AL437" i="20"/>
  <c r="AH437" i="20"/>
  <c r="AG437" i="20"/>
  <c r="AE437" i="20"/>
  <c r="AK437" i="20"/>
  <c r="AM433" i="20"/>
  <c r="AI433" i="20"/>
  <c r="AN433" i="20"/>
  <c r="AK433" i="20"/>
  <c r="AE433" i="20"/>
  <c r="AL433" i="20"/>
  <c r="AJ425" i="20"/>
  <c r="AL425" i="20"/>
  <c r="AK425" i="20"/>
  <c r="AO425" i="20"/>
  <c r="AM425" i="20"/>
  <c r="AH425" i="20"/>
  <c r="AQ421" i="20"/>
  <c r="AG417" i="20"/>
  <c r="AP417" i="20"/>
  <c r="AO417" i="20"/>
  <c r="AQ417" i="20"/>
  <c r="AL417" i="20"/>
  <c r="AM417" i="20"/>
  <c r="AO413" i="20"/>
  <c r="AH413" i="20"/>
  <c r="AM413" i="20"/>
  <c r="AI413" i="20"/>
  <c r="AJ413" i="20"/>
  <c r="AG413" i="20"/>
  <c r="AK413" i="20"/>
  <c r="AG409" i="20"/>
  <c r="AG405" i="20"/>
  <c r="AL405" i="20"/>
  <c r="AC405" i="20"/>
  <c r="AO405" i="20"/>
  <c r="AE405" i="20"/>
  <c r="AH405" i="20"/>
  <c r="AK398" i="20"/>
  <c r="AL395" i="20"/>
  <c r="AQ395" i="20"/>
  <c r="AO395" i="20"/>
  <c r="AM387" i="20"/>
  <c r="AH387" i="20"/>
  <c r="AC383" i="20"/>
  <c r="AM383" i="20"/>
  <c r="AQ383" i="20"/>
  <c r="AI376" i="20"/>
  <c r="AG373" i="20"/>
  <c r="AK373" i="20"/>
  <c r="AC373" i="20"/>
  <c r="AH373" i="20"/>
  <c r="AL373" i="20"/>
  <c r="AP373" i="20"/>
  <c r="AG365" i="20"/>
  <c r="AL365" i="20"/>
  <c r="AC365" i="20"/>
  <c r="AK365" i="20"/>
  <c r="AM365" i="20"/>
  <c r="AQ365" i="20"/>
  <c r="AG361" i="20"/>
  <c r="AH361" i="20"/>
  <c r="AI361" i="20"/>
  <c r="AC361" i="20"/>
  <c r="AJ361" i="20"/>
  <c r="AP361" i="20"/>
  <c r="AK361" i="20"/>
  <c r="AQ322" i="20"/>
  <c r="AN314" i="20"/>
  <c r="AM310" i="20"/>
  <c r="AM303" i="20"/>
  <c r="AN303" i="20"/>
  <c r="AC295" i="20"/>
  <c r="AJ295" i="20"/>
  <c r="AL291" i="20"/>
  <c r="AJ291" i="20"/>
  <c r="AJ287" i="20"/>
  <c r="AK287" i="20"/>
  <c r="AG287" i="20"/>
  <c r="AH279" i="20"/>
  <c r="AN279" i="20"/>
  <c r="AC279" i="20"/>
  <c r="AP275" i="20"/>
  <c r="AH275" i="20"/>
  <c r="AO275" i="20"/>
  <c r="AE267" i="20"/>
  <c r="AQ267" i="20"/>
  <c r="AQ263" i="20"/>
  <c r="AN255" i="20"/>
  <c r="AC255" i="20"/>
  <c r="AP255" i="20"/>
  <c r="AN251" i="20"/>
  <c r="AG251" i="20"/>
  <c r="AP251" i="20"/>
  <c r="AC243" i="20"/>
  <c r="AM243" i="20"/>
  <c r="AK243" i="20"/>
  <c r="AP239" i="20"/>
  <c r="AJ239" i="20"/>
  <c r="AC231" i="20"/>
  <c r="AK231" i="20"/>
  <c r="AK227" i="20"/>
  <c r="AH227" i="20"/>
  <c r="AJ223" i="20"/>
  <c r="AQ223" i="20"/>
  <c r="AH223" i="20"/>
  <c r="AK219" i="20"/>
  <c r="AN58" i="20"/>
  <c r="AJ58" i="20"/>
  <c r="AK54" i="20"/>
  <c r="AQ49" i="20"/>
  <c r="AO352" i="20"/>
  <c r="AK77" i="20"/>
  <c r="AK63" i="20"/>
  <c r="AE509" i="20"/>
  <c r="AE314" i="20"/>
  <c r="AE283" i="20"/>
  <c r="AO517" i="20"/>
  <c r="AG352" i="20"/>
  <c r="AC58" i="20"/>
  <c r="AP513" i="20"/>
  <c r="AI405" i="20"/>
  <c r="AH235" i="20"/>
  <c r="AI307" i="20"/>
  <c r="AP433" i="20"/>
  <c r="AK497" i="20"/>
  <c r="AP63" i="20"/>
  <c r="AJ77" i="20"/>
  <c r="AE425" i="20"/>
  <c r="AL513" i="20"/>
  <c r="AI58" i="20"/>
  <c r="AQ314" i="20"/>
  <c r="AP405" i="20"/>
  <c r="AL219" i="20"/>
  <c r="AG231" i="20"/>
  <c r="AP295" i="20"/>
  <c r="AP437" i="20"/>
  <c r="AP387" i="20"/>
  <c r="AN529" i="20"/>
  <c r="AL529" i="20"/>
  <c r="AG529" i="20"/>
  <c r="AC517" i="20"/>
  <c r="AG517" i="20"/>
  <c r="AL517" i="20"/>
  <c r="AJ517" i="20"/>
  <c r="AK505" i="20"/>
  <c r="AH505" i="20"/>
  <c r="AQ505" i="20"/>
  <c r="AN505" i="20"/>
  <c r="AC497" i="20"/>
  <c r="AJ497" i="20"/>
  <c r="AN497" i="20"/>
  <c r="AQ456" i="20"/>
  <c r="AM445" i="20"/>
  <c r="AN445" i="20"/>
  <c r="AK429" i="20"/>
  <c r="AO429" i="20"/>
  <c r="AJ429" i="20"/>
  <c r="AC429" i="20"/>
  <c r="AG429" i="20"/>
  <c r="AH429" i="20"/>
  <c r="AL391" i="20"/>
  <c r="AO391" i="20"/>
  <c r="AJ391" i="20"/>
  <c r="AN379" i="20"/>
  <c r="AC379" i="20"/>
  <c r="AN369" i="20"/>
  <c r="AH369" i="20"/>
  <c r="AG369" i="20"/>
  <c r="AL369" i="20"/>
  <c r="AP369" i="20"/>
  <c r="AK369" i="20"/>
  <c r="AM357" i="20"/>
  <c r="AL357" i="20"/>
  <c r="AP357" i="20"/>
  <c r="AO357" i="20"/>
  <c r="AJ357" i="20"/>
  <c r="AH357" i="20"/>
  <c r="AQ318" i="20"/>
  <c r="AC307" i="20"/>
  <c r="AG307" i="20"/>
  <c r="AN299" i="20"/>
  <c r="AO299" i="20"/>
  <c r="AG283" i="20"/>
  <c r="AJ283" i="20"/>
  <c r="AC283" i="20"/>
  <c r="AP271" i="20"/>
  <c r="AI271" i="20"/>
  <c r="AL271" i="20"/>
  <c r="AG259" i="20"/>
  <c r="AK259" i="20"/>
  <c r="AP259" i="20"/>
  <c r="AH247" i="20"/>
  <c r="AI235" i="20"/>
  <c r="AC235" i="20"/>
  <c r="AM215" i="20"/>
  <c r="AE215" i="20"/>
  <c r="AL215" i="20"/>
  <c r="AL376" i="20"/>
  <c r="AI77" i="20"/>
  <c r="AE357" i="20"/>
  <c r="AE219" i="20"/>
  <c r="AE361" i="20"/>
  <c r="AE259" i="20"/>
  <c r="AQ352" i="20"/>
  <c r="AP58" i="20"/>
  <c r="AK267" i="20"/>
  <c r="AG215" i="20"/>
  <c r="AM219" i="20"/>
  <c r="AL231" i="20"/>
  <c r="AM287" i="20"/>
  <c r="AH303" i="20"/>
  <c r="AM429" i="20"/>
  <c r="AQ357" i="20"/>
  <c r="AC263" i="20"/>
  <c r="AC275" i="20"/>
  <c r="AH255" i="20"/>
  <c r="AC531" i="20"/>
  <c r="AI531" i="20"/>
  <c r="AP531" i="20"/>
  <c r="AN523" i="20"/>
  <c r="AG523" i="20"/>
  <c r="AK523" i="20"/>
  <c r="AM515" i="20"/>
  <c r="AH515" i="20"/>
  <c r="AH507" i="20"/>
  <c r="AC507" i="20"/>
  <c r="AG507" i="20"/>
  <c r="AN503" i="20"/>
  <c r="AI499" i="20"/>
  <c r="AJ495" i="20"/>
  <c r="AM462" i="20"/>
  <c r="AL458" i="20"/>
  <c r="AC451" i="20"/>
  <c r="AK451" i="20"/>
  <c r="AG381" i="20"/>
  <c r="AM381" i="20"/>
  <c r="AJ381" i="20"/>
  <c r="AL371" i="20"/>
  <c r="AM371" i="20"/>
  <c r="AO367" i="20"/>
  <c r="AI367" i="20"/>
  <c r="AN363" i="20"/>
  <c r="AQ363" i="20"/>
  <c r="AP359" i="20"/>
  <c r="AH359" i="20"/>
  <c r="AK359" i="20"/>
  <c r="AJ355" i="20"/>
  <c r="AJ320" i="20"/>
  <c r="AO312" i="20"/>
  <c r="AH305" i="20"/>
  <c r="AP305" i="20"/>
  <c r="AC305" i="20"/>
  <c r="AL305" i="20"/>
  <c r="AQ305" i="20"/>
  <c r="AN305" i="20"/>
  <c r="AH301" i="20"/>
  <c r="AH297" i="20"/>
  <c r="AN297" i="20"/>
  <c r="AP297" i="20"/>
  <c r="AG297" i="20"/>
  <c r="AH293" i="20"/>
  <c r="AI293" i="20"/>
  <c r="AQ289" i="20"/>
  <c r="AK289" i="20"/>
  <c r="AJ289" i="20"/>
  <c r="AM281" i="20"/>
  <c r="AM277" i="20"/>
  <c r="AI277" i="20"/>
  <c r="AN273" i="20"/>
  <c r="AE273" i="20"/>
  <c r="AK273" i="20"/>
  <c r="AH269" i="20"/>
  <c r="AG269" i="20"/>
  <c r="AC269" i="20"/>
  <c r="AG265" i="20"/>
  <c r="AN265" i="20"/>
  <c r="AJ265" i="20"/>
  <c r="AH265" i="20"/>
  <c r="AL265" i="20"/>
  <c r="AI265" i="20"/>
  <c r="AH261" i="20"/>
  <c r="AC261" i="20"/>
  <c r="AM261" i="20"/>
  <c r="AI261" i="20"/>
  <c r="AJ261" i="20"/>
  <c r="AN261" i="20"/>
  <c r="AG257" i="20"/>
  <c r="AN257" i="20"/>
  <c r="AL257" i="20"/>
  <c r="AC257" i="20"/>
  <c r="AJ257" i="20"/>
  <c r="AM257" i="20"/>
  <c r="AK257" i="20"/>
  <c r="AH253" i="20"/>
  <c r="AN253" i="20"/>
  <c r="AK253" i="20"/>
  <c r="AJ253" i="20"/>
  <c r="AG253" i="20"/>
  <c r="AN249" i="20"/>
  <c r="AG249" i="20"/>
  <c r="AM249" i="20"/>
  <c r="AP249" i="20"/>
  <c r="AI249" i="20"/>
  <c r="AC249" i="20"/>
  <c r="AJ245" i="20"/>
  <c r="AN245" i="20"/>
  <c r="AI245" i="20"/>
  <c r="AH245" i="20"/>
  <c r="AN241" i="20"/>
  <c r="AC241" i="20"/>
  <c r="AL241" i="20"/>
  <c r="AH241" i="20"/>
  <c r="AG241" i="20"/>
  <c r="AM241" i="20"/>
  <c r="AK241" i="20"/>
  <c r="AC209" i="20"/>
  <c r="AJ197" i="20"/>
  <c r="AK197" i="20"/>
  <c r="AI197" i="20"/>
  <c r="AN193" i="20"/>
  <c r="AM193" i="20"/>
  <c r="AQ193" i="20"/>
  <c r="AI193" i="20"/>
  <c r="AG189" i="20"/>
  <c r="AM189" i="20"/>
  <c r="AC189" i="20"/>
  <c r="AC185" i="20"/>
  <c r="AJ185" i="20"/>
  <c r="AP185" i="20"/>
  <c r="AH185" i="20"/>
  <c r="AN181" i="20"/>
  <c r="AQ181" i="20"/>
  <c r="AJ181" i="20"/>
  <c r="AM177" i="20"/>
  <c r="AL177" i="20"/>
  <c r="AH177" i="20"/>
  <c r="AC177" i="20"/>
  <c r="AH173" i="20"/>
  <c r="AQ173" i="20"/>
  <c r="AK173" i="20"/>
  <c r="AG169" i="20"/>
  <c r="AI169" i="20"/>
  <c r="AJ169" i="20"/>
  <c r="AC169" i="20"/>
  <c r="AC161" i="20"/>
  <c r="AO161" i="20"/>
  <c r="AO153" i="20"/>
  <c r="AQ153" i="20"/>
  <c r="AL145" i="20"/>
  <c r="AM145" i="20"/>
  <c r="AG141" i="20"/>
  <c r="AC136" i="20"/>
  <c r="AC132" i="20"/>
  <c r="AK120" i="20"/>
  <c r="AL116" i="20"/>
  <c r="AL112" i="20"/>
  <c r="AH112" i="20"/>
  <c r="AG104" i="20"/>
  <c r="AC100" i="20"/>
  <c r="AH96" i="20"/>
  <c r="AC92" i="20"/>
  <c r="AH92" i="20"/>
  <c r="AO92" i="20"/>
  <c r="AN92" i="20"/>
  <c r="AK92" i="20"/>
  <c r="AH88" i="20"/>
  <c r="AN88" i="20"/>
  <c r="AO88" i="20"/>
  <c r="AL88" i="20"/>
  <c r="AK84" i="20"/>
  <c r="AN84" i="20"/>
  <c r="AH80" i="20"/>
  <c r="AG80" i="20"/>
  <c r="AK80" i="20"/>
  <c r="AL80" i="20"/>
  <c r="AH68" i="20"/>
  <c r="AN68" i="20"/>
  <c r="AL68" i="20"/>
  <c r="AG68" i="20"/>
  <c r="AI68" i="20"/>
  <c r="AO64" i="20"/>
  <c r="AO71" i="20"/>
  <c r="AN71" i="20"/>
  <c r="AG56" i="20"/>
  <c r="AC56" i="20"/>
  <c r="AJ56" i="20"/>
  <c r="AK56" i="20"/>
  <c r="AH56" i="20"/>
  <c r="AG47" i="20"/>
  <c r="AH47" i="20"/>
  <c r="AO47" i="20"/>
  <c r="AG347" i="20"/>
  <c r="AM347" i="20"/>
  <c r="AL347" i="20"/>
  <c r="AL201" i="20"/>
  <c r="AQ201" i="20"/>
  <c r="AJ209" i="20"/>
  <c r="AO447" i="20"/>
  <c r="AO137" i="20"/>
  <c r="AP197" i="20"/>
  <c r="AQ257" i="20"/>
  <c r="AQ56" i="20"/>
  <c r="AJ293" i="20"/>
  <c r="AG320" i="20"/>
  <c r="AN277" i="20"/>
  <c r="AH324" i="20"/>
  <c r="AL153" i="20"/>
  <c r="AM169" i="20"/>
  <c r="AJ173" i="20"/>
  <c r="AK193" i="20"/>
  <c r="AO381" i="20"/>
  <c r="AL316" i="20"/>
  <c r="AH320" i="20"/>
  <c r="AG277" i="20"/>
  <c r="AL281" i="20"/>
  <c r="AM289" i="20"/>
  <c r="AC301" i="20"/>
  <c r="AM324" i="20"/>
  <c r="AC80" i="20"/>
  <c r="AI84" i="20"/>
  <c r="AJ92" i="20"/>
  <c r="AK96" i="20"/>
  <c r="AL104" i="20"/>
  <c r="AC153" i="20"/>
  <c r="AN161" i="20"/>
  <c r="AG177" i="20"/>
  <c r="AH181" i="20"/>
  <c r="AC193" i="20"/>
  <c r="AC197" i="20"/>
  <c r="AC205" i="20"/>
  <c r="AI355" i="20"/>
  <c r="AM359" i="20"/>
  <c r="AI363" i="20"/>
  <c r="AO371" i="20"/>
  <c r="AP499" i="20"/>
  <c r="AJ241" i="20"/>
  <c r="AJ305" i="20"/>
  <c r="AK499" i="20"/>
  <c r="AJ347" i="20"/>
  <c r="AK269" i="20"/>
  <c r="AL249" i="20"/>
  <c r="AC499" i="20"/>
  <c r="AN177" i="20"/>
  <c r="AC96" i="20"/>
  <c r="AE523" i="20"/>
  <c r="AI209" i="20"/>
  <c r="AH205" i="20"/>
  <c r="AN201" i="20"/>
  <c r="AM201" i="20"/>
  <c r="AJ205" i="20"/>
  <c r="AL447" i="20"/>
  <c r="AO451" i="20"/>
  <c r="AM269" i="20"/>
  <c r="AQ515" i="20"/>
  <c r="AP181" i="20"/>
  <c r="AQ177" i="20"/>
  <c r="AQ189" i="20"/>
  <c r="AJ301" i="20"/>
  <c r="AC281" i="20"/>
  <c r="AK157" i="20"/>
  <c r="AM161" i="20"/>
  <c r="AO173" i="20"/>
  <c r="AP177" i="20"/>
  <c r="AL181" i="20"/>
  <c r="AL189" i="20"/>
  <c r="AP193" i="20"/>
  <c r="AM197" i="20"/>
  <c r="AQ381" i="20"/>
  <c r="AI297" i="20"/>
  <c r="AP273" i="20"/>
  <c r="AG281" i="20"/>
  <c r="AQ281" i="20"/>
  <c r="AG293" i="20"/>
  <c r="AL297" i="20"/>
  <c r="AK301" i="20"/>
  <c r="AL320" i="20"/>
  <c r="AC68" i="20"/>
  <c r="AJ80" i="20"/>
  <c r="AJ84" i="20"/>
  <c r="AI88" i="20"/>
  <c r="AL96" i="20"/>
  <c r="AI104" i="20"/>
  <c r="AC165" i="20"/>
  <c r="AP173" i="20"/>
  <c r="AO177" i="20"/>
  <c r="AG185" i="20"/>
  <c r="AJ193" i="20"/>
  <c r="AO197" i="20"/>
  <c r="AJ363" i="20"/>
  <c r="AH367" i="20"/>
  <c r="AG371" i="20"/>
  <c r="AP257" i="20"/>
  <c r="AH347" i="20"/>
  <c r="AI241" i="20"/>
  <c r="AM245" i="20"/>
  <c r="AL515" i="20"/>
  <c r="AG349" i="20"/>
  <c r="AC349" i="20"/>
  <c r="AE212" i="20"/>
  <c r="AJ470" i="20"/>
  <c r="AH463" i="20"/>
  <c r="AH351" i="20"/>
  <c r="AI337" i="20"/>
  <c r="AH337" i="20"/>
  <c r="AG329" i="20"/>
  <c r="AH494" i="20"/>
  <c r="AQ28" i="20"/>
  <c r="AH377" i="20"/>
  <c r="AG377" i="20"/>
  <c r="AG274" i="20"/>
  <c r="AC28" i="20"/>
  <c r="AG28" i="20"/>
  <c r="AI28" i="20"/>
  <c r="AC84" i="20"/>
  <c r="AL84" i="20"/>
  <c r="AH84" i="20"/>
  <c r="AH64" i="20"/>
  <c r="AJ64" i="20"/>
  <c r="AI64" i="20"/>
  <c r="AP64" i="20"/>
  <c r="AH57" i="20"/>
  <c r="AO62" i="20"/>
  <c r="AP60" i="20"/>
  <c r="AL60" i="20"/>
  <c r="AC60" i="20"/>
  <c r="AI73" i="20"/>
  <c r="AJ76" i="20"/>
  <c r="AK76" i="20"/>
  <c r="AG74" i="20"/>
  <c r="AQ74" i="20"/>
  <c r="AH74" i="20"/>
  <c r="AQ52" i="20"/>
  <c r="AC52" i="20"/>
  <c r="AN28" i="20"/>
  <c r="AP29" i="20"/>
  <c r="AG30" i="20"/>
  <c r="AO30" i="20"/>
  <c r="AH30" i="20"/>
  <c r="AN30" i="20"/>
  <c r="AP30" i="20"/>
  <c r="AK29" i="20"/>
  <c r="AQ29" i="20"/>
  <c r="AK30" i="20"/>
  <c r="AI33" i="20"/>
  <c r="AQ33" i="20"/>
  <c r="AJ32" i="20"/>
  <c r="AL32" i="20"/>
  <c r="AN32" i="20"/>
  <c r="AE32" i="20"/>
  <c r="AG32" i="20"/>
  <c r="AI32" i="20"/>
  <c r="AO32" i="20"/>
  <c r="AQ32" i="20"/>
  <c r="AP70" i="20"/>
  <c r="AK52" i="20"/>
  <c r="AE52" i="20"/>
  <c r="AQ31" i="20"/>
  <c r="AC31" i="20"/>
  <c r="AH31" i="20"/>
  <c r="AL31" i="20"/>
  <c r="AJ33" i="20"/>
  <c r="AH33" i="20"/>
  <c r="I131" i="37"/>
  <c r="H131" i="37"/>
  <c r="G131" i="37"/>
  <c r="K131" i="37"/>
  <c r="L131" i="37"/>
  <c r="C131" i="37"/>
  <c r="E131" i="37"/>
  <c r="D131" i="37"/>
  <c r="J131" i="37"/>
  <c r="M131" i="37"/>
  <c r="F131" i="37"/>
  <c r="P42" i="74"/>
  <c r="O35" i="74"/>
  <c r="P35" i="74"/>
  <c r="P39" i="74"/>
  <c r="P40" i="74"/>
  <c r="O40" i="74"/>
  <c r="O36" i="74"/>
  <c r="P36" i="74"/>
  <c r="O38" i="74"/>
  <c r="P38" i="74"/>
  <c r="O37" i="74"/>
  <c r="O39" i="74"/>
  <c r="P37" i="74"/>
  <c r="P41" i="74"/>
  <c r="O41" i="74"/>
  <c r="AO33" i="20" l="1"/>
  <c r="AC29" i="20"/>
  <c r="AH29" i="20"/>
  <c r="AE57" i="20"/>
  <c r="AI290" i="20"/>
  <c r="AJ254" i="20"/>
  <c r="AL470" i="20"/>
  <c r="AG354" i="20"/>
  <c r="AC458" i="20"/>
  <c r="AQ462" i="20"/>
  <c r="AE310" i="20"/>
  <c r="AE318" i="20"/>
  <c r="AE77" i="20"/>
  <c r="AG49" i="20"/>
  <c r="AQ310" i="20"/>
  <c r="AJ310" i="20"/>
  <c r="AM314" i="20"/>
  <c r="AN322" i="20"/>
  <c r="AI502" i="20"/>
  <c r="AG147" i="20"/>
  <c r="AG430" i="20"/>
  <c r="AH478" i="20"/>
  <c r="AN466" i="20"/>
  <c r="AP163" i="20"/>
  <c r="AQ106" i="20"/>
  <c r="AN73" i="20"/>
  <c r="AH159" i="20"/>
  <c r="AE326" i="20"/>
  <c r="AI98" i="20"/>
  <c r="AN139" i="20"/>
  <c r="AQ326" i="20"/>
  <c r="AJ242" i="20"/>
  <c r="AJ61" i="20"/>
  <c r="AJ186" i="20"/>
  <c r="AM286" i="20"/>
  <c r="AQ354" i="20"/>
  <c r="AJ466" i="20"/>
  <c r="AK130" i="20"/>
  <c r="AE382" i="20"/>
  <c r="AL286" i="20"/>
  <c r="AO214" i="20"/>
  <c r="AE234" i="20"/>
  <c r="AQ254" i="20"/>
  <c r="AK73" i="20"/>
  <c r="AL57" i="20"/>
  <c r="AG238" i="20"/>
  <c r="AG466" i="20"/>
  <c r="AG490" i="20"/>
  <c r="AI458" i="20"/>
  <c r="AO462" i="20"/>
  <c r="AH318" i="20"/>
  <c r="AJ49" i="20"/>
  <c r="AI310" i="20"/>
  <c r="AP310" i="20"/>
  <c r="AH322" i="20"/>
  <c r="AO398" i="20"/>
  <c r="AJ502" i="20"/>
  <c r="AG102" i="20"/>
  <c r="AG410" i="20"/>
  <c r="AP446" i="20"/>
  <c r="AK478" i="20"/>
  <c r="AN474" i="20"/>
  <c r="AH134" i="20"/>
  <c r="AJ110" i="20"/>
  <c r="AL98" i="20"/>
  <c r="AC73" i="20"/>
  <c r="AE139" i="20"/>
  <c r="AN122" i="20"/>
  <c r="AC159" i="20"/>
  <c r="AJ342" i="20"/>
  <c r="AK134" i="20"/>
  <c r="AE163" i="20"/>
  <c r="AH155" i="20"/>
  <c r="AN69" i="20"/>
  <c r="AC210" i="20"/>
  <c r="AG57" i="20"/>
  <c r="AJ430" i="20"/>
  <c r="AJ506" i="20"/>
  <c r="AO73" i="20"/>
  <c r="AK270" i="20"/>
  <c r="AP69" i="20"/>
  <c r="AI302" i="20"/>
  <c r="AM186" i="20"/>
  <c r="AN33" i="20"/>
  <c r="AG33" i="20"/>
  <c r="AE33" i="20"/>
  <c r="AI29" i="20"/>
  <c r="AJ29" i="20"/>
  <c r="AE53" i="20"/>
  <c r="AO458" i="20"/>
  <c r="AJ462" i="20"/>
  <c r="AJ318" i="20"/>
  <c r="AO318" i="20"/>
  <c r="AC49" i="20"/>
  <c r="AH310" i="20"/>
  <c r="AO314" i="20"/>
  <c r="AM322" i="20"/>
  <c r="AP398" i="20"/>
  <c r="AH147" i="20"/>
  <c r="AI426" i="20"/>
  <c r="AI450" i="20"/>
  <c r="AC430" i="20"/>
  <c r="AC53" i="20"/>
  <c r="AQ73" i="20"/>
  <c r="AE118" i="20"/>
  <c r="AJ106" i="20"/>
  <c r="AG37" i="20"/>
  <c r="AK98" i="20"/>
  <c r="AP326" i="20"/>
  <c r="AC338" i="20"/>
  <c r="AG81" i="20"/>
  <c r="AH214" i="20"/>
  <c r="AH510" i="20"/>
  <c r="AH282" i="20"/>
  <c r="AC466" i="20"/>
  <c r="AO446" i="20"/>
  <c r="AO358" i="20"/>
  <c r="AK490" i="20"/>
  <c r="AE290" i="20"/>
  <c r="AL491" i="20"/>
  <c r="AM491" i="20"/>
  <c r="AH475" i="20"/>
  <c r="AL475" i="20"/>
  <c r="AM447" i="20"/>
  <c r="AP447" i="20"/>
  <c r="AG443" i="20"/>
  <c r="AK443" i="20"/>
  <c r="AI439" i="20"/>
  <c r="AN439" i="20"/>
  <c r="AJ327" i="20"/>
  <c r="AE327" i="20"/>
  <c r="AL203" i="20"/>
  <c r="AN203" i="20"/>
  <c r="AP203" i="20"/>
  <c r="AE199" i="20"/>
  <c r="AJ199" i="20"/>
  <c r="AO140" i="20"/>
  <c r="AK140" i="20"/>
  <c r="AG135" i="20"/>
  <c r="AH135" i="20"/>
  <c r="AP131" i="20"/>
  <c r="AN131" i="20"/>
  <c r="AJ103" i="20"/>
  <c r="AK103" i="20"/>
  <c r="AQ90" i="20"/>
  <c r="AC90" i="20"/>
  <c r="AO86" i="20"/>
  <c r="AC86" i="20"/>
  <c r="AE70" i="20"/>
  <c r="AI70" i="20"/>
  <c r="AK50" i="20"/>
  <c r="AN50" i="20"/>
  <c r="AQ530" i="20"/>
  <c r="AL530" i="20"/>
  <c r="AM486" i="20"/>
  <c r="AP486" i="20"/>
  <c r="AJ486" i="20"/>
  <c r="AH454" i="20"/>
  <c r="AC454" i="20"/>
  <c r="AO454" i="20"/>
  <c r="AP434" i="20"/>
  <c r="AC434" i="20"/>
  <c r="AI410" i="20"/>
  <c r="AQ410" i="20"/>
  <c r="AI402" i="20"/>
  <c r="AH402" i="20"/>
  <c r="AQ370" i="20"/>
  <c r="AE370" i="20"/>
  <c r="AC350" i="20"/>
  <c r="AK350" i="20"/>
  <c r="AL350" i="20"/>
  <c r="AM346" i="20"/>
  <c r="AH346" i="20"/>
  <c r="AK342" i="20"/>
  <c r="AL342" i="20"/>
  <c r="AH334" i="20"/>
  <c r="AN334" i="20"/>
  <c r="AP334" i="20"/>
  <c r="AH330" i="20"/>
  <c r="AM330" i="20"/>
  <c r="AH262" i="20"/>
  <c r="AQ262" i="20"/>
  <c r="AE250" i="20"/>
  <c r="AK250" i="20"/>
  <c r="AN167" i="20"/>
  <c r="AK167" i="20"/>
  <c r="AQ167" i="20"/>
  <c r="AL155" i="20"/>
  <c r="AC155" i="20"/>
  <c r="AN143" i="20"/>
  <c r="AL143" i="20"/>
  <c r="AL130" i="20"/>
  <c r="AJ130" i="20"/>
  <c r="AO126" i="20"/>
  <c r="AN126" i="20"/>
  <c r="AI114" i="20"/>
  <c r="AO114" i="20"/>
  <c r="AJ114" i="20"/>
  <c r="AI102" i="20"/>
  <c r="AC102" i="20"/>
  <c r="AH89" i="20"/>
  <c r="AG89" i="20"/>
  <c r="AL168" i="20"/>
  <c r="AN168" i="20"/>
  <c r="AP33" i="20"/>
  <c r="AG29" i="20"/>
  <c r="AP73" i="20"/>
  <c r="AN57" i="20"/>
  <c r="AG290" i="20"/>
  <c r="AI442" i="20"/>
  <c r="AQ447" i="20"/>
  <c r="AO515" i="20"/>
  <c r="AN347" i="20"/>
  <c r="AH363" i="20"/>
  <c r="AC367" i="20"/>
  <c r="AK371" i="20"/>
  <c r="AC447" i="20"/>
  <c r="AQ458" i="20"/>
  <c r="AL462" i="20"/>
  <c r="AN499" i="20"/>
  <c r="AJ507" i="20"/>
  <c r="AG515" i="20"/>
  <c r="AL531" i="20"/>
  <c r="AK391" i="20"/>
  <c r="AJ247" i="20"/>
  <c r="AP247" i="20"/>
  <c r="AE322" i="20"/>
  <c r="AO77" i="20"/>
  <c r="AL259" i="20"/>
  <c r="AI283" i="20"/>
  <c r="AJ307" i="20"/>
  <c r="AQ379" i="20"/>
  <c r="AM398" i="20"/>
  <c r="AE387" i="20"/>
  <c r="AJ215" i="20"/>
  <c r="AQ77" i="20"/>
  <c r="AC223" i="20"/>
  <c r="AO231" i="20"/>
  <c r="AG243" i="20"/>
  <c r="AG255" i="20"/>
  <c r="AO267" i="20"/>
  <c r="AQ275" i="20"/>
  <c r="AP314" i="20"/>
  <c r="AJ314" i="20"/>
  <c r="AL383" i="20"/>
  <c r="AH439" i="20"/>
  <c r="AG151" i="20"/>
  <c r="AG414" i="20"/>
  <c r="AH434" i="20"/>
  <c r="AJ454" i="20"/>
  <c r="AL478" i="20"/>
  <c r="AE474" i="20"/>
  <c r="AH371" i="20"/>
  <c r="AP350" i="20"/>
  <c r="AJ46" i="20"/>
  <c r="AK86" i="20"/>
  <c r="AK114" i="20"/>
  <c r="AN53" i="20"/>
  <c r="AI66" i="20"/>
  <c r="AQ475" i="20"/>
  <c r="AQ207" i="20"/>
  <c r="AI62" i="20"/>
  <c r="AE143" i="20"/>
  <c r="AE159" i="20"/>
  <c r="AL38" i="20"/>
  <c r="AL73" i="20"/>
  <c r="AH53" i="20"/>
  <c r="AH94" i="20"/>
  <c r="AG143" i="20"/>
  <c r="AI167" i="20"/>
  <c r="AM283" i="20"/>
  <c r="AG475" i="20"/>
  <c r="AL346" i="20"/>
  <c r="AI126" i="20"/>
  <c r="AJ62" i="20"/>
  <c r="AL37" i="20"/>
  <c r="AN90" i="20"/>
  <c r="AH102" i="20"/>
  <c r="AQ147" i="20"/>
  <c r="AJ163" i="20"/>
  <c r="AG179" i="20"/>
  <c r="AI203" i="20"/>
  <c r="AK330" i="20"/>
  <c r="AK346" i="20"/>
  <c r="AM431" i="20"/>
  <c r="AE375" i="20"/>
  <c r="AK135" i="20"/>
  <c r="AC156" i="20"/>
  <c r="AP431" i="20"/>
  <c r="AL359" i="20"/>
  <c r="AG446" i="20"/>
  <c r="AE207" i="20"/>
  <c r="AH311" i="20"/>
  <c r="AJ434" i="20"/>
  <c r="AI538" i="20"/>
  <c r="AG174" i="20"/>
  <c r="AH186" i="20"/>
  <c r="AI298" i="20"/>
  <c r="AO167" i="20"/>
  <c r="AL518" i="20"/>
  <c r="AH518" i="20"/>
  <c r="AH482" i="20"/>
  <c r="AG482" i="20"/>
  <c r="AE422" i="20"/>
  <c r="AG422" i="20"/>
  <c r="AL398" i="20"/>
  <c r="AJ398" i="20"/>
  <c r="AI358" i="20"/>
  <c r="AC358" i="20"/>
  <c r="AI338" i="20"/>
  <c r="AO338" i="20"/>
  <c r="AK322" i="20"/>
  <c r="AP322" i="20"/>
  <c r="AC266" i="20"/>
  <c r="AH266" i="20"/>
  <c r="AM218" i="20"/>
  <c r="AN218" i="20"/>
  <c r="AE186" i="20"/>
  <c r="AL186" i="20"/>
  <c r="AQ163" i="20"/>
  <c r="AN163" i="20"/>
  <c r="AM151" i="20"/>
  <c r="AK151" i="20"/>
  <c r="AO147" i="20"/>
  <c r="AE147" i="20"/>
  <c r="AJ139" i="20"/>
  <c r="AO139" i="20"/>
  <c r="AC122" i="20"/>
  <c r="AP122" i="20"/>
  <c r="AK106" i="20"/>
  <c r="AE106" i="20"/>
  <c r="AE61" i="20"/>
  <c r="AO61" i="20"/>
  <c r="AQ53" i="20"/>
  <c r="AL53" i="20"/>
  <c r="AI45" i="20"/>
  <c r="AO45" i="20"/>
  <c r="AE37" i="20"/>
  <c r="AO37" i="20"/>
  <c r="AD7" i="20"/>
  <c r="AH7" i="20"/>
  <c r="AL7" i="20"/>
  <c r="AP7" i="20"/>
  <c r="AE7" i="20"/>
  <c r="AI7" i="20"/>
  <c r="AM7" i="20"/>
  <c r="AQ7" i="20"/>
  <c r="AF7" i="20"/>
  <c r="AJ7" i="20"/>
  <c r="AN7" i="20"/>
  <c r="AC7" i="20"/>
  <c r="AG7" i="20"/>
  <c r="AK7" i="20"/>
  <c r="AO7" i="20"/>
  <c r="AC9" i="20"/>
  <c r="AG9" i="20"/>
  <c r="AK9" i="20"/>
  <c r="AO9" i="20"/>
  <c r="AD9" i="20"/>
  <c r="AH9" i="20"/>
  <c r="AL9" i="20"/>
  <c r="AP9" i="20"/>
  <c r="AE9" i="20"/>
  <c r="AI9" i="20"/>
  <c r="AM9" i="20"/>
  <c r="AQ9" i="20"/>
  <c r="AF9" i="20"/>
  <c r="AJ9" i="20"/>
  <c r="AN9" i="20"/>
  <c r="AE8" i="20"/>
  <c r="AI8" i="20"/>
  <c r="AM8" i="20"/>
  <c r="AQ8" i="20"/>
  <c r="AF8" i="20"/>
  <c r="AJ8" i="20"/>
  <c r="AN8" i="20"/>
  <c r="AC8" i="20"/>
  <c r="AG8" i="20"/>
  <c r="AK8" i="20"/>
  <c r="AO8" i="20"/>
  <c r="AD8" i="20"/>
  <c r="AH8" i="20"/>
  <c r="AL8" i="20"/>
  <c r="AP8" i="20"/>
  <c r="AH532" i="20"/>
  <c r="AO528" i="20"/>
  <c r="AQ520" i="20"/>
  <c r="AI516" i="20"/>
  <c r="AH512" i="20"/>
  <c r="AJ488" i="20"/>
  <c r="AP484" i="20"/>
  <c r="AJ472" i="20"/>
  <c r="AJ464" i="20"/>
  <c r="AK440" i="20"/>
  <c r="AO436" i="20"/>
  <c r="AG428" i="20"/>
  <c r="AN424" i="20"/>
  <c r="AC416" i="20"/>
  <c r="AK408" i="20"/>
  <c r="AQ404" i="20"/>
  <c r="AQ400" i="20"/>
  <c r="AJ396" i="20"/>
  <c r="AH392" i="20"/>
  <c r="AL388" i="20"/>
  <c r="AE384" i="20"/>
  <c r="AH380" i="20"/>
  <c r="AJ376" i="20"/>
  <c r="AJ372" i="20"/>
  <c r="AH368" i="20"/>
  <c r="AG364" i="20"/>
  <c r="AJ360" i="20"/>
  <c r="AG356" i="20"/>
  <c r="AP352" i="20"/>
  <c r="AL348" i="20"/>
  <c r="AH344" i="20"/>
  <c r="AN336" i="20"/>
  <c r="AM332" i="20"/>
  <c r="AJ324" i="20"/>
  <c r="AE320" i="20"/>
  <c r="AG316" i="20"/>
  <c r="AL312" i="20"/>
  <c r="AC296" i="20"/>
  <c r="AO292" i="20"/>
  <c r="AP288" i="20"/>
  <c r="AG284" i="20"/>
  <c r="AL280" i="20"/>
  <c r="AK268" i="20"/>
  <c r="AC264" i="20"/>
  <c r="AK260" i="20"/>
  <c r="AO248" i="20"/>
  <c r="AL240" i="20"/>
  <c r="AI236" i="20"/>
  <c r="AK228" i="20"/>
  <c r="AN200" i="20"/>
  <c r="AG196" i="20"/>
  <c r="AC192" i="20"/>
  <c r="AG184" i="20"/>
  <c r="AQ161" i="20"/>
  <c r="AM153" i="20"/>
  <c r="AN145" i="20"/>
  <c r="AE136" i="20"/>
  <c r="AC128" i="20"/>
  <c r="AO120" i="20"/>
  <c r="J52" i="37" s="1"/>
  <c r="AJ112" i="20"/>
  <c r="AC104" i="20"/>
  <c r="AO96" i="20"/>
  <c r="AP87" i="20"/>
  <c r="AK75" i="20"/>
  <c r="AQ71" i="20"/>
  <c r="AI63" i="20"/>
  <c r="AQ47" i="20"/>
  <c r="AQ39" i="20"/>
  <c r="AE31" i="20"/>
  <c r="AN170" i="20"/>
  <c r="AE10" i="20"/>
  <c r="AI10" i="20"/>
  <c r="AM10" i="20"/>
  <c r="AQ10" i="20"/>
  <c r="AC10" i="20"/>
  <c r="AO10" i="20"/>
  <c r="AH10" i="20"/>
  <c r="AL10" i="20"/>
  <c r="AF10" i="20"/>
  <c r="AJ10" i="20"/>
  <c r="AN10" i="20"/>
  <c r="AG10" i="20"/>
  <c r="AK10" i="20"/>
  <c r="AD10" i="20"/>
  <c r="AP10" i="20"/>
  <c r="AD6" i="20"/>
  <c r="AH6" i="20"/>
  <c r="AL6" i="20"/>
  <c r="AP6" i="20"/>
  <c r="AE6" i="20"/>
  <c r="AI6" i="20"/>
  <c r="AM6" i="20"/>
  <c r="AQ6" i="20"/>
  <c r="AF6" i="20"/>
  <c r="AJ6" i="20"/>
  <c r="AN6" i="20"/>
  <c r="AC6" i="20"/>
  <c r="AG6" i="20"/>
  <c r="AK6" i="20"/>
  <c r="AO6" i="20"/>
  <c r="I17" i="36"/>
  <c r="J18" i="36"/>
  <c r="J21" i="36"/>
  <c r="D11" i="36"/>
  <c r="F11" i="36"/>
  <c r="G11" i="36"/>
  <c r="F23" i="36"/>
  <c r="D23" i="36"/>
  <c r="Z93" i="19"/>
  <c r="E11" i="36"/>
  <c r="I16" i="36"/>
  <c r="G23" i="36"/>
  <c r="I19" i="36"/>
  <c r="I18" i="36"/>
  <c r="AG27" i="37"/>
  <c r="AK27" i="37"/>
  <c r="S9" i="36"/>
  <c r="AS25" i="40"/>
  <c r="B11" i="36"/>
  <c r="L23" i="40"/>
  <c r="Z11" i="72"/>
  <c r="AM25" i="40"/>
  <c r="AM33" i="40"/>
  <c r="AM24" i="40"/>
  <c r="I20" i="36"/>
  <c r="AI27" i="37"/>
  <c r="L24" i="40"/>
  <c r="AE536" i="20"/>
  <c r="AK536" i="20"/>
  <c r="AQ524" i="20"/>
  <c r="AK524" i="20"/>
  <c r="AN496" i="20"/>
  <c r="AL496" i="20"/>
  <c r="AI476" i="20"/>
  <c r="AC476" i="20"/>
  <c r="AK468" i="20"/>
  <c r="AG468" i="20"/>
  <c r="AQ468" i="20"/>
  <c r="AM460" i="20"/>
  <c r="AO460" i="20"/>
  <c r="AK456" i="20"/>
  <c r="AM456" i="20"/>
  <c r="AI452" i="20"/>
  <c r="AN452" i="20"/>
  <c r="AK448" i="20"/>
  <c r="AE448" i="20"/>
  <c r="AC412" i="20"/>
  <c r="AN412" i="20"/>
  <c r="AJ340" i="20"/>
  <c r="AK340" i="20"/>
  <c r="AE328" i="20"/>
  <c r="AI328" i="20"/>
  <c r="AO308" i="20"/>
  <c r="AH308" i="20"/>
  <c r="AI308" i="20"/>
  <c r="AI304" i="20"/>
  <c r="AL304" i="20"/>
  <c r="AE300" i="20"/>
  <c r="AH300" i="20"/>
  <c r="AG276" i="20"/>
  <c r="AO276" i="20"/>
  <c r="AM276" i="20"/>
  <c r="AL272" i="20"/>
  <c r="AE272" i="20"/>
  <c r="AE256" i="20"/>
  <c r="AK256" i="20"/>
  <c r="AH252" i="20"/>
  <c r="AL252" i="20"/>
  <c r="AP252" i="20"/>
  <c r="AG244" i="20"/>
  <c r="AL244" i="20"/>
  <c r="AE244" i="20"/>
  <c r="AE232" i="20"/>
  <c r="AI232" i="20"/>
  <c r="AH220" i="20"/>
  <c r="AP220" i="20"/>
  <c r="AC216" i="20"/>
  <c r="AK216" i="20"/>
  <c r="AQ212" i="20"/>
  <c r="AC212" i="20"/>
  <c r="AL208" i="20"/>
  <c r="AH208" i="20"/>
  <c r="AL204" i="20"/>
  <c r="AJ204" i="20"/>
  <c r="AM204" i="20"/>
  <c r="AQ188" i="20"/>
  <c r="AK188" i="20"/>
  <c r="AI188" i="20"/>
  <c r="AJ180" i="20"/>
  <c r="AK180" i="20"/>
  <c r="AO180" i="20"/>
  <c r="AL176" i="20"/>
  <c r="AI176" i="20"/>
  <c r="AP172" i="20"/>
  <c r="AJ172" i="20"/>
  <c r="AN79" i="20"/>
  <c r="AQ79" i="20"/>
  <c r="AH55" i="20"/>
  <c r="AL55" i="20"/>
  <c r="AN55" i="20"/>
  <c r="AK31" i="20"/>
  <c r="AI31" i="20"/>
  <c r="AG212" i="20"/>
  <c r="AH104" i="20"/>
  <c r="AJ145" i="20"/>
  <c r="AN96" i="20"/>
  <c r="AO145" i="20"/>
  <c r="AH145" i="20"/>
  <c r="AK320" i="20"/>
  <c r="AE161" i="20"/>
  <c r="AI316" i="20"/>
  <c r="AQ312" i="20"/>
  <c r="AN47" i="20"/>
  <c r="AO104" i="20"/>
  <c r="AI112" i="20"/>
  <c r="AL120" i="20"/>
  <c r="AH136" i="20"/>
  <c r="AI145" i="20"/>
  <c r="AC145" i="20"/>
  <c r="AJ153" i="20"/>
  <c r="AP312" i="20"/>
  <c r="AC312" i="20"/>
  <c r="AN324" i="20"/>
  <c r="AE63" i="20"/>
  <c r="AJ456" i="20"/>
  <c r="AM352" i="20"/>
  <c r="AE352" i="20"/>
  <c r="AH63" i="20"/>
  <c r="AI460" i="20"/>
  <c r="AK400" i="20"/>
  <c r="AL63" i="20"/>
  <c r="AK476" i="20"/>
  <c r="AN472" i="20"/>
  <c r="AK344" i="20"/>
  <c r="AJ348" i="20"/>
  <c r="AM336" i="20"/>
  <c r="AP304" i="20"/>
  <c r="AJ244" i="20"/>
  <c r="AO244" i="20"/>
  <c r="AO79" i="20"/>
  <c r="AE184" i="20"/>
  <c r="AJ192" i="20"/>
  <c r="AM200" i="20"/>
  <c r="AP216" i="20"/>
  <c r="AH236" i="20"/>
  <c r="AI256" i="20"/>
  <c r="AH272" i="20"/>
  <c r="AN288" i="20"/>
  <c r="AM304" i="20"/>
  <c r="AE176" i="20"/>
  <c r="AC176" i="20"/>
  <c r="AI240" i="20"/>
  <c r="AH276" i="20"/>
  <c r="AJ196" i="20"/>
  <c r="AI336" i="20"/>
  <c r="AG448" i="20"/>
  <c r="AM528" i="20"/>
  <c r="AK528" i="20"/>
  <c r="AQ452" i="20"/>
  <c r="AO443" i="20"/>
  <c r="AC443" i="20"/>
  <c r="AI443" i="20"/>
  <c r="AP435" i="20"/>
  <c r="AI435" i="20"/>
  <c r="AP419" i="20"/>
  <c r="AQ419" i="20"/>
  <c r="AO419" i="20"/>
  <c r="AJ419" i="20"/>
  <c r="AL419" i="20"/>
  <c r="AL415" i="20"/>
  <c r="AK415" i="20"/>
  <c r="AN399" i="20"/>
  <c r="AG399" i="20"/>
  <c r="AN395" i="20"/>
  <c r="AP395" i="20"/>
  <c r="AG391" i="20"/>
  <c r="AN391" i="20"/>
  <c r="AK387" i="20"/>
  <c r="AQ387" i="20"/>
  <c r="AC355" i="20"/>
  <c r="AN355" i="20"/>
  <c r="AN351" i="20"/>
  <c r="AI351" i="20"/>
  <c r="AM331" i="20"/>
  <c r="AP331" i="20"/>
  <c r="AP323" i="20"/>
  <c r="AO323" i="20"/>
  <c r="AH319" i="20"/>
  <c r="AC319" i="20"/>
  <c r="AP303" i="20"/>
  <c r="AL303" i="20"/>
  <c r="AL299" i="20"/>
  <c r="AC299" i="20"/>
  <c r="AG295" i="20"/>
  <c r="AK295" i="20"/>
  <c r="AH291" i="20"/>
  <c r="AE291" i="20"/>
  <c r="AC287" i="20"/>
  <c r="AP287" i="20"/>
  <c r="AL279" i="20"/>
  <c r="AJ279" i="20"/>
  <c r="AC271" i="20"/>
  <c r="AH271" i="20"/>
  <c r="AO263" i="20"/>
  <c r="AK263" i="20"/>
  <c r="AC251" i="20"/>
  <c r="AM251" i="20"/>
  <c r="AG247" i="20"/>
  <c r="AL247" i="20"/>
  <c r="AN239" i="20"/>
  <c r="AL239" i="20"/>
  <c r="AI239" i="20"/>
  <c r="AN235" i="20"/>
  <c r="AL235" i="20"/>
  <c r="AJ227" i="20"/>
  <c r="AE227" i="20"/>
  <c r="AL227" i="20"/>
  <c r="AH219" i="20"/>
  <c r="AN219" i="20"/>
  <c r="AI195" i="20"/>
  <c r="AE195" i="20"/>
  <c r="AG195" i="20"/>
  <c r="AK191" i="20"/>
  <c r="AC191" i="20"/>
  <c r="AK187" i="20"/>
  <c r="AP187" i="20"/>
  <c r="AJ183" i="20"/>
  <c r="AQ183" i="20"/>
  <c r="AI175" i="20"/>
  <c r="AH175" i="20"/>
  <c r="AO164" i="20"/>
  <c r="AP164" i="20"/>
  <c r="AO148" i="20"/>
  <c r="AM148" i="20"/>
  <c r="AJ148" i="20"/>
  <c r="AP148" i="20"/>
  <c r="AQ144" i="20"/>
  <c r="AG144" i="20"/>
  <c r="AG127" i="20"/>
  <c r="AP127" i="20"/>
  <c r="AQ123" i="20"/>
  <c r="AP123" i="20"/>
  <c r="AN119" i="20"/>
  <c r="AH119" i="20"/>
  <c r="AE115" i="20"/>
  <c r="AL115" i="20"/>
  <c r="AP115" i="20"/>
  <c r="AG115" i="20"/>
  <c r="AE111" i="20"/>
  <c r="AC111" i="20"/>
  <c r="AK99" i="20"/>
  <c r="AJ99" i="20"/>
  <c r="AG94" i="20"/>
  <c r="AP94" i="20"/>
  <c r="AP78" i="20"/>
  <c r="AG78" i="20"/>
  <c r="AC66" i="20"/>
  <c r="AL66" i="20"/>
  <c r="AF62" i="20"/>
  <c r="AE62" i="20"/>
  <c r="AN62" i="20"/>
  <c r="AP54" i="20"/>
  <c r="AE54" i="20"/>
  <c r="AP31" i="20"/>
  <c r="AG31" i="20"/>
  <c r="AC70" i="20"/>
  <c r="AC30" i="20"/>
  <c r="AJ30" i="20"/>
  <c r="AG70" i="20"/>
  <c r="AP62" i="20"/>
  <c r="K61" i="37" s="1"/>
  <c r="AG111" i="20"/>
  <c r="AG351" i="20"/>
  <c r="AC335" i="20"/>
  <c r="AM355" i="20"/>
  <c r="AJ120" i="20"/>
  <c r="G52" i="37" s="1"/>
  <c r="AQ324" i="20"/>
  <c r="AG312" i="20"/>
  <c r="AO320" i="20"/>
  <c r="AQ359" i="20"/>
  <c r="AI451" i="20"/>
  <c r="AP347" i="20"/>
  <c r="AQ367" i="20"/>
  <c r="AL136" i="20"/>
  <c r="AK312" i="20"/>
  <c r="AJ161" i="20"/>
  <c r="AL451" i="20"/>
  <c r="AC47" i="20"/>
  <c r="AG71" i="20"/>
  <c r="AN104" i="20"/>
  <c r="AJ136" i="20"/>
  <c r="AH161" i="20"/>
  <c r="AM312" i="20"/>
  <c r="AM316" i="20"/>
  <c r="AC324" i="20"/>
  <c r="AH355" i="20"/>
  <c r="AJ359" i="20"/>
  <c r="AM363" i="20"/>
  <c r="AO507" i="20"/>
  <c r="AK531" i="20"/>
  <c r="AN227" i="20"/>
  <c r="AO235" i="20"/>
  <c r="AM307" i="20"/>
  <c r="AH54" i="20"/>
  <c r="AE299" i="20"/>
  <c r="AC215" i="20"/>
  <c r="AO247" i="20"/>
  <c r="AH259" i="20"/>
  <c r="AN259" i="20"/>
  <c r="AN271" i="20"/>
  <c r="AN283" i="20"/>
  <c r="AP299" i="20"/>
  <c r="AK307" i="20"/>
  <c r="AL379" i="20"/>
  <c r="AJ379" i="20"/>
  <c r="AI391" i="20"/>
  <c r="AK223" i="20"/>
  <c r="AM267" i="20"/>
  <c r="AE460" i="20"/>
  <c r="AI54" i="20"/>
  <c r="AL58" i="20"/>
  <c r="AI219" i="20"/>
  <c r="AN223" i="20"/>
  <c r="AM227" i="20"/>
  <c r="AJ231" i="20"/>
  <c r="AG239" i="20"/>
  <c r="AJ243" i="20"/>
  <c r="AO251" i="20"/>
  <c r="AO255" i="20"/>
  <c r="AN263" i="20"/>
  <c r="AP267" i="20"/>
  <c r="AL275" i="20"/>
  <c r="AP279" i="20"/>
  <c r="AI287" i="20"/>
  <c r="AG291" i="20"/>
  <c r="AN295" i="20"/>
  <c r="AM295" i="20"/>
  <c r="AG303" i="20"/>
  <c r="AO376" i="20"/>
  <c r="AK383" i="20"/>
  <c r="AH383" i="20"/>
  <c r="AC387" i="20"/>
  <c r="AK395" i="20"/>
  <c r="AH427" i="20"/>
  <c r="AH191" i="20"/>
  <c r="AH399" i="20"/>
  <c r="AL47" i="20"/>
  <c r="AO476" i="20"/>
  <c r="AG472" i="20"/>
  <c r="AC55" i="20"/>
  <c r="AL328" i="20"/>
  <c r="AO344" i="20"/>
  <c r="AH46" i="20"/>
  <c r="AH86" i="20"/>
  <c r="AP483" i="20"/>
  <c r="AN39" i="20"/>
  <c r="AN348" i="20"/>
  <c r="AC94" i="20"/>
  <c r="AN175" i="20"/>
  <c r="AO191" i="20"/>
  <c r="AL207" i="20"/>
  <c r="AP399" i="20"/>
  <c r="AC62" i="20"/>
  <c r="AN78" i="20"/>
  <c r="AQ179" i="20"/>
  <c r="AH195" i="20"/>
  <c r="AJ203" i="20"/>
  <c r="AG211" i="20"/>
  <c r="AL411" i="20"/>
  <c r="AL423" i="20"/>
  <c r="AO296" i="20"/>
  <c r="AE240" i="20"/>
  <c r="AM300" i="20"/>
  <c r="AE164" i="20"/>
  <c r="AE87" i="20"/>
  <c r="AI103" i="20"/>
  <c r="AO119" i="20"/>
  <c r="AH131" i="20"/>
  <c r="AO144" i="20"/>
  <c r="AN152" i="20"/>
  <c r="AC164" i="20"/>
  <c r="AO172" i="20"/>
  <c r="AQ184" i="20"/>
  <c r="AO192" i="20"/>
  <c r="AN204" i="20"/>
  <c r="AN216" i="20"/>
  <c r="AN236" i="20"/>
  <c r="AC260" i="20"/>
  <c r="AM272" i="20"/>
  <c r="AL375" i="20"/>
  <c r="AO268" i="20"/>
  <c r="AM212" i="20"/>
  <c r="AG252" i="20"/>
  <c r="AI296" i="20"/>
  <c r="AQ443" i="20"/>
  <c r="AJ336" i="20"/>
  <c r="AQ256" i="20"/>
  <c r="AQ411" i="20"/>
  <c r="AO103" i="20"/>
  <c r="AQ435" i="20"/>
  <c r="AQ316" i="20"/>
  <c r="AQ512" i="20"/>
  <c r="AL392" i="20"/>
  <c r="AM368" i="20"/>
  <c r="AG512" i="20"/>
  <c r="AE319" i="20"/>
  <c r="AH316" i="20"/>
  <c r="AQ376" i="20"/>
  <c r="AJ63" i="20"/>
  <c r="AI352" i="20"/>
  <c r="AN376" i="20"/>
  <c r="AK460" i="20"/>
  <c r="AG384" i="20"/>
  <c r="AQ476" i="20"/>
  <c r="AC71" i="20"/>
  <c r="AC404" i="20"/>
  <c r="AO316" i="20"/>
  <c r="AE340" i="20"/>
  <c r="AK39" i="20"/>
  <c r="AP284" i="20"/>
  <c r="AE196" i="20"/>
  <c r="AP256" i="20"/>
  <c r="AC172" i="20"/>
  <c r="AO196" i="20"/>
  <c r="AC204" i="20"/>
  <c r="AJ220" i="20"/>
  <c r="AI244" i="20"/>
  <c r="AN260" i="20"/>
  <c r="AM280" i="20"/>
  <c r="AO300" i="20"/>
  <c r="AO212" i="20"/>
  <c r="AH264" i="20"/>
  <c r="AH296" i="20"/>
  <c r="AM264" i="20"/>
  <c r="AJ252" i="20"/>
  <c r="AC332" i="20"/>
  <c r="AM428" i="20"/>
  <c r="AM452" i="20"/>
  <c r="AL364" i="20"/>
  <c r="AS34" i="40"/>
  <c r="AM34" i="40"/>
  <c r="S7" i="36"/>
  <c r="L14" i="62"/>
  <c r="B12" i="86"/>
  <c r="AH17" i="40"/>
  <c r="I13" i="40" s="1"/>
  <c r="AJ17" i="40"/>
  <c r="K13" i="40" s="1"/>
  <c r="AH27" i="37"/>
  <c r="AL27" i="37"/>
  <c r="AN27" i="37"/>
  <c r="AS21" i="40"/>
  <c r="AM31" i="40"/>
  <c r="AM23" i="40"/>
  <c r="AA32" i="37"/>
  <c r="E6" i="43" s="1"/>
  <c r="E13" i="43" s="1"/>
  <c r="AO27" i="37"/>
  <c r="AD27" i="37"/>
  <c r="AF27" i="37"/>
  <c r="I25" i="40"/>
  <c r="S8" i="36"/>
  <c r="J16" i="36"/>
  <c r="AQ36" i="40"/>
  <c r="AC27" i="37"/>
  <c r="J19" i="36"/>
  <c r="B23" i="36"/>
  <c r="C11" i="36"/>
  <c r="S11" i="36" s="1"/>
  <c r="AM21" i="40"/>
  <c r="AS23" i="40"/>
  <c r="AJ27" i="37"/>
  <c r="AM27" i="37"/>
  <c r="AP36" i="40"/>
  <c r="AK36" i="40"/>
  <c r="L12" i="40" s="1"/>
  <c r="AL17" i="40"/>
  <c r="AS31" i="40"/>
  <c r="AS24" i="40"/>
  <c r="AO36" i="40"/>
  <c r="AS33" i="40"/>
  <c r="J25" i="40"/>
  <c r="J15" i="36"/>
  <c r="AM32" i="40"/>
  <c r="C23" i="36"/>
  <c r="K23" i="36" s="1"/>
  <c r="S6" i="36"/>
  <c r="K14" i="62"/>
  <c r="J14" i="62"/>
  <c r="AJ36" i="40"/>
  <c r="K12" i="40" s="1"/>
  <c r="AI17" i="40"/>
  <c r="J13" i="40" s="1"/>
  <c r="AK17" i="40"/>
  <c r="L13" i="40" s="1"/>
  <c r="AL36" i="40"/>
  <c r="AM35" i="40"/>
  <c r="AH36" i="40"/>
  <c r="I12" i="40" s="1"/>
  <c r="S10" i="36"/>
  <c r="X13" i="72"/>
  <c r="AI36" i="40"/>
  <c r="J12" i="40" s="1"/>
  <c r="AB32" i="37"/>
  <c r="I21" i="36"/>
  <c r="AN36" i="40"/>
  <c r="K25" i="40" s="1"/>
  <c r="Y13" i="72"/>
  <c r="AS35" i="40"/>
  <c r="L22" i="40"/>
  <c r="AM22" i="40"/>
  <c r="AS22" i="40"/>
  <c r="K20" i="40"/>
  <c r="K18" i="40"/>
  <c r="Z4" i="72" s="1"/>
  <c r="Z13" i="72" s="1"/>
  <c r="AS32" i="40"/>
  <c r="C124" i="37"/>
  <c r="J20" i="43" s="1"/>
  <c r="G61" i="37"/>
  <c r="AE15" i="20"/>
  <c r="AI15" i="20"/>
  <c r="AM15" i="20"/>
  <c r="AQ15" i="20"/>
  <c r="AF15" i="20"/>
  <c r="AJ15" i="20"/>
  <c r="AN15" i="20"/>
  <c r="AD15" i="20"/>
  <c r="AH15" i="20"/>
  <c r="AL15" i="20"/>
  <c r="AC15" i="20"/>
  <c r="AG15" i="20"/>
  <c r="AK15" i="20"/>
  <c r="AO15" i="20"/>
  <c r="AP15" i="20"/>
  <c r="AQ18" i="20"/>
  <c r="AM125" i="20"/>
  <c r="AG23" i="20"/>
  <c r="AH26" i="20"/>
  <c r="AP354" i="20"/>
  <c r="AP126" i="20"/>
  <c r="AQ293" i="20"/>
  <c r="AP425" i="20"/>
  <c r="AM234" i="20"/>
  <c r="AI311" i="20"/>
  <c r="AQ472" i="20"/>
  <c r="AQ76" i="20"/>
  <c r="AH321" i="20"/>
  <c r="AM384" i="20"/>
  <c r="AE68" i="20"/>
  <c r="AH109" i="20"/>
  <c r="AP360" i="20"/>
  <c r="AQ233" i="20"/>
  <c r="AM423" i="20"/>
  <c r="AI216" i="20"/>
  <c r="AJ216" i="20"/>
  <c r="AM440" i="20"/>
  <c r="AC333" i="20"/>
  <c r="AQ46" i="20"/>
  <c r="AO213" i="20"/>
  <c r="AE520" i="20"/>
  <c r="AQ364" i="20"/>
  <c r="AP444" i="20"/>
  <c r="AM156" i="20"/>
  <c r="AH500" i="20"/>
  <c r="AH464" i="20"/>
  <c r="AL412" i="20"/>
  <c r="AK281" i="20"/>
  <c r="AI136" i="20"/>
  <c r="AI447" i="20"/>
  <c r="AO56" i="20"/>
  <c r="AK286" i="20"/>
  <c r="AP381" i="20"/>
  <c r="AO306" i="20"/>
  <c r="AJ298" i="20"/>
  <c r="AQ278" i="20"/>
  <c r="AL270" i="20"/>
  <c r="AM254" i="20"/>
  <c r="AJ246" i="20"/>
  <c r="AM230" i="20"/>
  <c r="AG222" i="20"/>
  <c r="AI214" i="20"/>
  <c r="AJ194" i="20"/>
  <c r="AI186" i="20"/>
  <c r="AM170" i="20"/>
  <c r="AK162" i="20"/>
  <c r="AM154" i="20"/>
  <c r="AH146" i="20"/>
  <c r="AK138" i="20"/>
  <c r="AM129" i="20"/>
  <c r="AH121" i="20"/>
  <c r="E51" i="37" s="1"/>
  <c r="AJ105" i="20"/>
  <c r="G53" i="37" s="1"/>
  <c r="AC97" i="20"/>
  <c r="AC89" i="20"/>
  <c r="AK65" i="20"/>
  <c r="AE154" i="20"/>
  <c r="AI162" i="20"/>
  <c r="AQ385" i="20"/>
  <c r="AL226" i="20"/>
  <c r="AE206" i="20"/>
  <c r="AQ85" i="20"/>
  <c r="AP238" i="20"/>
  <c r="AQ401" i="20"/>
  <c r="AN294" i="20"/>
  <c r="AQ286" i="20"/>
  <c r="AK282" i="20"/>
  <c r="AE274" i="20"/>
  <c r="AI258" i="20"/>
  <c r="AK242" i="20"/>
  <c r="AK234" i="20"/>
  <c r="AM226" i="20"/>
  <c r="AJ210" i="20"/>
  <c r="AC198" i="20"/>
  <c r="AL190" i="20"/>
  <c r="AJ182" i="20"/>
  <c r="AJ174" i="20"/>
  <c r="AQ166" i="20"/>
  <c r="AG158" i="20"/>
  <c r="AQ150" i="20"/>
  <c r="AJ142" i="20"/>
  <c r="AC21" i="20"/>
  <c r="AM33" i="20"/>
  <c r="AM96" i="20"/>
  <c r="AG26" i="20"/>
  <c r="AQ291" i="20"/>
  <c r="AJ38" i="20"/>
  <c r="AJ516" i="20"/>
  <c r="AN34" i="20"/>
  <c r="AK201" i="20"/>
  <c r="AE114" i="20"/>
  <c r="AL333" i="20"/>
  <c r="AP472" i="20"/>
  <c r="AO347" i="20"/>
  <c r="AN309" i="20"/>
  <c r="AG96" i="20"/>
  <c r="AP296" i="20"/>
  <c r="AK467" i="20"/>
  <c r="AM392" i="20"/>
  <c r="AJ68" i="20"/>
  <c r="AQ309" i="20"/>
  <c r="AE500" i="20"/>
  <c r="AC424" i="20"/>
  <c r="AN332" i="20"/>
  <c r="AL492" i="20"/>
  <c r="AG420" i="20"/>
  <c r="AN281" i="20"/>
  <c r="AQ451" i="20"/>
  <c r="AE85" i="20"/>
  <c r="AM397" i="20"/>
  <c r="AM377" i="20"/>
  <c r="AQ298" i="20"/>
  <c r="AP278" i="20"/>
  <c r="AL262" i="20"/>
  <c r="AK246" i="20"/>
  <c r="AK230" i="20"/>
  <c r="AP222" i="20"/>
  <c r="AI202" i="20"/>
  <c r="AJ178" i="20"/>
  <c r="AJ170" i="20"/>
  <c r="AP162" i="20"/>
  <c r="AC146" i="20"/>
  <c r="AL129" i="20"/>
  <c r="AI121" i="20"/>
  <c r="F51" i="37" s="1"/>
  <c r="AC105" i="20"/>
  <c r="AK97" i="20"/>
  <c r="AH65" i="20"/>
  <c r="AQ347" i="20"/>
  <c r="AJ158" i="20"/>
  <c r="AK238" i="20"/>
  <c r="AQ186" i="20"/>
  <c r="AL81" i="20"/>
  <c r="AO401" i="20"/>
  <c r="AL294" i="20"/>
  <c r="AP286" i="20"/>
  <c r="AO274" i="20"/>
  <c r="AP250" i="20"/>
  <c r="AI242" i="20"/>
  <c r="AO226" i="20"/>
  <c r="AK210" i="20"/>
  <c r="AM198" i="20"/>
  <c r="AQ190" i="20"/>
  <c r="AP174" i="20"/>
  <c r="AC166" i="20"/>
  <c r="AK150" i="20"/>
  <c r="AL142" i="20"/>
  <c r="AM133" i="20"/>
  <c r="AL125" i="20"/>
  <c r="AI117" i="20"/>
  <c r="AP109" i="20"/>
  <c r="AK93" i="20"/>
  <c r="AJ85" i="20"/>
  <c r="AH71" i="20"/>
  <c r="AE117" i="20"/>
  <c r="AP138" i="20"/>
  <c r="AI385" i="20"/>
  <c r="AO65" i="20"/>
  <c r="AH294" i="20"/>
  <c r="AK538" i="20"/>
  <c r="AJ530" i="20"/>
  <c r="AI490" i="20"/>
  <c r="AO470" i="20"/>
  <c r="AP454" i="20"/>
  <c r="AM442" i="20"/>
  <c r="AP426" i="20"/>
  <c r="AN410" i="20"/>
  <c r="AQ394" i="20"/>
  <c r="AM378" i="20"/>
  <c r="AI349" i="20"/>
  <c r="AJ315" i="20"/>
  <c r="AJ155" i="20"/>
  <c r="AE454" i="20"/>
  <c r="AP319" i="20"/>
  <c r="AC402" i="20"/>
  <c r="AL474" i="20"/>
  <c r="AC41" i="20"/>
  <c r="AC510" i="20"/>
  <c r="AQ482" i="20"/>
  <c r="AK315" i="20"/>
  <c r="AO378" i="20"/>
  <c r="AK418" i="20"/>
  <c r="AN536" i="20"/>
  <c r="AJ532" i="20"/>
  <c r="AO524" i="20"/>
  <c r="AO516" i="20"/>
  <c r="AE402" i="20"/>
  <c r="AE354" i="20"/>
  <c r="AQ506" i="20"/>
  <c r="AO354" i="20"/>
  <c r="AK327" i="20"/>
  <c r="AK402" i="20"/>
  <c r="AN434" i="20"/>
  <c r="AK518" i="20"/>
  <c r="AL494" i="20"/>
  <c r="AK486" i="20"/>
  <c r="AP474" i="20"/>
  <c r="AL446" i="20"/>
  <c r="AL430" i="20"/>
  <c r="AP414" i="20"/>
  <c r="AL390" i="20"/>
  <c r="AK374" i="20"/>
  <c r="AM362" i="20"/>
  <c r="AQ343" i="20"/>
  <c r="AP327" i="20"/>
  <c r="AN538" i="20"/>
  <c r="AQ538" i="20"/>
  <c r="AE343" i="20"/>
  <c r="AJ335" i="20"/>
  <c r="AC494" i="20"/>
  <c r="AG500" i="20"/>
  <c r="AK496" i="20"/>
  <c r="AJ484" i="20"/>
  <c r="AG476" i="20"/>
  <c r="AC468" i="20"/>
  <c r="AN444" i="20"/>
  <c r="AJ428" i="20"/>
  <c r="AK404" i="20"/>
  <c r="AL396" i="20"/>
  <c r="AC388" i="20"/>
  <c r="AK384" i="20"/>
  <c r="AC372" i="20"/>
  <c r="AK364" i="20"/>
  <c r="AK360" i="20"/>
  <c r="AM337" i="20"/>
  <c r="AC321" i="20"/>
  <c r="AM309" i="20"/>
  <c r="AE88" i="20"/>
  <c r="AP50" i="20"/>
  <c r="AO313" i="20"/>
  <c r="AL277" i="20"/>
  <c r="AE213" i="20"/>
  <c r="AE293" i="20"/>
  <c r="AE360" i="20"/>
  <c r="AO416" i="20"/>
  <c r="AE480" i="20"/>
  <c r="AE396" i="20"/>
  <c r="AQ136" i="20"/>
  <c r="AP508" i="20"/>
  <c r="AP209" i="20"/>
  <c r="AQ372" i="20"/>
  <c r="AK181" i="20"/>
  <c r="AJ452" i="20"/>
  <c r="AK484" i="20"/>
  <c r="AG424" i="20"/>
  <c r="AH508" i="20"/>
  <c r="AI120" i="20"/>
  <c r="F52" i="37" s="1"/>
  <c r="AI364" i="20"/>
  <c r="AC512" i="20"/>
  <c r="AM534" i="20"/>
  <c r="AJ526" i="20"/>
  <c r="AN506" i="20"/>
  <c r="AE450" i="20"/>
  <c r="AJ24" i="20"/>
  <c r="AM247" i="20"/>
  <c r="AP438" i="20"/>
  <c r="AO238" i="20"/>
  <c r="AH440" i="20"/>
  <c r="AQ349" i="20"/>
  <c r="AE189" i="20"/>
  <c r="AN516" i="20"/>
  <c r="AO237" i="20"/>
  <c r="AQ332" i="20"/>
  <c r="AP512" i="20"/>
  <c r="AE281" i="20"/>
  <c r="AL301" i="20"/>
  <c r="AM313" i="20"/>
  <c r="AC532" i="20"/>
  <c r="AM500" i="20"/>
  <c r="AN388" i="20"/>
  <c r="AH153" i="20"/>
  <c r="AK142" i="20"/>
  <c r="AK397" i="20"/>
  <c r="AK306" i="20"/>
  <c r="AH278" i="20"/>
  <c r="AL254" i="20"/>
  <c r="AC238" i="20"/>
  <c r="AI222" i="20"/>
  <c r="AI194" i="20"/>
  <c r="AN178" i="20"/>
  <c r="AG162" i="20"/>
  <c r="AP146" i="20"/>
  <c r="AQ129" i="20"/>
  <c r="AQ113" i="20"/>
  <c r="AI89" i="20"/>
  <c r="AK47" i="20"/>
  <c r="AH142" i="20"/>
  <c r="AP71" i="20"/>
  <c r="AJ162" i="20"/>
  <c r="AP401" i="20"/>
  <c r="AI294" i="20"/>
  <c r="AP282" i="20"/>
  <c r="AJ258" i="20"/>
  <c r="AC234" i="20"/>
  <c r="AJ218" i="20"/>
  <c r="AI198" i="20"/>
  <c r="AO182" i="20"/>
  <c r="AO166" i="20"/>
  <c r="AM158" i="20"/>
  <c r="AI133" i="20"/>
  <c r="AI125" i="20"/>
  <c r="AN117" i="20"/>
  <c r="AC101" i="20"/>
  <c r="AQ93" i="20"/>
  <c r="AQ69" i="20"/>
  <c r="AQ154" i="20"/>
  <c r="AL397" i="20"/>
  <c r="AO242" i="20"/>
  <c r="AN266" i="20"/>
  <c r="AN530" i="20"/>
  <c r="AE522" i="20"/>
  <c r="AN470" i="20"/>
  <c r="AM450" i="20"/>
  <c r="AN426" i="20"/>
  <c r="AM402" i="20"/>
  <c r="AQ386" i="20"/>
  <c r="AJ349" i="20"/>
  <c r="AQ315" i="20"/>
  <c r="AE315" i="20"/>
  <c r="AQ327" i="20"/>
  <c r="AP406" i="20"/>
  <c r="AE406" i="20"/>
  <c r="AM538" i="20"/>
  <c r="AM458" i="20"/>
  <c r="AM358" i="20"/>
  <c r="AO426" i="20"/>
  <c r="AP536" i="20"/>
  <c r="AL524" i="20"/>
  <c r="AL516" i="20"/>
  <c r="AE524" i="20"/>
  <c r="AI536" i="20"/>
  <c r="AP335" i="20"/>
  <c r="AP528" i="20"/>
  <c r="AI143" i="20"/>
  <c r="AO518" i="20"/>
  <c r="AP494" i="20"/>
  <c r="AJ478" i="20"/>
  <c r="AM466" i="20"/>
  <c r="AN422" i="20"/>
  <c r="AG406" i="20"/>
  <c r="AN382" i="20"/>
  <c r="AJ354" i="20"/>
  <c r="AK335" i="20"/>
  <c r="AP76" i="20"/>
  <c r="AJ386" i="20"/>
  <c r="AI370" i="20"/>
  <c r="AQ526" i="20"/>
  <c r="AC500" i="20"/>
  <c r="AG484" i="20"/>
  <c r="AM480" i="20"/>
  <c r="AM464" i="20"/>
  <c r="AN432" i="20"/>
  <c r="AL404" i="20"/>
  <c r="AP396" i="20"/>
  <c r="AN384" i="20"/>
  <c r="AL380" i="20"/>
  <c r="AM364" i="20"/>
  <c r="AJ341" i="20"/>
  <c r="AI321" i="20"/>
  <c r="AG301" i="20"/>
  <c r="AL50" i="20"/>
  <c r="AO265" i="20"/>
  <c r="AL351" i="20"/>
  <c r="AO261" i="20"/>
  <c r="AE333" i="20"/>
  <c r="AQ440" i="20"/>
  <c r="AE181" i="20"/>
  <c r="AH70" i="20"/>
  <c r="AH209" i="20"/>
  <c r="AL321" i="20"/>
  <c r="AQ412" i="20"/>
  <c r="AL428" i="20"/>
  <c r="AH408" i="20"/>
  <c r="AH468" i="20"/>
  <c r="AJ177" i="20"/>
  <c r="AP337" i="20"/>
  <c r="AJ534" i="20"/>
  <c r="AP526" i="20"/>
  <c r="AH506" i="20"/>
  <c r="AH490" i="20"/>
  <c r="AM482" i="20"/>
  <c r="AI466" i="20"/>
  <c r="AJ446" i="20"/>
  <c r="AI438" i="20"/>
  <c r="AM426" i="20"/>
  <c r="AL418" i="20"/>
  <c r="AM410" i="20"/>
  <c r="AG343" i="20"/>
  <c r="AC315" i="20"/>
  <c r="AP57" i="20"/>
  <c r="AH520" i="20"/>
  <c r="AK435" i="20"/>
  <c r="AM419" i="20"/>
  <c r="AJ407" i="20"/>
  <c r="AG340" i="20"/>
  <c r="AG324" i="20"/>
  <c r="AC316" i="20"/>
  <c r="AG272" i="20"/>
  <c r="AL152" i="20"/>
  <c r="AE324" i="20"/>
  <c r="AE268" i="20"/>
  <c r="AP144" i="20"/>
  <c r="AK220" i="20"/>
  <c r="AP427" i="20"/>
  <c r="AM350" i="20"/>
  <c r="AO427" i="20"/>
  <c r="AP443" i="20"/>
  <c r="AG431" i="20"/>
  <c r="AO423" i="20"/>
  <c r="AQ344" i="20"/>
  <c r="AH328" i="20"/>
  <c r="AG328" i="20"/>
  <c r="AP260" i="20"/>
  <c r="AM196" i="20"/>
  <c r="AL164" i="20"/>
  <c r="AE135" i="20"/>
  <c r="AN107" i="20"/>
  <c r="AQ336" i="20"/>
  <c r="AI172" i="20"/>
  <c r="AE427" i="20"/>
  <c r="AJ451" i="20"/>
  <c r="AO336" i="20"/>
  <c r="AP316" i="20"/>
  <c r="AO407" i="20"/>
  <c r="AG262" i="20"/>
  <c r="AN298" i="20"/>
  <c r="AN286" i="20"/>
  <c r="AC270" i="20"/>
  <c r="AH258" i="20"/>
  <c r="AL234" i="20"/>
  <c r="AM214" i="20"/>
  <c r="AH202" i="20"/>
  <c r="AH182" i="20"/>
  <c r="AP89" i="20"/>
  <c r="AI69" i="20"/>
  <c r="AP65" i="20"/>
  <c r="AE308" i="20"/>
  <c r="AJ296" i="20"/>
  <c r="AL296" i="20"/>
  <c r="AC276" i="20"/>
  <c r="AJ276" i="20"/>
  <c r="AE264" i="20"/>
  <c r="AI252" i="20"/>
  <c r="AQ252" i="20"/>
  <c r="AO240" i="20"/>
  <c r="AI228" i="20"/>
  <c r="AL212" i="20"/>
  <c r="AG176" i="20"/>
  <c r="AJ176" i="20"/>
  <c r="AM256" i="20"/>
  <c r="AK176" i="20"/>
  <c r="AE156" i="20"/>
  <c r="AM240" i="20"/>
  <c r="AL95" i="20"/>
  <c r="AO375" i="20"/>
  <c r="AN375" i="20"/>
  <c r="AC304" i="20"/>
  <c r="AH304" i="20"/>
  <c r="AK300" i="20"/>
  <c r="AC300" i="20"/>
  <c r="AJ284" i="20"/>
  <c r="AH284" i="20"/>
  <c r="AK280" i="20"/>
  <c r="AI272" i="20"/>
  <c r="AK272" i="20"/>
  <c r="AI268" i="20"/>
  <c r="AJ260" i="20"/>
  <c r="AI260" i="20"/>
  <c r="AN256" i="20"/>
  <c r="AN248" i="20"/>
  <c r="AI248" i="20"/>
  <c r="AN244" i="20"/>
  <c r="AC236" i="20"/>
  <c r="AO232" i="20"/>
  <c r="AN220" i="20"/>
  <c r="AC220" i="20"/>
  <c r="AM216" i="20"/>
  <c r="AC208" i="20"/>
  <c r="AE208" i="20"/>
  <c r="AI204" i="20"/>
  <c r="AO204" i="20"/>
  <c r="AH200" i="20"/>
  <c r="AG200" i="20"/>
  <c r="AC196" i="20"/>
  <c r="AQ196" i="20"/>
  <c r="AG192" i="20"/>
  <c r="AK192" i="20"/>
  <c r="AH188" i="20"/>
  <c r="AK184" i="20"/>
  <c r="AJ184" i="20"/>
  <c r="AC180" i="20"/>
  <c r="AN172" i="20"/>
  <c r="AH172" i="20"/>
  <c r="AG168" i="20"/>
  <c r="AE168" i="20"/>
  <c r="AI164" i="20"/>
  <c r="AJ160" i="20"/>
  <c r="AE160" i="20"/>
  <c r="AN156" i="20"/>
  <c r="AH152" i="20"/>
  <c r="AG152" i="20"/>
  <c r="AQ148" i="20"/>
  <c r="AC144" i="20"/>
  <c r="AN144" i="20"/>
  <c r="AN140" i="20"/>
  <c r="AM140" i="20"/>
  <c r="AO135" i="20"/>
  <c r="AJ131" i="20"/>
  <c r="AQ131" i="20"/>
  <c r="AO127" i="20"/>
  <c r="AL127" i="20"/>
  <c r="AC119" i="20"/>
  <c r="AJ119" i="20"/>
  <c r="AI115" i="20"/>
  <c r="AO111" i="20"/>
  <c r="AP107" i="20"/>
  <c r="AC107" i="20"/>
  <c r="AG103" i="20"/>
  <c r="AI99" i="20"/>
  <c r="AL99" i="20"/>
  <c r="AH95" i="20"/>
  <c r="AC87" i="20"/>
  <c r="AJ87" i="20"/>
  <c r="AH79" i="20"/>
  <c r="AG79" i="20"/>
  <c r="AP61" i="20"/>
  <c r="AC77" i="20"/>
  <c r="AQ107" i="20"/>
  <c r="AO272" i="20"/>
  <c r="AK240" i="20"/>
  <c r="AL308" i="20"/>
  <c r="AO87" i="20"/>
  <c r="AM152" i="20"/>
  <c r="AI212" i="20"/>
  <c r="AE236" i="20"/>
  <c r="AE220" i="20"/>
  <c r="AJ232" i="20"/>
  <c r="AP232" i="20"/>
  <c r="AE288" i="20"/>
  <c r="AO160" i="20"/>
  <c r="AH61" i="20"/>
  <c r="AP184" i="20"/>
  <c r="AG308" i="20"/>
  <c r="AQ276" i="20"/>
  <c r="AJ107" i="20"/>
  <c r="AL131" i="20"/>
  <c r="AK164" i="20"/>
  <c r="AN196" i="20"/>
  <c r="AC135" i="20"/>
  <c r="AH538" i="20"/>
  <c r="AH522" i="20"/>
  <c r="AH486" i="20"/>
  <c r="AN390" i="20"/>
  <c r="AH306" i="20"/>
  <c r="AG254" i="20"/>
  <c r="AH246" i="20"/>
  <c r="AH226" i="20"/>
  <c r="AG202" i="20"/>
  <c r="AI101" i="20"/>
  <c r="AH85" i="20"/>
  <c r="AH198" i="20"/>
  <c r="AH396" i="20"/>
  <c r="AH360" i="20"/>
  <c r="AG341" i="20"/>
  <c r="AH435" i="20"/>
  <c r="AC431" i="20"/>
  <c r="AH423" i="20"/>
  <c r="AJ423" i="20"/>
  <c r="AG415" i="20"/>
  <c r="AI415" i="20"/>
  <c r="AP411" i="20"/>
  <c r="AC407" i="20"/>
  <c r="AJ399" i="20"/>
  <c r="AH39" i="20"/>
  <c r="AJ435" i="20"/>
  <c r="AK469" i="20"/>
  <c r="AI344" i="20"/>
  <c r="AQ265" i="20"/>
  <c r="AM233" i="20"/>
  <c r="AL173" i="20"/>
  <c r="AL523" i="20"/>
  <c r="AC353" i="20"/>
  <c r="AG346" i="20"/>
  <c r="AP346" i="20"/>
  <c r="AG338" i="20"/>
  <c r="AE338" i="20"/>
  <c r="AJ334" i="20"/>
  <c r="AG330" i="20"/>
  <c r="AN330" i="20"/>
  <c r="AM326" i="20"/>
  <c r="AL326" i="20"/>
  <c r="AL211" i="20"/>
  <c r="AC211" i="20"/>
  <c r="AI390" i="20"/>
  <c r="AM119" i="20"/>
  <c r="AL273" i="20"/>
  <c r="AO508" i="20"/>
  <c r="AJ98" i="20"/>
  <c r="AO253" i="20"/>
  <c r="AN440" i="20"/>
  <c r="AL468" i="20"/>
  <c r="AL467" i="20"/>
  <c r="AQ87" i="20"/>
  <c r="AK277" i="20"/>
  <c r="AE416" i="20"/>
  <c r="AI309" i="20"/>
  <c r="AJ480" i="20"/>
  <c r="AP281" i="20"/>
  <c r="AH281" i="20"/>
  <c r="AI389" i="20"/>
  <c r="AJ290" i="20"/>
  <c r="AN262" i="20"/>
  <c r="AN230" i="20"/>
  <c r="AQ214" i="20"/>
  <c r="AK178" i="20"/>
  <c r="AL154" i="20"/>
  <c r="AL138" i="20"/>
  <c r="AC113" i="20"/>
  <c r="AJ81" i="20"/>
  <c r="AQ194" i="20"/>
  <c r="AK218" i="20"/>
  <c r="AQ117" i="20"/>
  <c r="AE385" i="20"/>
  <c r="AM282" i="20"/>
  <c r="AO250" i="20"/>
  <c r="AI226" i="20"/>
  <c r="AK198" i="20"/>
  <c r="AQ182" i="20"/>
  <c r="AK158" i="20"/>
  <c r="AP142" i="20"/>
  <c r="AQ125" i="20"/>
  <c r="AE109" i="20"/>
  <c r="AC93" i="20"/>
  <c r="AE218" i="20"/>
  <c r="AP214" i="20"/>
  <c r="AG146" i="20"/>
  <c r="AC526" i="20"/>
  <c r="AN522" i="20"/>
  <c r="AN482" i="20"/>
  <c r="AK442" i="20"/>
  <c r="AQ418" i="20"/>
  <c r="AE394" i="20"/>
  <c r="AN331" i="20"/>
  <c r="AE179" i="20"/>
  <c r="AO510" i="20"/>
  <c r="AJ490" i="20"/>
  <c r="AE331" i="20"/>
  <c r="AM506" i="20"/>
  <c r="AC378" i="20"/>
  <c r="AH410" i="20"/>
  <c r="AG528" i="20"/>
  <c r="AN520" i="20"/>
  <c r="AE410" i="20"/>
  <c r="AQ406" i="20"/>
  <c r="AG311" i="20"/>
  <c r="AH534" i="20"/>
  <c r="AP502" i="20"/>
  <c r="AQ478" i="20"/>
  <c r="AL438" i="20"/>
  <c r="AJ414" i="20"/>
  <c r="AO374" i="20"/>
  <c r="AP343" i="20"/>
  <c r="AE151" i="20"/>
  <c r="AK390" i="20"/>
  <c r="AI323" i="20"/>
  <c r="AG508" i="20"/>
  <c r="AC484" i="20"/>
  <c r="AM472" i="20"/>
  <c r="AH444" i="20"/>
  <c r="AM400" i="20"/>
  <c r="AK392" i="20"/>
  <c r="AK380" i="20"/>
  <c r="AI360" i="20"/>
  <c r="AL329" i="20"/>
  <c r="AH309" i="20"/>
  <c r="AI46" i="20"/>
  <c r="AO492" i="20"/>
  <c r="AP237" i="20"/>
  <c r="AP384" i="20"/>
  <c r="AP480" i="20"/>
  <c r="AE177" i="20"/>
  <c r="AH325" i="20"/>
  <c r="AE380" i="20"/>
  <c r="AM432" i="20"/>
  <c r="AJ416" i="20"/>
  <c r="AI50" i="20"/>
  <c r="AM333" i="20"/>
  <c r="AG534" i="20"/>
  <c r="AM518" i="20"/>
  <c r="AK494" i="20"/>
  <c r="AK474" i="20"/>
  <c r="AJ450" i="20"/>
  <c r="AJ438" i="20"/>
  <c r="AC422" i="20"/>
  <c r="AL410" i="20"/>
  <c r="AN358" i="20"/>
  <c r="AC311" i="20"/>
  <c r="AL538" i="20"/>
  <c r="AC435" i="20"/>
  <c r="AE419" i="20"/>
  <c r="AE407" i="20"/>
  <c r="AO324" i="20"/>
  <c r="AH312" i="20"/>
  <c r="AO236" i="20"/>
  <c r="AN87" i="20"/>
  <c r="AE447" i="20"/>
  <c r="AG451" i="20"/>
  <c r="AQ200" i="20"/>
  <c r="AE435" i="20"/>
  <c r="AK459" i="20"/>
  <c r="AH431" i="20"/>
  <c r="AJ411" i="20"/>
  <c r="AN344" i="20"/>
  <c r="AP328" i="20"/>
  <c r="AO256" i="20"/>
  <c r="AM188" i="20"/>
  <c r="AH160" i="20"/>
  <c r="AE451" i="20"/>
  <c r="AM288" i="20"/>
  <c r="AE312" i="20"/>
  <c r="AG447" i="20"/>
  <c r="AQ459" i="20"/>
  <c r="AJ344" i="20"/>
  <c r="AC306" i="20"/>
  <c r="AC290" i="20"/>
  <c r="AC282" i="20"/>
  <c r="AG250" i="20"/>
  <c r="AG218" i="20"/>
  <c r="AJ206" i="20"/>
  <c r="AG182" i="20"/>
  <c r="AN85" i="20"/>
  <c r="AJ65" i="20"/>
  <c r="AN308" i="20"/>
  <c r="AQ296" i="20"/>
  <c r="AI276" i="20"/>
  <c r="AP276" i="20"/>
  <c r="AN264" i="20"/>
  <c r="AM252" i="20"/>
  <c r="AJ240" i="20"/>
  <c r="AK212" i="20"/>
  <c r="AJ212" i="20"/>
  <c r="AO176" i="20"/>
  <c r="AG119" i="20"/>
  <c r="AC375" i="20"/>
  <c r="AQ308" i="20"/>
  <c r="AP375" i="20"/>
  <c r="AJ375" i="20"/>
  <c r="AJ304" i="20"/>
  <c r="AJ300" i="20"/>
  <c r="AP300" i="20"/>
  <c r="AL284" i="20"/>
  <c r="AI280" i="20"/>
  <c r="AJ272" i="20"/>
  <c r="AJ268" i="20"/>
  <c r="AQ268" i="20"/>
  <c r="AE260" i="20"/>
  <c r="AJ256" i="20"/>
  <c r="AH248" i="20"/>
  <c r="AP244" i="20"/>
  <c r="AL236" i="20"/>
  <c r="AQ232" i="20"/>
  <c r="AO220" i="20"/>
  <c r="AQ216" i="20"/>
  <c r="AN208" i="20"/>
  <c r="AJ208" i="20"/>
  <c r="AQ204" i="20"/>
  <c r="AJ200" i="20"/>
  <c r="AI200" i="20"/>
  <c r="AL196" i="20"/>
  <c r="AH192" i="20"/>
  <c r="AC188" i="20"/>
  <c r="AC184" i="20"/>
  <c r="AM180" i="20"/>
  <c r="AN180" i="20"/>
  <c r="AK172" i="20"/>
  <c r="AC168" i="20"/>
  <c r="AN164" i="20"/>
  <c r="AN160" i="20"/>
  <c r="AI156" i="20"/>
  <c r="AL156" i="20"/>
  <c r="AO152" i="20"/>
  <c r="AE148" i="20"/>
  <c r="AJ144" i="20"/>
  <c r="AI140" i="20"/>
  <c r="AL140" i="20"/>
  <c r="AO131" i="20"/>
  <c r="AK131" i="20"/>
  <c r="AH127" i="20"/>
  <c r="AH123" i="20"/>
  <c r="AK119" i="20"/>
  <c r="AH115" i="20"/>
  <c r="AP111" i="20"/>
  <c r="AC103" i="20"/>
  <c r="AN103" i="20"/>
  <c r="AC99" i="20"/>
  <c r="AO95" i="20"/>
  <c r="AL87" i="20"/>
  <c r="AP79" i="20"/>
  <c r="AI61" i="20"/>
  <c r="AQ54" i="20"/>
  <c r="AE192" i="20"/>
  <c r="AG232" i="20"/>
  <c r="AQ280" i="20"/>
  <c r="AJ79" i="20"/>
  <c r="AH168" i="20"/>
  <c r="AH103" i="20"/>
  <c r="AQ135" i="20"/>
  <c r="AG236" i="20"/>
  <c r="AP248" i="20"/>
  <c r="AQ152" i="20"/>
  <c r="AG216" i="20"/>
  <c r="AQ272" i="20"/>
  <c r="AP268" i="20"/>
  <c r="AL111" i="20"/>
  <c r="AK152" i="20"/>
  <c r="AI184" i="20"/>
  <c r="AC79" i="20"/>
  <c r="AI534" i="20"/>
  <c r="AG494" i="20"/>
  <c r="AG374" i="20"/>
  <c r="AM298" i="20"/>
  <c r="AN250" i="20"/>
  <c r="AG226" i="20"/>
  <c r="AG190" i="20"/>
  <c r="AJ93" i="20"/>
  <c r="AJ101" i="20"/>
  <c r="AI368" i="20"/>
  <c r="AH341" i="20"/>
  <c r="AM435" i="20"/>
  <c r="AM427" i="20"/>
  <c r="AG423" i="20"/>
  <c r="AO415" i="20"/>
  <c r="AC411" i="20"/>
  <c r="AM407" i="20"/>
  <c r="AE66" i="20"/>
  <c r="AO38" i="20"/>
  <c r="AM473" i="20"/>
  <c r="AP344" i="20"/>
  <c r="AJ237" i="20"/>
  <c r="AN217" i="20"/>
  <c r="AP515" i="20"/>
  <c r="AL353" i="20"/>
  <c r="AI346" i="20"/>
  <c r="AN338" i="20"/>
  <c r="AJ338" i="20"/>
  <c r="AI334" i="20"/>
  <c r="AQ330" i="20"/>
  <c r="AK326" i="20"/>
  <c r="AQ307" i="20"/>
  <c r="AI211" i="20"/>
  <c r="AM203" i="20"/>
  <c r="AJ195" i="20"/>
  <c r="AN195" i="20"/>
  <c r="AO187" i="20"/>
  <c r="AM187" i="20"/>
  <c r="AC179" i="20"/>
  <c r="AL171" i="20"/>
  <c r="AO171" i="20"/>
  <c r="AH163" i="20"/>
  <c r="AK155" i="20"/>
  <c r="AN147" i="20"/>
  <c r="AG139" i="20"/>
  <c r="AM139" i="20"/>
  <c r="AK126" i="20"/>
  <c r="AK110" i="20"/>
  <c r="AK102" i="20"/>
  <c r="AH98" i="20"/>
  <c r="AJ90" i="20"/>
  <c r="AK78" i="20"/>
  <c r="AI78" i="20"/>
  <c r="AG72" i="20"/>
  <c r="AN60" i="20"/>
  <c r="AH45" i="20"/>
  <c r="AH36" i="20"/>
  <c r="AO36" i="20"/>
  <c r="AQ37" i="20"/>
  <c r="AC37" i="20"/>
  <c r="AO74" i="20"/>
  <c r="AE399" i="20"/>
  <c r="AQ171" i="20"/>
  <c r="AL44" i="20"/>
  <c r="AP139" i="20"/>
  <c r="AQ38" i="20"/>
  <c r="AI507" i="20"/>
  <c r="AC491" i="20"/>
  <c r="AQ491" i="20"/>
  <c r="AN483" i="20"/>
  <c r="AJ475" i="20"/>
  <c r="AK399" i="20"/>
  <c r="AC342" i="20"/>
  <c r="AM342" i="20"/>
  <c r="AJ255" i="20"/>
  <c r="AQ215" i="20"/>
  <c r="AI207" i="20"/>
  <c r="AI199" i="20"/>
  <c r="AP191" i="20"/>
  <c r="AG183" i="20"/>
  <c r="AO183" i="20"/>
  <c r="AC175" i="20"/>
  <c r="AG167" i="20"/>
  <c r="AP167" i="20"/>
  <c r="AJ159" i="20"/>
  <c r="AL151" i="20"/>
  <c r="AK143" i="20"/>
  <c r="AN130" i="20"/>
  <c r="AG122" i="20"/>
  <c r="AG114" i="20"/>
  <c r="AN106" i="20"/>
  <c r="AO106" i="20"/>
  <c r="AJ94" i="20"/>
  <c r="AG86" i="20"/>
  <c r="AG82" i="20"/>
  <c r="AI82" i="20"/>
  <c r="AO66" i="20"/>
  <c r="AG48" i="20"/>
  <c r="AC48" i="20"/>
  <c r="AI348" i="20"/>
  <c r="AE73" i="20"/>
  <c r="AG40" i="20"/>
  <c r="AE39" i="20"/>
  <c r="AK38" i="20"/>
  <c r="AP38" i="20"/>
  <c r="AO110" i="20"/>
  <c r="AM179" i="20"/>
  <c r="AG76" i="20"/>
  <c r="AE82" i="20"/>
  <c r="AC74" i="20"/>
  <c r="AH62" i="20"/>
  <c r="AK60" i="20"/>
  <c r="AO41" i="20"/>
  <c r="AE499" i="20"/>
  <c r="AK40" i="20"/>
  <c r="AO211" i="20"/>
  <c r="AL122" i="20"/>
  <c r="AC39" i="20"/>
  <c r="AO163" i="20"/>
  <c r="AH126" i="20"/>
  <c r="AK353" i="20"/>
  <c r="AJ207" i="20"/>
  <c r="AI94" i="20"/>
  <c r="AO76" i="20"/>
  <c r="AE167" i="20"/>
  <c r="AM147" i="20"/>
  <c r="AG73" i="20"/>
  <c r="AE330" i="20"/>
  <c r="AG41" i="20"/>
  <c r="AQ203" i="20"/>
  <c r="AH43" i="20"/>
  <c r="E62" i="37" s="1"/>
  <c r="AI44" i="20"/>
  <c r="AQ338" i="20"/>
  <c r="AJ122" i="20"/>
  <c r="AP137" i="20"/>
  <c r="AP171" i="20"/>
  <c r="AP102" i="20"/>
  <c r="AH48" i="20"/>
  <c r="AL94" i="20"/>
  <c r="AH348" i="20"/>
  <c r="AJ393" i="20"/>
  <c r="AC50" i="20"/>
  <c r="AO80" i="20"/>
  <c r="AI181" i="20"/>
  <c r="AM340" i="20"/>
  <c r="AG350" i="20"/>
  <c r="AI305" i="20"/>
  <c r="AK485" i="20"/>
  <c r="AG401" i="20"/>
  <c r="AG389" i="20"/>
  <c r="AN385" i="20"/>
  <c r="AN350" i="20"/>
  <c r="AQ249" i="20"/>
  <c r="AK237" i="20"/>
  <c r="AC233" i="20"/>
  <c r="AL233" i="20"/>
  <c r="AK225" i="20"/>
  <c r="AM217" i="20"/>
  <c r="AH213" i="20"/>
  <c r="AN205" i="20"/>
  <c r="AE92" i="20"/>
  <c r="AQ205" i="20"/>
  <c r="AE229" i="20"/>
  <c r="AC293" i="20"/>
  <c r="AE153" i="20"/>
  <c r="AE371" i="20"/>
  <c r="AI201" i="20"/>
  <c r="AI332" i="20"/>
  <c r="AL332" i="20"/>
  <c r="AJ397" i="20"/>
  <c r="AQ489" i="20"/>
  <c r="AJ277" i="20"/>
  <c r="AQ197" i="20"/>
  <c r="AP393" i="20"/>
  <c r="AK293" i="20"/>
  <c r="AC46" i="20"/>
  <c r="AH332" i="20"/>
  <c r="AH350" i="20"/>
  <c r="AG477" i="20"/>
  <c r="AH489" i="20"/>
  <c r="AK229" i="20"/>
  <c r="AH217" i="20"/>
  <c r="AQ466" i="20"/>
  <c r="AM430" i="20"/>
  <c r="AC464" i="20"/>
  <c r="AH404" i="20"/>
  <c r="AE469" i="20"/>
  <c r="AC461" i="20"/>
  <c r="AC469" i="20"/>
  <c r="AC473" i="20"/>
  <c r="AJ467" i="20"/>
  <c r="AG229" i="20"/>
  <c r="AG225" i="20"/>
  <c r="AC213" i="20"/>
  <c r="AE347" i="20"/>
  <c r="AP56" i="20"/>
  <c r="AH476" i="20"/>
  <c r="AM461" i="20"/>
  <c r="AP473" i="20"/>
  <c r="AO478" i="20"/>
  <c r="AL52" i="20"/>
  <c r="AP52" i="20"/>
  <c r="AM476" i="20"/>
  <c r="AJ461" i="20"/>
  <c r="AQ469" i="20"/>
  <c r="AM478" i="20"/>
  <c r="AG397" i="20"/>
  <c r="AN454" i="20"/>
  <c r="AK446" i="20"/>
  <c r="AG434" i="20"/>
  <c r="AH426" i="20"/>
  <c r="AC418" i="20"/>
  <c r="AI399" i="20"/>
  <c r="AJ353" i="20"/>
  <c r="AN353" i="20"/>
  <c r="AC326" i="20"/>
  <c r="AH199" i="20"/>
  <c r="AH187" i="20"/>
  <c r="AJ175" i="20"/>
  <c r="AH167" i="20"/>
  <c r="AC151" i="20"/>
  <c r="AC147" i="20"/>
  <c r="AG106" i="20"/>
  <c r="AN102" i="20"/>
  <c r="AN66" i="20"/>
  <c r="AG427" i="20"/>
  <c r="AG400" i="20"/>
  <c r="AQ518" i="20"/>
  <c r="AH502" i="20"/>
  <c r="AG537" i="20"/>
  <c r="AJ533" i="20"/>
  <c r="AI533" i="20"/>
  <c r="AE533" i="20"/>
  <c r="AQ525" i="20"/>
  <c r="AI525" i="20"/>
  <c r="AM525" i="20"/>
  <c r="AQ521" i="20"/>
  <c r="AK521" i="20"/>
  <c r="AH513" i="20"/>
  <c r="AK509" i="20"/>
  <c r="AQ509" i="20"/>
  <c r="AM501" i="20"/>
  <c r="AJ501" i="20"/>
  <c r="AG501" i="20"/>
  <c r="AN493" i="20"/>
  <c r="AG460" i="20"/>
  <c r="AH460" i="20"/>
  <c r="AC453" i="20"/>
  <c r="AK453" i="20"/>
  <c r="AJ449" i="20"/>
  <c r="AN449" i="20"/>
  <c r="AQ449" i="20"/>
  <c r="AC441" i="20"/>
  <c r="AO441" i="20"/>
  <c r="AJ441" i="20"/>
  <c r="AJ437" i="20"/>
  <c r="AO437" i="20"/>
  <c r="AM437" i="20"/>
  <c r="AJ433" i="20"/>
  <c r="AO433" i="20"/>
  <c r="AQ433" i="20"/>
  <c r="AI425" i="20"/>
  <c r="AN425" i="20"/>
  <c r="AK421" i="20"/>
  <c r="AH417" i="20"/>
  <c r="AJ417" i="20"/>
  <c r="AK417" i="20"/>
  <c r="AL413" i="20"/>
  <c r="AQ413" i="20"/>
  <c r="AO409" i="20"/>
  <c r="AJ405" i="20"/>
  <c r="AK405" i="20"/>
  <c r="AG398" i="20"/>
  <c r="AH398" i="20"/>
  <c r="AN398" i="20"/>
  <c r="AG395" i="20"/>
  <c r="AC395" i="20"/>
  <c r="AE395" i="20"/>
  <c r="AG387" i="20"/>
  <c r="AO387" i="20"/>
  <c r="AI387" i="20"/>
  <c r="AG383" i="20"/>
  <c r="AP383" i="20"/>
  <c r="AO383" i="20"/>
  <c r="AG376" i="20"/>
  <c r="AC376" i="20"/>
  <c r="AJ373" i="20"/>
  <c r="AM373" i="20"/>
  <c r="AE373" i="20"/>
  <c r="AO365" i="20"/>
  <c r="AJ365" i="20"/>
  <c r="AP365" i="20"/>
  <c r="AL361" i="20"/>
  <c r="AN361" i="20"/>
  <c r="AG322" i="20"/>
  <c r="AJ322" i="20"/>
  <c r="AO322" i="20"/>
  <c r="AG314" i="20"/>
  <c r="AL314" i="20"/>
  <c r="AK314" i="20"/>
  <c r="AG310" i="20"/>
  <c r="AL310" i="20"/>
  <c r="AK310" i="20"/>
  <c r="AI303" i="20"/>
  <c r="AC303" i="20"/>
  <c r="AO303" i="20"/>
  <c r="AH295" i="20"/>
  <c r="AQ295" i="20"/>
  <c r="AN291" i="20"/>
  <c r="AM291" i="20"/>
  <c r="AI291" i="20"/>
  <c r="AL287" i="20"/>
  <c r="AO287" i="20"/>
  <c r="AG279" i="20"/>
  <c r="AO279" i="20"/>
  <c r="AQ279" i="20"/>
  <c r="AN275" i="20"/>
  <c r="AG275" i="20"/>
  <c r="AE275" i="20"/>
  <c r="AG267" i="20"/>
  <c r="AJ267" i="20"/>
  <c r="AM263" i="20"/>
  <c r="AI263" i="20"/>
  <c r="AG263" i="20"/>
  <c r="AK255" i="20"/>
  <c r="AM255" i="20"/>
  <c r="AH251" i="20"/>
  <c r="AJ251" i="20"/>
  <c r="AE251" i="20"/>
  <c r="AN243" i="20"/>
  <c r="AL243" i="20"/>
  <c r="AO243" i="20"/>
  <c r="AC239" i="20"/>
  <c r="AO239" i="20"/>
  <c r="AH231" i="20"/>
  <c r="AN231" i="20"/>
  <c r="AP231" i="20"/>
  <c r="AQ227" i="20"/>
  <c r="AC227" i="20"/>
  <c r="AM223" i="20"/>
  <c r="AE223" i="20"/>
  <c r="AC219" i="20"/>
  <c r="AO219" i="20"/>
  <c r="AG58" i="20"/>
  <c r="AO58" i="20"/>
  <c r="AG54" i="20"/>
  <c r="AN49" i="20"/>
  <c r="AK49" i="20"/>
  <c r="AN352" i="20"/>
  <c r="AJ352" i="20"/>
  <c r="AN63" i="20"/>
  <c r="I61" i="37" s="1"/>
  <c r="AP456" i="20"/>
  <c r="AE243" i="20"/>
  <c r="AE235" i="20"/>
  <c r="AL267" i="20"/>
  <c r="AO49" i="20"/>
  <c r="AP223" i="20"/>
  <c r="AH49" i="20"/>
  <c r="AO227" i="20"/>
  <c r="AK291" i="20"/>
  <c r="AM376" i="20"/>
  <c r="AG63" i="20"/>
  <c r="AO456" i="20"/>
  <c r="AE239" i="20"/>
  <c r="AQ287" i="20"/>
  <c r="AJ54" i="20"/>
  <c r="AQ493" i="20"/>
  <c r="AN54" i="20"/>
  <c r="AQ239" i="20"/>
  <c r="AC425" i="20"/>
  <c r="AP529" i="20"/>
  <c r="AK529" i="20"/>
  <c r="AM517" i="20"/>
  <c r="AN517" i="20"/>
  <c r="AP505" i="20"/>
  <c r="AG497" i="20"/>
  <c r="AC456" i="20"/>
  <c r="AI456" i="20"/>
  <c r="AQ445" i="20"/>
  <c r="AN429" i="20"/>
  <c r="AL429" i="20"/>
  <c r="AQ429" i="20"/>
  <c r="AM391" i="20"/>
  <c r="AC391" i="20"/>
  <c r="AG379" i="20"/>
  <c r="AP379" i="20"/>
  <c r="AK379" i="20"/>
  <c r="AC369" i="20"/>
  <c r="AO369" i="20"/>
  <c r="AQ369" i="20"/>
  <c r="AI357" i="20"/>
  <c r="AK357" i="20"/>
  <c r="AN318" i="20"/>
  <c r="AC318" i="20"/>
  <c r="AK318" i="20"/>
  <c r="AN307" i="20"/>
  <c r="AP307" i="20"/>
  <c r="AO307" i="20"/>
  <c r="AH299" i="20"/>
  <c r="AM299" i="20"/>
  <c r="AO283" i="20"/>
  <c r="AQ283" i="20"/>
  <c r="AL283" i="20"/>
  <c r="AM271" i="20"/>
  <c r="AO271" i="20"/>
  <c r="AG271" i="20"/>
  <c r="AO259" i="20"/>
  <c r="AJ259" i="20"/>
  <c r="AN247" i="20"/>
  <c r="AK247" i="20"/>
  <c r="AQ247" i="20"/>
  <c r="AK235" i="20"/>
  <c r="AM235" i="20"/>
  <c r="AH215" i="20"/>
  <c r="AP215" i="20"/>
  <c r="AO63" i="20"/>
  <c r="J61" i="37" s="1"/>
  <c r="AE517" i="20"/>
  <c r="AE58" i="20"/>
  <c r="AE49" i="20"/>
  <c r="AQ231" i="20"/>
  <c r="AH517" i="20"/>
  <c r="AM513" i="20"/>
  <c r="AH352" i="20"/>
  <c r="AI227" i="20"/>
  <c r="AI259" i="20"/>
  <c r="AN417" i="20"/>
  <c r="AI369" i="20"/>
  <c r="AN460" i="20"/>
  <c r="AH531" i="20"/>
  <c r="AJ531" i="20"/>
  <c r="AN531" i="20"/>
  <c r="AI523" i="20"/>
  <c r="AP523" i="20"/>
  <c r="AK515" i="20"/>
  <c r="AJ515" i="20"/>
  <c r="AM507" i="20"/>
  <c r="AL507" i="20"/>
  <c r="AH499" i="20"/>
  <c r="AM499" i="20"/>
  <c r="AC462" i="20"/>
  <c r="AI462" i="20"/>
  <c r="AP462" i="20"/>
  <c r="AN458" i="20"/>
  <c r="AP458" i="20"/>
  <c r="AH451" i="20"/>
  <c r="AH447" i="20"/>
  <c r="AH381" i="20"/>
  <c r="AP371" i="20"/>
  <c r="AN371" i="20"/>
  <c r="AM367" i="20"/>
  <c r="AK363" i="20"/>
  <c r="AG363" i="20"/>
  <c r="AG359" i="20"/>
  <c r="AI359" i="20"/>
  <c r="AQ355" i="20"/>
  <c r="AG355" i="20"/>
  <c r="AP324" i="20"/>
  <c r="AN316" i="20"/>
  <c r="AL33" i="20"/>
  <c r="AJ31" i="20"/>
  <c r="AO31" i="20"/>
  <c r="AN31" i="20"/>
  <c r="AC32" i="20"/>
  <c r="AJ70" i="20"/>
  <c r="AK32" i="20"/>
  <c r="AP32" i="20"/>
  <c r="AH32" i="20"/>
  <c r="AC33" i="20"/>
  <c r="AQ30" i="20"/>
  <c r="AO29" i="20"/>
  <c r="AE29" i="20"/>
  <c r="AL30" i="20"/>
  <c r="AI30" i="20"/>
  <c r="AN29" i="20"/>
  <c r="AJ28" i="20"/>
  <c r="AH52" i="20"/>
  <c r="AI74" i="20"/>
  <c r="AH76" i="20"/>
  <c r="AL75" i="20"/>
  <c r="AG62" i="20"/>
  <c r="AP53" i="20"/>
  <c r="AJ57" i="20"/>
  <c r="AN64" i="20"/>
  <c r="AE84" i="20"/>
  <c r="AO28" i="20"/>
  <c r="AH238" i="20"/>
  <c r="AH290" i="20"/>
  <c r="AH442" i="20"/>
  <c r="AI206" i="20"/>
  <c r="AO494" i="20"/>
  <c r="AH329" i="20"/>
  <c r="AK345" i="20"/>
  <c r="AH470" i="20"/>
  <c r="AQ470" i="20"/>
  <c r="AG335" i="20"/>
  <c r="AH354" i="20"/>
  <c r="AK507" i="20"/>
  <c r="AJ269" i="20"/>
  <c r="AQ531" i="20"/>
  <c r="AO359" i="20"/>
  <c r="AH189" i="20"/>
  <c r="AH169" i="20"/>
  <c r="AG120" i="20"/>
  <c r="D52" i="37" s="1"/>
  <c r="AG92" i="20"/>
  <c r="AO68" i="20"/>
  <c r="AK316" i="20"/>
  <c r="AG289" i="20"/>
  <c r="AC297" i="20"/>
  <c r="AI381" i="20"/>
  <c r="AL185" i="20"/>
  <c r="AK169" i="20"/>
  <c r="AI324" i="20"/>
  <c r="AJ281" i="20"/>
  <c r="AQ371" i="20"/>
  <c r="AQ137" i="20"/>
  <c r="AM209" i="20"/>
  <c r="AG201" i="20"/>
  <c r="AJ447" i="20"/>
  <c r="AC112" i="20"/>
  <c r="AK462" i="20"/>
  <c r="AK305" i="20"/>
  <c r="AJ523" i="20"/>
  <c r="AN367" i="20"/>
  <c r="AC320" i="20"/>
  <c r="AO185" i="20"/>
  <c r="AP153" i="20"/>
  <c r="AN116" i="20"/>
  <c r="AG88" i="20"/>
  <c r="AK324" i="20"/>
  <c r="AM293" i="20"/>
  <c r="AM273" i="20"/>
  <c r="AQ209" i="20"/>
  <c r="AJ165" i="20"/>
  <c r="AO136" i="20"/>
  <c r="AN289" i="20"/>
  <c r="AQ499" i="20"/>
  <c r="AO112" i="20"/>
  <c r="AE209" i="20"/>
  <c r="AK347" i="20"/>
  <c r="AI347" i="20"/>
  <c r="AI47" i="20"/>
  <c r="AJ47" i="20"/>
  <c r="AN56" i="20"/>
  <c r="AK71" i="20"/>
  <c r="AC64" i="20"/>
  <c r="AK68" i="20"/>
  <c r="AN80" i="20"/>
  <c r="AI80" i="20"/>
  <c r="AC88" i="20"/>
  <c r="AK88" i="20"/>
  <c r="AI92" i="20"/>
  <c r="AI96" i="20"/>
  <c r="AJ104" i="20"/>
  <c r="AK112" i="20"/>
  <c r="AN112" i="20"/>
  <c r="AC120" i="20"/>
  <c r="AN136" i="20"/>
  <c r="AG136" i="20"/>
  <c r="AQ145" i="20"/>
  <c r="AG153" i="20"/>
  <c r="AN153" i="20"/>
  <c r="AL161" i="20"/>
  <c r="AQ169" i="20"/>
  <c r="AN173" i="20"/>
  <c r="AC173" i="20"/>
  <c r="AI177" i="20"/>
  <c r="AG181" i="20"/>
  <c r="AN185" i="20"/>
  <c r="AJ189" i="20"/>
  <c r="AO193" i="20"/>
  <c r="AH193" i="20"/>
  <c r="AG197" i="20"/>
  <c r="AQ241" i="20"/>
  <c r="AP241" i="20"/>
  <c r="AK245" i="20"/>
  <c r="AG245" i="20"/>
  <c r="AJ249" i="20"/>
  <c r="AM253" i="20"/>
  <c r="AI253" i="20"/>
  <c r="AH257" i="20"/>
  <c r="AI257" i="20"/>
  <c r="AG261" i="20"/>
  <c r="AK261" i="20"/>
  <c r="AK265" i="20"/>
  <c r="AC265" i="20"/>
  <c r="AI269" i="20"/>
  <c r="AJ273" i="20"/>
  <c r="AH277" i="20"/>
  <c r="AC289" i="20"/>
  <c r="AH289" i="20"/>
  <c r="AQ297" i="20"/>
  <c r="AM301" i="20"/>
  <c r="AM305" i="20"/>
  <c r="AG305" i="20"/>
  <c r="AI312" i="20"/>
  <c r="AN312" i="20"/>
  <c r="AM320" i="20"/>
  <c r="AP355" i="20"/>
  <c r="AL355" i="20"/>
  <c r="AN359" i="20"/>
  <c r="AL363" i="20"/>
  <c r="AP367" i="20"/>
  <c r="AK367" i="20"/>
  <c r="AI371" i="20"/>
  <c r="AK447" i="20"/>
  <c r="AP451" i="20"/>
  <c r="AK458" i="20"/>
  <c r="AG458" i="20"/>
  <c r="AH462" i="20"/>
  <c r="AG462" i="20"/>
  <c r="AL499" i="20"/>
  <c r="AP507" i="20"/>
  <c r="AN507" i="20"/>
  <c r="AC515" i="20"/>
  <c r="AH523" i="20"/>
  <c r="AP527" i="20"/>
  <c r="AO531" i="20"/>
  <c r="AG531" i="20"/>
  <c r="AN365" i="20"/>
  <c r="AM509" i="20"/>
  <c r="AM275" i="20"/>
  <c r="AL223" i="20"/>
  <c r="AQ497" i="20"/>
  <c r="AL54" i="20"/>
  <c r="AE287" i="20"/>
  <c r="AE271" i="20"/>
  <c r="AE445" i="20"/>
  <c r="AC460" i="20"/>
  <c r="AO215" i="20"/>
  <c r="AN215" i="20"/>
  <c r="AJ235" i="20"/>
  <c r="AE247" i="20"/>
  <c r="AI247" i="20"/>
  <c r="AM259" i="20"/>
  <c r="AC259" i="20"/>
  <c r="AK271" i="20"/>
  <c r="AQ271" i="20"/>
  <c r="AH283" i="20"/>
  <c r="AK283" i="20"/>
  <c r="AI299" i="20"/>
  <c r="AG299" i="20"/>
  <c r="AH307" i="20"/>
  <c r="AP318" i="20"/>
  <c r="AG318" i="20"/>
  <c r="AL318" i="20"/>
  <c r="AN357" i="20"/>
  <c r="AG357" i="20"/>
  <c r="AM369" i="20"/>
  <c r="AM379" i="20"/>
  <c r="AI379" i="20"/>
  <c r="AH379" i="20"/>
  <c r="AP391" i="20"/>
  <c r="AH391" i="20"/>
  <c r="AI429" i="20"/>
  <c r="AP429" i="20"/>
  <c r="AN456" i="20"/>
  <c r="AG456" i="20"/>
  <c r="AL497" i="20"/>
  <c r="AJ505" i="20"/>
  <c r="AP517" i="20"/>
  <c r="AI529" i="20"/>
  <c r="AN501" i="20"/>
  <c r="AK251" i="20"/>
  <c r="AL460" i="20"/>
  <c r="AQ425" i="20"/>
  <c r="AK517" i="20"/>
  <c r="AE493" i="20"/>
  <c r="AL456" i="20"/>
  <c r="AG77" i="20"/>
  <c r="AH263" i="20"/>
  <c r="AJ219" i="20"/>
  <c r="AQ361" i="20"/>
  <c r="AK352" i="20"/>
  <c r="AE383" i="20"/>
  <c r="AE295" i="20"/>
  <c r="AP376" i="20"/>
  <c r="AN77" i="20"/>
  <c r="AC352" i="20"/>
  <c r="AP49" i="20"/>
  <c r="AO54" i="20"/>
  <c r="AQ58" i="20"/>
  <c r="AQ219" i="20"/>
  <c r="AG219" i="20"/>
  <c r="AO223" i="20"/>
  <c r="AG223" i="20"/>
  <c r="AP227" i="20"/>
  <c r="AG227" i="20"/>
  <c r="AI231" i="20"/>
  <c r="AM239" i="20"/>
  <c r="AK239" i="20"/>
  <c r="AP243" i="20"/>
  <c r="AI243" i="20"/>
  <c r="AI251" i="20"/>
  <c r="AL251" i="20"/>
  <c r="AQ255" i="20"/>
  <c r="AL255" i="20"/>
  <c r="AP263" i="20"/>
  <c r="AJ263" i="20"/>
  <c r="AN267" i="20"/>
  <c r="AH267" i="20"/>
  <c r="AJ275" i="20"/>
  <c r="AI275" i="20"/>
  <c r="AI279" i="20"/>
  <c r="AM279" i="20"/>
  <c r="AH287" i="20"/>
  <c r="AN287" i="20"/>
  <c r="AO291" i="20"/>
  <c r="AC291" i="20"/>
  <c r="AO295" i="20"/>
  <c r="AI295" i="20"/>
  <c r="AK303" i="20"/>
  <c r="AJ303" i="20"/>
  <c r="AO310" i="20"/>
  <c r="AC310" i="20"/>
  <c r="AC314" i="20"/>
  <c r="AH314" i="20"/>
  <c r="AI322" i="20"/>
  <c r="AL322" i="20"/>
  <c r="AM361" i="20"/>
  <c r="AO361" i="20"/>
  <c r="AI365" i="20"/>
  <c r="AH365" i="20"/>
  <c r="AI373" i="20"/>
  <c r="AN373" i="20"/>
  <c r="AK376" i="20"/>
  <c r="AH376" i="20"/>
  <c r="AJ383" i="20"/>
  <c r="AN383" i="20"/>
  <c r="AJ387" i="20"/>
  <c r="AL387" i="20"/>
  <c r="AJ395" i="20"/>
  <c r="AM395" i="20"/>
  <c r="AH395" i="20"/>
  <c r="AC398" i="20"/>
  <c r="AQ398" i="20"/>
  <c r="AN405" i="20"/>
  <c r="AH409" i="20"/>
  <c r="AP413" i="20"/>
  <c r="AN413" i="20"/>
  <c r="AI417" i="20"/>
  <c r="AC417" i="20"/>
  <c r="AN421" i="20"/>
  <c r="AG425" i="20"/>
  <c r="AC433" i="20"/>
  <c r="AH433" i="20"/>
  <c r="AG433" i="20"/>
  <c r="AI437" i="20"/>
  <c r="AQ437" i="20"/>
  <c r="AE441" i="20"/>
  <c r="AP441" i="20"/>
  <c r="AK449" i="20"/>
  <c r="AL449" i="20"/>
  <c r="AQ453" i="20"/>
  <c r="AP460" i="20"/>
  <c r="AJ460" i="20"/>
  <c r="AO493" i="20"/>
  <c r="AL501" i="20"/>
  <c r="AH501" i="20"/>
  <c r="AL509" i="20"/>
  <c r="AC509" i="20"/>
  <c r="AO513" i="20"/>
  <c r="AN521" i="20"/>
  <c r="AJ525" i="20"/>
  <c r="AC525" i="20"/>
  <c r="AH533" i="20"/>
  <c r="AC533" i="20"/>
  <c r="AE537" i="20"/>
  <c r="AI537" i="20"/>
  <c r="AH184" i="20"/>
  <c r="AH419" i="20"/>
  <c r="AG518" i="20"/>
  <c r="AJ102" i="20"/>
  <c r="AG126" i="20"/>
  <c r="AN151" i="20"/>
  <c r="AG171" i="20"/>
  <c r="AL183" i="20"/>
  <c r="AG199" i="20"/>
  <c r="AK334" i="20"/>
  <c r="AG353" i="20"/>
  <c r="AO399" i="20"/>
  <c r="AJ418" i="20"/>
  <c r="AG426" i="20"/>
  <c r="AH446" i="20"/>
  <c r="AQ454" i="20"/>
  <c r="AC467" i="20"/>
  <c r="AH473" i="20"/>
  <c r="AC457" i="20"/>
  <c r="AP47" i="20"/>
  <c r="AE56" i="20"/>
  <c r="AG478" i="20"/>
  <c r="AG469" i="20"/>
  <c r="AH457" i="20"/>
  <c r="AE476" i="20"/>
  <c r="AL71" i="20"/>
  <c r="AN225" i="20"/>
  <c r="AP233" i="20"/>
  <c r="AI467" i="20"/>
  <c r="AO469" i="20"/>
  <c r="AP476" i="20"/>
  <c r="AG372" i="20"/>
  <c r="AG464" i="20"/>
  <c r="AH438" i="20"/>
  <c r="AG474" i="20"/>
  <c r="AK217" i="20"/>
  <c r="AC485" i="20"/>
  <c r="AP363" i="20"/>
  <c r="AH336" i="20"/>
  <c r="AO385" i="20"/>
  <c r="AK328" i="20"/>
  <c r="AL385" i="20"/>
  <c r="AQ50" i="20"/>
  <c r="AE401" i="20"/>
  <c r="AK336" i="20"/>
  <c r="AJ332" i="20"/>
  <c r="AQ55" i="20"/>
  <c r="AE201" i="20"/>
  <c r="AE277" i="20"/>
  <c r="AQ221" i="20"/>
  <c r="AP55" i="20"/>
  <c r="AK213" i="20"/>
  <c r="AC217" i="20"/>
  <c r="AN221" i="20"/>
  <c r="AK233" i="20"/>
  <c r="AG233" i="20"/>
  <c r="AG237" i="20"/>
  <c r="AJ367" i="20"/>
  <c r="AG385" i="20"/>
  <c r="AN401" i="20"/>
  <c r="AC489" i="20"/>
  <c r="AK481" i="20"/>
  <c r="AM344" i="20"/>
  <c r="AN169" i="20"/>
  <c r="AO55" i="20"/>
  <c r="AN46" i="20"/>
  <c r="AH90" i="20"/>
  <c r="AJ483" i="20"/>
  <c r="AH38" i="20"/>
  <c r="AP48" i="20"/>
  <c r="AM130" i="20"/>
  <c r="AN137" i="20"/>
  <c r="AN44" i="20"/>
  <c r="AQ159" i="20"/>
  <c r="AE41" i="20"/>
  <c r="AJ60" i="20"/>
  <c r="AQ45" i="20"/>
  <c r="AO48" i="20"/>
  <c r="AN82" i="20"/>
  <c r="AO143" i="20"/>
  <c r="AH110" i="20"/>
  <c r="AE38" i="20"/>
  <c r="AP179" i="20"/>
  <c r="AQ130" i="20"/>
  <c r="AP90" i="20"/>
  <c r="AQ143" i="20"/>
  <c r="AN41" i="20"/>
  <c r="AC76" i="20"/>
  <c r="AK45" i="20"/>
  <c r="AO98" i="20"/>
  <c r="AJ45" i="20"/>
  <c r="AM175" i="20"/>
  <c r="AC42" i="20"/>
  <c r="AP39" i="20"/>
  <c r="AJ39" i="20"/>
  <c r="AN76" i="20"/>
  <c r="AG348" i="20"/>
  <c r="AJ48" i="20"/>
  <c r="AC57" i="20"/>
  <c r="AL82" i="20"/>
  <c r="AP86" i="20"/>
  <c r="AQ94" i="20"/>
  <c r="AL106" i="20"/>
  <c r="AL114" i="20"/>
  <c r="AH122" i="20"/>
  <c r="AC130" i="20"/>
  <c r="AO151" i="20"/>
  <c r="AG159" i="20"/>
  <c r="AL167" i="20"/>
  <c r="AP175" i="20"/>
  <c r="AP183" i="20"/>
  <c r="AM191" i="20"/>
  <c r="AG191" i="20"/>
  <c r="AC199" i="20"/>
  <c r="AG235" i="20"/>
  <c r="AP342" i="20"/>
  <c r="AI342" i="20"/>
  <c r="AC399" i="20"/>
  <c r="AN475" i="20"/>
  <c r="AL483" i="20"/>
  <c r="AJ499" i="20"/>
  <c r="AJ147" i="20"/>
  <c r="AQ373" i="20"/>
  <c r="AO40" i="20"/>
  <c r="AL41" i="20"/>
  <c r="AK72" i="20"/>
  <c r="AN37" i="20"/>
  <c r="AJ37" i="20"/>
  <c r="AC36" i="20"/>
  <c r="AG45" i="20"/>
  <c r="AI72" i="20"/>
  <c r="AQ78" i="20"/>
  <c r="AO90" i="20"/>
  <c r="AC98" i="20"/>
  <c r="AO102" i="20"/>
  <c r="AG110" i="20"/>
  <c r="AN134" i="20"/>
  <c r="AH139" i="20"/>
  <c r="AI147" i="20"/>
  <c r="AI163" i="20"/>
  <c r="AG163" i="20"/>
  <c r="AI179" i="20"/>
  <c r="AL179" i="20"/>
  <c r="AJ187" i="20"/>
  <c r="AP195" i="20"/>
  <c r="AO203" i="20"/>
  <c r="AE211" i="20"/>
  <c r="AE307" i="20"/>
  <c r="AH326" i="20"/>
  <c r="AL330" i="20"/>
  <c r="AL338" i="20"/>
  <c r="AC346" i="20"/>
  <c r="AP353" i="20"/>
  <c r="AK28" i="20"/>
  <c r="AI225" i="20"/>
  <c r="AL344" i="20"/>
  <c r="AO485" i="20"/>
  <c r="AH66" i="20"/>
  <c r="AL407" i="20"/>
  <c r="AG411" i="20"/>
  <c r="AI419" i="20"/>
  <c r="AQ427" i="20"/>
  <c r="AG435" i="20"/>
  <c r="AG309" i="20"/>
  <c r="AG360" i="20"/>
  <c r="AG524" i="20"/>
  <c r="AG97" i="20"/>
  <c r="AM202" i="20"/>
  <c r="AC242" i="20"/>
  <c r="AL298" i="20"/>
  <c r="AC414" i="20"/>
  <c r="AG522" i="20"/>
  <c r="AQ375" i="20"/>
  <c r="AH176" i="20"/>
  <c r="AK115" i="20"/>
  <c r="AM260" i="20"/>
  <c r="AK236" i="20"/>
  <c r="AP168" i="20"/>
  <c r="AP180" i="20"/>
  <c r="AQ160" i="20"/>
  <c r="AG268" i="20"/>
  <c r="AK123" i="20"/>
  <c r="AO264" i="20"/>
  <c r="AL61" i="20"/>
  <c r="AE99" i="20"/>
  <c r="AK61" i="20"/>
  <c r="AK79" i="20"/>
  <c r="AK87" i="20"/>
  <c r="AJ95" i="20"/>
  <c r="AO99" i="20"/>
  <c r="AE107" i="20"/>
  <c r="AI111" i="20"/>
  <c r="AN115" i="20"/>
  <c r="AL123" i="20"/>
  <c r="AI127" i="20"/>
  <c r="AM131" i="20"/>
  <c r="AC140" i="20"/>
  <c r="AM144" i="20"/>
  <c r="AI148" i="20"/>
  <c r="AP152" i="20"/>
  <c r="AP156" i="20"/>
  <c r="AI160" i="20"/>
  <c r="AG164" i="20"/>
  <c r="AI168" i="20"/>
  <c r="AM172" i="20"/>
  <c r="AH180" i="20"/>
  <c r="AP188" i="20"/>
  <c r="AQ192" i="20"/>
  <c r="AK196" i="20"/>
  <c r="AP200" i="20"/>
  <c r="AE204" i="20"/>
  <c r="AO208" i="20"/>
  <c r="AG208" i="20"/>
  <c r="AI220" i="20"/>
  <c r="AM232" i="20"/>
  <c r="AC244" i="20"/>
  <c r="AQ248" i="20"/>
  <c r="AC256" i="20"/>
  <c r="AQ260" i="20"/>
  <c r="AC268" i="20"/>
  <c r="AN280" i="20"/>
  <c r="AM284" i="20"/>
  <c r="AC292" i="20"/>
  <c r="AI300" i="20"/>
  <c r="AE304" i="20"/>
  <c r="AI375" i="20"/>
  <c r="AO168" i="20"/>
  <c r="AK200" i="20"/>
  <c r="AO156" i="20"/>
  <c r="AP212" i="20"/>
  <c r="AP240" i="20"/>
  <c r="AN252" i="20"/>
  <c r="AJ264" i="20"/>
  <c r="AK276" i="20"/>
  <c r="AN296" i="20"/>
  <c r="AJ308" i="20"/>
  <c r="AL69" i="20"/>
  <c r="AC178" i="20"/>
  <c r="AG210" i="20"/>
  <c r="AL238" i="20"/>
  <c r="AH270" i="20"/>
  <c r="AG294" i="20"/>
  <c r="AC377" i="20"/>
  <c r="AM308" i="20"/>
  <c r="AE284" i="20"/>
  <c r="AG344" i="20"/>
  <c r="AJ443" i="20"/>
  <c r="AL160" i="20"/>
  <c r="AN232" i="20"/>
  <c r="AN320" i="20"/>
  <c r="AC344" i="20"/>
  <c r="AP423" i="20"/>
  <c r="AH443" i="20"/>
  <c r="AC340" i="20"/>
  <c r="AO340" i="20"/>
  <c r="AE296" i="20"/>
  <c r="AC95" i="20"/>
  <c r="AJ280" i="20"/>
  <c r="AL324" i="20"/>
  <c r="AG407" i="20"/>
  <c r="AI427" i="20"/>
  <c r="AK431" i="20"/>
  <c r="AI319" i="20"/>
  <c r="AG362" i="20"/>
  <c r="AH422" i="20"/>
  <c r="AG438" i="20"/>
  <c r="AL466" i="20"/>
  <c r="AM490" i="20"/>
  <c r="AK522" i="20"/>
  <c r="AC364" i="20"/>
  <c r="AG84" i="20"/>
  <c r="AI464" i="20"/>
  <c r="AM416" i="20"/>
  <c r="AG436" i="20"/>
  <c r="AE492" i="20"/>
  <c r="AO408" i="20"/>
  <c r="AO269" i="20"/>
  <c r="AO444" i="20"/>
  <c r="AM237" i="20"/>
  <c r="AM329" i="20"/>
  <c r="AN364" i="20"/>
  <c r="AC384" i="20"/>
  <c r="AG396" i="20"/>
  <c r="AH448" i="20"/>
  <c r="AG480" i="20"/>
  <c r="AG496" i="20"/>
  <c r="AO311" i="20"/>
  <c r="AE358" i="20"/>
  <c r="AQ335" i="20"/>
  <c r="AQ382" i="20"/>
  <c r="AK422" i="20"/>
  <c r="AJ474" i="20"/>
  <c r="AL510" i="20"/>
  <c r="AI406" i="20"/>
  <c r="AO370" i="20"/>
  <c r="AE386" i="20"/>
  <c r="AI520" i="20"/>
  <c r="AC406" i="20"/>
  <c r="AM349" i="20"/>
  <c r="AI386" i="20"/>
  <c r="AJ442" i="20"/>
  <c r="AJ394" i="20"/>
  <c r="AJ331" i="20"/>
  <c r="AJ378" i="20"/>
  <c r="AN418" i="20"/>
  <c r="AI454" i="20"/>
  <c r="AQ522" i="20"/>
  <c r="AM194" i="20"/>
  <c r="AQ81" i="20"/>
  <c r="AE89" i="20"/>
  <c r="AP101" i="20"/>
  <c r="AH117" i="20"/>
  <c r="AO133" i="20"/>
  <c r="AE166" i="20"/>
  <c r="AM190" i="20"/>
  <c r="AH218" i="20"/>
  <c r="AC258" i="20"/>
  <c r="AM294" i="20"/>
  <c r="AK222" i="20"/>
  <c r="AO170" i="20"/>
  <c r="AN65" i="20"/>
  <c r="AQ105" i="20"/>
  <c r="L53" i="37" s="1"/>
  <c r="AL146" i="20"/>
  <c r="AH170" i="20"/>
  <c r="AM206" i="20"/>
  <c r="AE238" i="20"/>
  <c r="AM278" i="20"/>
  <c r="AK381" i="20"/>
  <c r="AI411" i="20"/>
  <c r="AI432" i="20"/>
  <c r="AE294" i="20"/>
  <c r="AO341" i="20"/>
  <c r="AP416" i="20"/>
  <c r="AE344" i="20"/>
  <c r="AN81" i="20"/>
  <c r="AQ528" i="20"/>
  <c r="AG432" i="20"/>
  <c r="AQ114" i="20"/>
  <c r="AG16" i="20"/>
  <c r="AM54" i="20"/>
  <c r="AF68" i="20"/>
  <c r="AF218" i="20"/>
  <c r="AF408" i="20"/>
  <c r="AF411" i="20"/>
  <c r="AD450" i="20"/>
  <c r="AD389" i="20"/>
  <c r="AD341" i="20"/>
  <c r="AD290" i="20"/>
  <c r="AD257" i="20"/>
  <c r="AD235" i="20"/>
  <c r="AD210" i="20"/>
  <c r="AD190" i="20"/>
  <c r="AD171" i="20"/>
  <c r="AD147" i="20"/>
  <c r="AD125" i="20"/>
  <c r="AD102" i="20"/>
  <c r="AD79" i="20"/>
  <c r="AD56" i="20"/>
  <c r="AD25" i="20"/>
  <c r="AE145" i="20"/>
  <c r="AL309" i="20"/>
  <c r="AM408" i="20"/>
  <c r="AC516" i="20"/>
  <c r="AQ14" i="20"/>
  <c r="AF390" i="20"/>
  <c r="AF423" i="20"/>
  <c r="AF449" i="20"/>
  <c r="AF476" i="20"/>
  <c r="AD530" i="20"/>
  <c r="AD414" i="20"/>
  <c r="AD385" i="20"/>
  <c r="AD330" i="20"/>
  <c r="AD280" i="20"/>
  <c r="AD251" i="20"/>
  <c r="AD225" i="20"/>
  <c r="AD208" i="20"/>
  <c r="AD184" i="20"/>
  <c r="AD166" i="20"/>
  <c r="AD143" i="20"/>
  <c r="AD117" i="20"/>
  <c r="AD96" i="20"/>
  <c r="AD73" i="20"/>
  <c r="AD47" i="20"/>
  <c r="AD20" i="20"/>
  <c r="AN209" i="20"/>
  <c r="AI333" i="20"/>
  <c r="AL432" i="20"/>
  <c r="AQ17" i="20"/>
  <c r="AP17" i="20"/>
  <c r="AI20" i="20"/>
  <c r="AP20" i="20"/>
  <c r="AK20" i="20"/>
  <c r="AM106" i="20"/>
  <c r="AM56" i="20"/>
  <c r="AI18" i="20"/>
  <c r="AP18" i="20"/>
  <c r="AL18" i="20"/>
  <c r="AK21" i="20"/>
  <c r="AI21" i="20"/>
  <c r="AL506" i="20"/>
  <c r="AQ422" i="20"/>
  <c r="AC370" i="20"/>
  <c r="AP311" i="20"/>
  <c r="AM109" i="20"/>
  <c r="AM85" i="20"/>
  <c r="AM50" i="20"/>
  <c r="AM117" i="20"/>
  <c r="AM77" i="20"/>
  <c r="AM24" i="20"/>
  <c r="AM28" i="20"/>
  <c r="AM110" i="20"/>
  <c r="AL72" i="20"/>
  <c r="AQ104" i="20"/>
  <c r="AP80" i="20"/>
  <c r="AM70" i="20"/>
  <c r="AI22" i="20"/>
  <c r="F64" i="37" s="1"/>
  <c r="AH22" i="20"/>
  <c r="E64" i="37" s="1"/>
  <c r="AE23" i="20"/>
  <c r="AL23" i="20"/>
  <c r="AQ16" i="20"/>
  <c r="AC16" i="20"/>
  <c r="AC24" i="20"/>
  <c r="AQ24" i="20"/>
  <c r="AH24" i="20"/>
  <c r="AH25" i="20"/>
  <c r="AK25" i="20"/>
  <c r="AO26" i="20"/>
  <c r="AQ26" i="20"/>
  <c r="AE120" i="20"/>
  <c r="AP309" i="20"/>
  <c r="AO424" i="20"/>
  <c r="AK209" i="20"/>
  <c r="AL368" i="20"/>
  <c r="AP333" i="20"/>
  <c r="AQ510" i="20"/>
  <c r="AP478" i="20"/>
  <c r="AH430" i="20"/>
  <c r="AM390" i="20"/>
  <c r="AK362" i="20"/>
  <c r="AG327" i="20"/>
  <c r="AK299" i="20"/>
  <c r="AF443" i="20"/>
  <c r="AD411" i="20"/>
  <c r="AD312" i="20"/>
  <c r="AD239" i="20"/>
  <c r="AD194" i="20"/>
  <c r="AD154" i="20"/>
  <c r="AD107" i="20"/>
  <c r="AD61" i="20"/>
  <c r="AM95" i="20"/>
  <c r="AQ388" i="20"/>
  <c r="AF84" i="20"/>
  <c r="AD494" i="20"/>
  <c r="AD370" i="20"/>
  <c r="AD269" i="20"/>
  <c r="AD230" i="20"/>
  <c r="AD181" i="20"/>
  <c r="AD138" i="20"/>
  <c r="AD88" i="20"/>
  <c r="AD36" i="20"/>
  <c r="AL229" i="20"/>
  <c r="AC452" i="20"/>
  <c r="AE17" i="20"/>
  <c r="AL17" i="20"/>
  <c r="AM20" i="20"/>
  <c r="AC20" i="20"/>
  <c r="AM123" i="20"/>
  <c r="AM52" i="20"/>
  <c r="AJ18" i="20"/>
  <c r="AO18" i="20"/>
  <c r="AH21" i="20"/>
  <c r="AQ21" i="20"/>
  <c r="AE426" i="20"/>
  <c r="AI362" i="20"/>
  <c r="AM126" i="20"/>
  <c r="AM93" i="20"/>
  <c r="AM46" i="20"/>
  <c r="AM68" i="20"/>
  <c r="AM22" i="20"/>
  <c r="H64" i="37" s="1"/>
  <c r="AM86" i="20"/>
  <c r="AM112" i="20"/>
  <c r="AM80" i="20"/>
  <c r="AE40" i="20"/>
  <c r="AK22" i="20"/>
  <c r="AI23" i="20"/>
  <c r="AK23" i="20"/>
  <c r="AN16" i="20"/>
  <c r="AG24" i="20"/>
  <c r="AE25" i="20"/>
  <c r="AP24" i="20"/>
  <c r="AO25" i="20"/>
  <c r="AE26" i="20"/>
  <c r="AE123" i="20"/>
  <c r="AO343" i="20"/>
  <c r="AO484" i="20"/>
  <c r="AI444" i="20"/>
  <c r="AC400" i="20"/>
  <c r="AI494" i="20"/>
  <c r="AQ446" i="20"/>
  <c r="AH382" i="20"/>
  <c r="AL343" i="20"/>
  <c r="AE303" i="20"/>
  <c r="AI267" i="20"/>
  <c r="AH243" i="20"/>
  <c r="AM199" i="20"/>
  <c r="AO175" i="20"/>
  <c r="AK147" i="20"/>
  <c r="AK122" i="20"/>
  <c r="AE90" i="20"/>
  <c r="AK348" i="20"/>
  <c r="AP44" i="20"/>
  <c r="AE50" i="20"/>
  <c r="AO372" i="20"/>
  <c r="AL512" i="20"/>
  <c r="AE317" i="20"/>
  <c r="AQ480" i="20"/>
  <c r="AQ175" i="20"/>
  <c r="AI110" i="20"/>
  <c r="AQ434" i="20"/>
  <c r="AP452" i="20"/>
  <c r="AJ96" i="20"/>
  <c r="AL427" i="20"/>
  <c r="AO449" i="20"/>
  <c r="AM405" i="20"/>
  <c r="AH385" i="20"/>
  <c r="AN346" i="20"/>
  <c r="AI318" i="20"/>
  <c r="AQ274" i="20"/>
  <c r="AQ242" i="20"/>
  <c r="AE226" i="20"/>
  <c r="AI34" i="20"/>
  <c r="AJ34" i="20"/>
  <c r="AC506" i="20"/>
  <c r="AK526" i="20"/>
  <c r="AP539" i="20"/>
  <c r="AJ496" i="20"/>
  <c r="AI468" i="20"/>
  <c r="AK319" i="20"/>
  <c r="AL354" i="20"/>
  <c r="AQ362" i="20"/>
  <c r="AO386" i="20"/>
  <c r="AN436" i="20"/>
  <c r="AP265" i="20"/>
  <c r="AE478" i="20"/>
  <c r="AK53" i="20"/>
  <c r="AE432" i="20"/>
  <c r="AP368" i="20"/>
  <c r="AP317" i="20"/>
  <c r="AQ237" i="20"/>
  <c r="AL360" i="20"/>
  <c r="AC508" i="20"/>
  <c r="AO337" i="20"/>
  <c r="AP104" i="20"/>
  <c r="AJ388" i="20"/>
  <c r="AK55" i="20"/>
  <c r="AH432" i="20"/>
  <c r="AM532" i="20"/>
  <c r="AL442" i="20"/>
  <c r="AQ358" i="20"/>
  <c r="AJ73" i="20"/>
  <c r="AP351" i="20"/>
  <c r="AP221" i="20"/>
  <c r="AC356" i="20"/>
  <c r="AC34" i="20"/>
  <c r="AJ380" i="20"/>
  <c r="AK472" i="20"/>
  <c r="AK331" i="20"/>
  <c r="AM394" i="20"/>
  <c r="AM508" i="20"/>
  <c r="AE496" i="20"/>
  <c r="AO360" i="20"/>
  <c r="AO229" i="20"/>
  <c r="AO257" i="20"/>
  <c r="AH210" i="20"/>
  <c r="AO154" i="20"/>
  <c r="AG117" i="20"/>
  <c r="AE65" i="20"/>
  <c r="AK174" i="20"/>
  <c r="AE133" i="20"/>
  <c r="AI528" i="20"/>
  <c r="AP500" i="20"/>
  <c r="AJ476" i="20"/>
  <c r="AO448" i="20"/>
  <c r="AI412" i="20"/>
  <c r="AE376" i="20"/>
  <c r="AQ313" i="20"/>
  <c r="AN293" i="20"/>
  <c r="AQ261" i="20"/>
  <c r="AO245" i="20"/>
  <c r="AN229" i="20"/>
  <c r="AI205" i="20"/>
  <c r="AI173" i="20"/>
  <c r="AG112" i="20"/>
  <c r="AO84" i="20"/>
  <c r="AN447" i="20"/>
  <c r="AC427" i="20"/>
  <c r="AE379" i="20"/>
  <c r="AO350" i="20"/>
  <c r="AC328" i="20"/>
  <c r="AP280" i="20"/>
  <c r="AO252" i="20"/>
  <c r="AM208" i="20"/>
  <c r="AL184" i="20"/>
  <c r="AJ156" i="20"/>
  <c r="AI123" i="20"/>
  <c r="AL79" i="20"/>
  <c r="AP77" i="20"/>
  <c r="AP119" i="20"/>
  <c r="AI282" i="20"/>
  <c r="AH536" i="20"/>
  <c r="AP504" i="20"/>
  <c r="AJ444" i="20"/>
  <c r="AK436" i="20"/>
  <c r="AQ424" i="20"/>
  <c r="AI408" i="20"/>
  <c r="AI384" i="20"/>
  <c r="AN341" i="20"/>
  <c r="AE337" i="20"/>
  <c r="AE321" i="20"/>
  <c r="AI281" i="20"/>
  <c r="AC201" i="20"/>
  <c r="AD426" i="20"/>
  <c r="AD246" i="20"/>
  <c r="AD162" i="20"/>
  <c r="AD65" i="20"/>
  <c r="AM360" i="20"/>
  <c r="AM17" i="20"/>
  <c r="AK17" i="20"/>
  <c r="AJ20" i="20"/>
  <c r="AM102" i="20"/>
  <c r="AE18" i="20"/>
  <c r="AG18" i="20"/>
  <c r="AL21" i="20"/>
  <c r="AQ502" i="20"/>
  <c r="AC386" i="20"/>
  <c r="AM122" i="20"/>
  <c r="AM69" i="20"/>
  <c r="AM84" i="20"/>
  <c r="AM25" i="20"/>
  <c r="AM72" i="20"/>
  <c r="AQ88" i="20"/>
  <c r="AE22" i="20"/>
  <c r="AP22" i="20"/>
  <c r="K64" i="37" s="1"/>
  <c r="AC23" i="20"/>
  <c r="AK16" i="20"/>
  <c r="AK24" i="20"/>
  <c r="AN24" i="20"/>
  <c r="AO34" i="20"/>
  <c r="AE121" i="20"/>
  <c r="AM370" i="20"/>
  <c r="AL325" i="20"/>
  <c r="AI161" i="20"/>
  <c r="AL502" i="20"/>
  <c r="AK414" i="20"/>
  <c r="AN370" i="20"/>
  <c r="AG315" i="20"/>
  <c r="AE263" i="20"/>
  <c r="AP207" i="20"/>
  <c r="AM183" i="20"/>
  <c r="AP143" i="20"/>
  <c r="AP106" i="20"/>
  <c r="AO53" i="20"/>
  <c r="AJ36" i="20"/>
  <c r="AP120" i="20"/>
  <c r="K52" i="37" s="1"/>
  <c r="AL384" i="20"/>
  <c r="AQ341" i="20"/>
  <c r="AE452" i="20"/>
  <c r="AG440" i="20"/>
  <c r="AL197" i="20"/>
  <c r="AI420" i="20"/>
  <c r="AI341" i="20"/>
  <c r="AL441" i="20"/>
  <c r="AQ397" i="20"/>
  <c r="AC357" i="20"/>
  <c r="AQ290" i="20"/>
  <c r="AP258" i="20"/>
  <c r="AL230" i="20"/>
  <c r="AN539" i="20"/>
  <c r="AL313" i="20"/>
  <c r="AP518" i="20"/>
  <c r="AJ402" i="20"/>
  <c r="AG416" i="20"/>
  <c r="AJ362" i="20"/>
  <c r="AO335" i="20"/>
  <c r="AQ536" i="20"/>
  <c r="AP114" i="20"/>
  <c r="AE404" i="20"/>
  <c r="AE420" i="20"/>
  <c r="AC448" i="20"/>
  <c r="AQ351" i="20"/>
  <c r="AN269" i="20"/>
  <c r="AL416" i="20"/>
  <c r="AO532" i="20"/>
  <c r="AO201" i="20"/>
  <c r="AN313" i="20"/>
  <c r="AK508" i="20"/>
  <c r="AJ448" i="20"/>
  <c r="AM173" i="20"/>
  <c r="AQ68" i="20"/>
  <c r="AE408" i="20"/>
  <c r="AE245" i="20"/>
  <c r="AO452" i="20"/>
  <c r="AN392" i="20"/>
  <c r="AJ508" i="20"/>
  <c r="AK145" i="20"/>
  <c r="AQ110" i="20"/>
  <c r="AD354" i="20"/>
  <c r="AD216" i="20"/>
  <c r="AD130" i="20"/>
  <c r="AD28" i="20"/>
  <c r="AM492" i="20"/>
  <c r="AD321" i="20"/>
  <c r="AD112" i="20"/>
  <c r="AG17" i="20"/>
  <c r="AG20" i="20"/>
  <c r="AM82" i="20"/>
  <c r="AC18" i="20"/>
  <c r="AP21" i="20"/>
  <c r="AL402" i="20"/>
  <c r="AP155" i="20"/>
  <c r="AM71" i="20"/>
  <c r="AM32" i="20"/>
  <c r="AM66" i="20"/>
  <c r="AG64" i="20"/>
  <c r="AG22" i="20"/>
  <c r="D64" i="37" s="1"/>
  <c r="AH23" i="20"/>
  <c r="AL16" i="20"/>
  <c r="AQ25" i="20"/>
  <c r="AP25" i="20"/>
  <c r="AE127" i="20"/>
  <c r="AJ468" i="20"/>
  <c r="AE325" i="20"/>
  <c r="AL482" i="20"/>
  <c r="AE398" i="20"/>
  <c r="AL319" i="20"/>
  <c r="AQ251" i="20"/>
  <c r="AL195" i="20"/>
  <c r="AP151" i="20"/>
  <c r="AQ98" i="20"/>
  <c r="AP74" i="20"/>
  <c r="AE46" i="20"/>
  <c r="AC229" i="20"/>
  <c r="AO440" i="20"/>
  <c r="AM438" i="20"/>
  <c r="AP428" i="20"/>
  <c r="AI382" i="20"/>
  <c r="AK489" i="20"/>
  <c r="AM389" i="20"/>
  <c r="AP330" i="20"/>
  <c r="AM262" i="20"/>
  <c r="AC218" i="20"/>
  <c r="AI392" i="20"/>
  <c r="AQ539" i="20"/>
  <c r="AH378" i="20"/>
  <c r="AK480" i="20"/>
  <c r="AK424" i="20"/>
  <c r="AP436" i="20"/>
  <c r="AE508" i="20"/>
  <c r="AE516" i="20"/>
  <c r="AQ416" i="20"/>
  <c r="AQ325" i="20"/>
  <c r="AL480" i="20"/>
  <c r="AO468" i="20"/>
  <c r="AE80" i="20"/>
  <c r="AN378" i="20"/>
  <c r="AL311" i="20"/>
  <c r="AK510" i="20"/>
  <c r="AE512" i="20"/>
  <c r="AL472" i="20"/>
  <c r="AP96" i="20"/>
  <c r="AI428" i="20"/>
  <c r="AQ378" i="20"/>
  <c r="AM265" i="20"/>
  <c r="AE424" i="20"/>
  <c r="AP269" i="20"/>
  <c r="AE55" i="20"/>
  <c r="AE190" i="20"/>
  <c r="AC125" i="20"/>
  <c r="AL56" i="20"/>
  <c r="AH158" i="20"/>
  <c r="AQ532" i="20"/>
  <c r="AJ492" i="20"/>
  <c r="AH456" i="20"/>
  <c r="AM420" i="20"/>
  <c r="AK368" i="20"/>
  <c r="AO305" i="20"/>
  <c r="AE265" i="20"/>
  <c r="AE241" i="20"/>
  <c r="AL217" i="20"/>
  <c r="AM181" i="20"/>
  <c r="AE104" i="20"/>
  <c r="AM137" i="20"/>
  <c r="AJ431" i="20"/>
  <c r="AM375" i="20"/>
  <c r="AG336" i="20"/>
  <c r="AK284" i="20"/>
  <c r="AG248" i="20"/>
  <c r="AE200" i="20"/>
  <c r="AM168" i="20"/>
  <c r="AL119" i="20"/>
  <c r="AI49" i="20"/>
  <c r="AM443" i="20"/>
  <c r="AO93" i="20"/>
  <c r="AI512" i="20"/>
  <c r="AQ444" i="20"/>
  <c r="AE436" i="20"/>
  <c r="AK416" i="20"/>
  <c r="AO392" i="20"/>
  <c r="AK341" i="20"/>
  <c r="AK321" i="20"/>
  <c r="AJ297" i="20"/>
  <c r="AP201" i="20"/>
  <c r="AP169" i="20"/>
  <c r="AL64" i="20"/>
  <c r="AP46" i="20"/>
  <c r="AO297" i="20"/>
  <c r="AL245" i="20"/>
  <c r="AL488" i="20"/>
  <c r="AP253" i="20"/>
  <c r="AN317" i="20"/>
  <c r="AQ392" i="20"/>
  <c r="AP448" i="20"/>
  <c r="AE504" i="20"/>
  <c r="AE428" i="20"/>
  <c r="AQ225" i="20"/>
  <c r="AQ321" i="20"/>
  <c r="AE193" i="20"/>
  <c r="AK444" i="20"/>
  <c r="AI500" i="20"/>
  <c r="AO181" i="20"/>
  <c r="AC337" i="20"/>
  <c r="AO294" i="20"/>
  <c r="AP182" i="20"/>
  <c r="AL536" i="20"/>
  <c r="AJ524" i="20"/>
  <c r="AN508" i="20"/>
  <c r="AI496" i="20"/>
  <c r="AQ492" i="20"/>
  <c r="AK464" i="20"/>
  <c r="AL444" i="20"/>
  <c r="AI424" i="20"/>
  <c r="AG412" i="20"/>
  <c r="AJ400" i="20"/>
  <c r="AK351" i="20"/>
  <c r="AP313" i="20"/>
  <c r="AO209" i="20"/>
  <c r="AI189" i="20"/>
  <c r="AI153" i="20"/>
  <c r="AH120" i="20"/>
  <c r="E52" i="37" s="1"/>
  <c r="AN70" i="20"/>
  <c r="AM328" i="20"/>
  <c r="AE182" i="20"/>
  <c r="AL274" i="20"/>
  <c r="AI65" i="20"/>
  <c r="AM258" i="20"/>
  <c r="AO218" i="20"/>
  <c r="AM166" i="20"/>
  <c r="AG492" i="20"/>
  <c r="AI397" i="20"/>
  <c r="AH389" i="20"/>
  <c r="AP389" i="20"/>
  <c r="AK377" i="20"/>
  <c r="AO377" i="20"/>
  <c r="AJ306" i="20"/>
  <c r="AI306" i="20"/>
  <c r="AE306" i="20"/>
  <c r="AP298" i="20"/>
  <c r="AH298" i="20"/>
  <c r="AM290" i="20"/>
  <c r="AO278" i="20"/>
  <c r="AK278" i="20"/>
  <c r="AG278" i="20"/>
  <c r="AP270" i="20"/>
  <c r="AQ270" i="20"/>
  <c r="AO262" i="20"/>
  <c r="AE262" i="20"/>
  <c r="AO254" i="20"/>
  <c r="AN254" i="20"/>
  <c r="AM246" i="20"/>
  <c r="AC246" i="20"/>
  <c r="AP246" i="20"/>
  <c r="AD470" i="20"/>
  <c r="AD178" i="20"/>
  <c r="AQ273" i="20"/>
  <c r="AD200" i="20"/>
  <c r="AD262" i="20"/>
  <c r="AO17" i="20"/>
  <c r="AM127" i="20"/>
  <c r="AN18" i="20"/>
  <c r="AM21" i="20"/>
  <c r="AM343" i="20"/>
  <c r="AM81" i="20"/>
  <c r="AM114" i="20"/>
  <c r="AE96" i="20"/>
  <c r="AC22" i="20"/>
  <c r="AE16" i="20"/>
  <c r="AI24" i="20"/>
  <c r="AN25" i="20"/>
  <c r="AE126" i="20"/>
  <c r="AM412" i="20"/>
  <c r="AN518" i="20"/>
  <c r="AC374" i="20"/>
  <c r="AE279" i="20"/>
  <c r="AG203" i="20"/>
  <c r="AP130" i="20"/>
  <c r="AO57" i="20"/>
  <c r="AG34" i="20"/>
  <c r="AP261" i="20"/>
  <c r="AE305" i="20"/>
  <c r="AE249" i="20"/>
  <c r="AP450" i="20"/>
  <c r="AE417" i="20"/>
  <c r="AP338" i="20"/>
  <c r="AQ250" i="20"/>
  <c r="AE34" i="20"/>
  <c r="AN492" i="20"/>
  <c r="AG46" i="20"/>
  <c r="AI301" i="20"/>
  <c r="AP388" i="20"/>
  <c r="AM388" i="20"/>
  <c r="AP520" i="20"/>
  <c r="AO333" i="20"/>
  <c r="AL293" i="20"/>
  <c r="AO281" i="20"/>
  <c r="AQ86" i="20"/>
  <c r="AK420" i="20"/>
  <c r="AE418" i="20"/>
  <c r="AO309" i="20"/>
  <c r="AK290" i="20"/>
  <c r="AP289" i="20"/>
  <c r="AG536" i="20"/>
  <c r="AP400" i="20"/>
  <c r="AL269" i="20"/>
  <c r="AJ198" i="20"/>
  <c r="AP97" i="20"/>
  <c r="AQ202" i="20"/>
  <c r="AE47" i="20"/>
  <c r="AI484" i="20"/>
  <c r="AO432" i="20"/>
  <c r="AC380" i="20"/>
  <c r="AP301" i="20"/>
  <c r="AC253" i="20"/>
  <c r="AO225" i="20"/>
  <c r="AP161" i="20"/>
  <c r="AP88" i="20"/>
  <c r="AO435" i="20"/>
  <c r="AC371" i="20"/>
  <c r="AK304" i="20"/>
  <c r="AG256" i="20"/>
  <c r="AE188" i="20"/>
  <c r="AQ140" i="20"/>
  <c r="AK58" i="20"/>
  <c r="AE443" i="20"/>
  <c r="AM536" i="20"/>
  <c r="AE464" i="20"/>
  <c r="AJ424" i="20"/>
  <c r="AP408" i="20"/>
  <c r="AE364" i="20"/>
  <c r="AM321" i="20"/>
  <c r="AC277" i="20"/>
  <c r="AL169" i="20"/>
  <c r="AO50" i="20"/>
  <c r="AP136" i="20"/>
  <c r="AO500" i="20"/>
  <c r="AM205" i="20"/>
  <c r="AQ277" i="20"/>
  <c r="AQ368" i="20"/>
  <c r="AP464" i="20"/>
  <c r="AE225" i="20"/>
  <c r="AQ96" i="20"/>
  <c r="AD17" i="20"/>
  <c r="AM60" i="20"/>
  <c r="AM48" i="20"/>
  <c r="AQ20" i="20"/>
  <c r="AM29" i="20"/>
  <c r="AG21" i="20"/>
  <c r="AM315" i="20"/>
  <c r="AM121" i="20"/>
  <c r="H51" i="37" s="1"/>
  <c r="AM55" i="20"/>
  <c r="AL22" i="20"/>
  <c r="AO16" i="20"/>
  <c r="AL25" i="20"/>
  <c r="AI122" i="20"/>
  <c r="AN368" i="20"/>
  <c r="AO406" i="20"/>
  <c r="AJ271" i="20"/>
  <c r="AC171" i="20"/>
  <c r="AJ86" i="20"/>
  <c r="AO233" i="20"/>
  <c r="AO368" i="20"/>
  <c r="AO390" i="20"/>
  <c r="AJ518" i="20"/>
  <c r="AO373" i="20"/>
  <c r="AE278" i="20"/>
  <c r="AN321" i="20"/>
  <c r="AI430" i="20"/>
  <c r="AL452" i="20"/>
  <c r="AM317" i="20"/>
  <c r="AQ120" i="20"/>
  <c r="L52" i="37" s="1"/>
  <c r="AQ384" i="20"/>
  <c r="AL213" i="20"/>
  <c r="AP68" i="20"/>
  <c r="AP492" i="20"/>
  <c r="AE414" i="20"/>
  <c r="AL205" i="20"/>
  <c r="AM354" i="20"/>
  <c r="AE490" i="20"/>
  <c r="AO293" i="20"/>
  <c r="AL34" i="20"/>
  <c r="AK85" i="20"/>
  <c r="AG142" i="20"/>
  <c r="AL508" i="20"/>
  <c r="AQ428" i="20"/>
  <c r="AN325" i="20"/>
  <c r="AE257" i="20"/>
  <c r="AG209" i="20"/>
  <c r="AK136" i="20"/>
  <c r="AL443" i="20"/>
  <c r="AL367" i="20"/>
  <c r="AL268" i="20"/>
  <c r="AG204" i="20"/>
  <c r="AI131" i="20"/>
  <c r="AE280" i="20"/>
  <c r="AL93" i="20"/>
  <c r="AC440" i="20"/>
  <c r="AI416" i="20"/>
  <c r="AP364" i="20"/>
  <c r="AG317" i="20"/>
  <c r="AI185" i="20"/>
  <c r="AQ64" i="20"/>
  <c r="AO249" i="20"/>
  <c r="AL341" i="20"/>
  <c r="AE261" i="20"/>
  <c r="AQ408" i="20"/>
  <c r="AQ496" i="20"/>
  <c r="AE444" i="20"/>
  <c r="AL436" i="20"/>
  <c r="AK432" i="20"/>
  <c r="AK500" i="20"/>
  <c r="AJ221" i="20"/>
  <c r="AN464" i="20"/>
  <c r="AI182" i="20"/>
  <c r="AH528" i="20"/>
  <c r="AK512" i="20"/>
  <c r="AC496" i="20"/>
  <c r="AH480" i="20"/>
  <c r="AI448" i="20"/>
  <c r="AH424" i="20"/>
  <c r="AJ412" i="20"/>
  <c r="AK388" i="20"/>
  <c r="AC317" i="20"/>
  <c r="AL209" i="20"/>
  <c r="AK177" i="20"/>
  <c r="AM136" i="20"/>
  <c r="AM451" i="20"/>
  <c r="AQ320" i="20"/>
  <c r="AJ146" i="20"/>
  <c r="AE413" i="20"/>
  <c r="AO85" i="20"/>
  <c r="AQ142" i="20"/>
  <c r="AL465" i="20"/>
  <c r="AH397" i="20"/>
  <c r="AO389" i="20"/>
  <c r="AL377" i="20"/>
  <c r="AQ342" i="20"/>
  <c r="AP306" i="20"/>
  <c r="AK298" i="20"/>
  <c r="AC298" i="20"/>
  <c r="AP290" i="20"/>
  <c r="AC278" i="20"/>
  <c r="AL278" i="20"/>
  <c r="AO270" i="20"/>
  <c r="AE270" i="20"/>
  <c r="AI262" i="20"/>
  <c r="AE254" i="20"/>
  <c r="AP254" i="20"/>
  <c r="AI246" i="20"/>
  <c r="AQ246" i="20"/>
  <c r="AQ238" i="20"/>
  <c r="AP230" i="20"/>
  <c r="AI230" i="20"/>
  <c r="AH222" i="20"/>
  <c r="AJ222" i="20"/>
  <c r="AK214" i="20"/>
  <c r="AG214" i="20"/>
  <c r="AK206" i="20"/>
  <c r="AN194" i="20"/>
  <c r="AO194" i="20"/>
  <c r="AP186" i="20"/>
  <c r="AL178" i="20"/>
  <c r="AE178" i="20"/>
  <c r="AI170" i="20"/>
  <c r="AC170" i="20"/>
  <c r="AQ170" i="20"/>
  <c r="AC162" i="20"/>
  <c r="AN162" i="20"/>
  <c r="AN154" i="20"/>
  <c r="AI154" i="20"/>
  <c r="AO146" i="20"/>
  <c r="AK146" i="20"/>
  <c r="AG138" i="20"/>
  <c r="AN138" i="20"/>
  <c r="AJ129" i="20"/>
  <c r="AO129" i="20"/>
  <c r="AN121" i="20"/>
  <c r="I51" i="37" s="1"/>
  <c r="AP121" i="20"/>
  <c r="K51" i="37" s="1"/>
  <c r="AN113" i="20"/>
  <c r="AN105" i="20"/>
  <c r="I53" i="37" s="1"/>
  <c r="AK105" i="20"/>
  <c r="AH105" i="20"/>
  <c r="E53" i="37" s="1"/>
  <c r="AO97" i="20"/>
  <c r="AN89" i="20"/>
  <c r="AQ89" i="20"/>
  <c r="AI81" i="20"/>
  <c r="AL65" i="20"/>
  <c r="AN52" i="20"/>
  <c r="AE397" i="20"/>
  <c r="AE105" i="20"/>
  <c r="AE214" i="20"/>
  <c r="AO246" i="20"/>
  <c r="AM146" i="20"/>
  <c r="AQ206" i="20"/>
  <c r="AL121" i="20"/>
  <c r="AI254" i="20"/>
  <c r="AM178" i="20"/>
  <c r="AE381" i="20"/>
  <c r="AE71" i="20"/>
  <c r="AQ158" i="20"/>
  <c r="AL150" i="20"/>
  <c r="AC121" i="20"/>
  <c r="AI238" i="20"/>
  <c r="AG186" i="20"/>
  <c r="AH485" i="20"/>
  <c r="AK401" i="20"/>
  <c r="AL393" i="20"/>
  <c r="AJ385" i="20"/>
  <c r="AC294" i="20"/>
  <c r="AQ294" i="20"/>
  <c r="AG286" i="20"/>
  <c r="AE286" i="20"/>
  <c r="AL282" i="20"/>
  <c r="AQ282" i="20"/>
  <c r="AP274" i="20"/>
  <c r="AH274" i="20"/>
  <c r="AL266" i="20"/>
  <c r="AK258" i="20"/>
  <c r="AJ250" i="20"/>
  <c r="AL250" i="20"/>
  <c r="AL242" i="20"/>
  <c r="AE242" i="20"/>
  <c r="AN234" i="20"/>
  <c r="AP234" i="20"/>
  <c r="AP226" i="20"/>
  <c r="AI218" i="20"/>
  <c r="AP218" i="20"/>
  <c r="AN210" i="20"/>
  <c r="AM210" i="20"/>
  <c r="AG198" i="20"/>
  <c r="AN198" i="20"/>
  <c r="AI190" i="20"/>
  <c r="AC190" i="20"/>
  <c r="AO190" i="20"/>
  <c r="AL182" i="20"/>
  <c r="AM182" i="20"/>
  <c r="AM174" i="20"/>
  <c r="AO174" i="20"/>
  <c r="AK166" i="20"/>
  <c r="AG166" i="20"/>
  <c r="AC158" i="20"/>
  <c r="AI158" i="20"/>
  <c r="AE158" i="20"/>
  <c r="AN150" i="20"/>
  <c r="AP150" i="20"/>
  <c r="AN142" i="20"/>
  <c r="AO142" i="20"/>
  <c r="AK133" i="20"/>
  <c r="AP133" i="20"/>
  <c r="AC133" i="20"/>
  <c r="AP125" i="20"/>
  <c r="AG125" i="20"/>
  <c r="AC117" i="20"/>
  <c r="AJ117" i="20"/>
  <c r="AL109" i="20"/>
  <c r="AI109" i="20"/>
  <c r="AG101" i="20"/>
  <c r="AO101" i="20"/>
  <c r="AI93" i="20"/>
  <c r="AG93" i="20"/>
  <c r="AL85" i="20"/>
  <c r="AC69" i="20"/>
  <c r="AJ69" i="20"/>
  <c r="AE298" i="20"/>
  <c r="AE129" i="20"/>
  <c r="AE198" i="20"/>
  <c r="AQ178" i="20"/>
  <c r="AI138" i="20"/>
  <c r="AM150" i="20"/>
  <c r="AP81" i="20"/>
  <c r="AH113" i="20"/>
  <c r="AG133" i="20"/>
  <c r="AQ218" i="20"/>
  <c r="AJ238" i="20"/>
  <c r="AL194" i="20"/>
  <c r="AJ262" i="20"/>
  <c r="AH526" i="20"/>
  <c r="AC538" i="20"/>
  <c r="AO538" i="20"/>
  <c r="AM530" i="20"/>
  <c r="AE530" i="20"/>
  <c r="AO522" i="20"/>
  <c r="AN490" i="20"/>
  <c r="AI482" i="20"/>
  <c r="AE482" i="20"/>
  <c r="AP470" i="20"/>
  <c r="AK454" i="20"/>
  <c r="AN450" i="20"/>
  <c r="AG442" i="20"/>
  <c r="AN442" i="20"/>
  <c r="AM434" i="20"/>
  <c r="AL426" i="20"/>
  <c r="AI418" i="20"/>
  <c r="AC410" i="20"/>
  <c r="AG402" i="20"/>
  <c r="AO402" i="20"/>
  <c r="AI394" i="20"/>
  <c r="AG386" i="20"/>
  <c r="AK378" i="20"/>
  <c r="AQ366" i="20"/>
  <c r="AN349" i="20"/>
  <c r="AE349" i="20"/>
  <c r="AH331" i="20"/>
  <c r="AK323" i="20"/>
  <c r="AK311" i="20"/>
  <c r="AJ179" i="20"/>
  <c r="AP41" i="20"/>
  <c r="AE498" i="20"/>
  <c r="AJ44" i="20"/>
  <c r="AP506" i="20"/>
  <c r="AQ426" i="20"/>
  <c r="AK349" i="20"/>
  <c r="AP378" i="20"/>
  <c r="AK406" i="20"/>
  <c r="AK470" i="20"/>
  <c r="AC327" i="20"/>
  <c r="AE339" i="20"/>
  <c r="AE446" i="20"/>
  <c r="AE323" i="20"/>
  <c r="AO315" i="20"/>
  <c r="AJ126" i="20"/>
  <c r="AO394" i="20"/>
  <c r="AQ402" i="20"/>
  <c r="AO331" i="20"/>
  <c r="AO362" i="20"/>
  <c r="AO327" i="20"/>
  <c r="AG319" i="20"/>
  <c r="AN386" i="20"/>
  <c r="AM406" i="20"/>
  <c r="AO490" i="20"/>
  <c r="AM526" i="20"/>
  <c r="AN315" i="20"/>
  <c r="AC536" i="20"/>
  <c r="AG532" i="20"/>
  <c r="AP532" i="20"/>
  <c r="AC528" i="20"/>
  <c r="AI524" i="20"/>
  <c r="AJ520" i="20"/>
  <c r="AM516" i="20"/>
  <c r="AO530" i="20"/>
  <c r="AE362" i="20"/>
  <c r="AE335" i="20"/>
  <c r="AE430" i="20"/>
  <c r="AQ199" i="20"/>
  <c r="AP315" i="20"/>
  <c r="AC390" i="20"/>
  <c r="AK394" i="20"/>
  <c r="AQ450" i="20"/>
  <c r="AL349" i="20"/>
  <c r="AQ374" i="20"/>
  <c r="AL315" i="20"/>
  <c r="AP370" i="20"/>
  <c r="AP349" i="20"/>
  <c r="AH386" i="20"/>
  <c r="AO414" i="20"/>
  <c r="AL490" i="20"/>
  <c r="AL534" i="20"/>
  <c r="AC518" i="20"/>
  <c r="AJ510" i="20"/>
  <c r="AC502" i="20"/>
  <c r="AJ494" i="20"/>
  <c r="AM494" i="20"/>
  <c r="AI486" i="20"/>
  <c r="AC486" i="20"/>
  <c r="AI478" i="20"/>
  <c r="AH474" i="20"/>
  <c r="AQ474" i="20"/>
  <c r="AN446" i="20"/>
  <c r="AC438" i="20"/>
  <c r="AE438" i="20"/>
  <c r="AQ430" i="20"/>
  <c r="AO422" i="20"/>
  <c r="AN414" i="20"/>
  <c r="AL414" i="20"/>
  <c r="AH390" i="20"/>
  <c r="AG382" i="20"/>
  <c r="AL382" i="20"/>
  <c r="AM374" i="20"/>
  <c r="AH370" i="20"/>
  <c r="AH362" i="20"/>
  <c r="AK354" i="20"/>
  <c r="AK343" i="20"/>
  <c r="AH335" i="20"/>
  <c r="AH327" i="20"/>
  <c r="AN319" i="20"/>
  <c r="AJ151" i="20"/>
  <c r="AJ17" i="20"/>
  <c r="AM98" i="20"/>
  <c r="AO534" i="20"/>
  <c r="AM97" i="20"/>
  <c r="AM58" i="20"/>
  <c r="AE86" i="20"/>
  <c r="AN22" i="20"/>
  <c r="I64" i="37" s="1"/>
  <c r="AC25" i="20"/>
  <c r="AI26" i="20"/>
  <c r="AQ534" i="20"/>
  <c r="AI335" i="20"/>
  <c r="AQ191" i="20"/>
  <c r="AK62" i="20"/>
  <c r="AL261" i="20"/>
  <c r="AK313" i="20"/>
  <c r="AL521" i="20"/>
  <c r="AG326" i="20"/>
  <c r="AE28" i="20"/>
  <c r="AM418" i="20"/>
  <c r="AC181" i="20"/>
  <c r="AI40" i="20"/>
  <c r="AN301" i="20"/>
  <c r="AO404" i="20"/>
  <c r="AJ408" i="20"/>
  <c r="AE368" i="20"/>
  <c r="AP534" i="20"/>
  <c r="AJ317" i="20"/>
  <c r="AL408" i="20"/>
  <c r="AI146" i="20"/>
  <c r="AI166" i="20"/>
  <c r="AO480" i="20"/>
  <c r="AN396" i="20"/>
  <c r="AQ269" i="20"/>
  <c r="AE197" i="20"/>
  <c r="AK70" i="20"/>
  <c r="AE391" i="20"/>
  <c r="AL264" i="20"/>
  <c r="AQ172" i="20"/>
  <c r="AL352" i="20"/>
  <c r="AO520" i="20"/>
  <c r="AE440" i="20"/>
  <c r="AK372" i="20"/>
  <c r="AH317" i="20"/>
  <c r="AQ80" i="20"/>
  <c r="AE112" i="20"/>
  <c r="AL440" i="20"/>
  <c r="AO325" i="20"/>
  <c r="AC472" i="20"/>
  <c r="AI436" i="20"/>
  <c r="AH273" i="20"/>
  <c r="AM484" i="20"/>
  <c r="AQ396" i="20"/>
  <c r="AO206" i="20"/>
  <c r="AP459" i="20"/>
  <c r="AM512" i="20"/>
  <c r="AH492" i="20"/>
  <c r="AN448" i="20"/>
  <c r="AC420" i="20"/>
  <c r="AI400" i="20"/>
  <c r="AG325" i="20"/>
  <c r="AO205" i="20"/>
  <c r="AK153" i="20"/>
  <c r="AL70" i="20"/>
  <c r="AC308" i="20"/>
  <c r="AL170" i="20"/>
  <c r="AH81" i="20"/>
  <c r="AN166" i="20"/>
  <c r="AP397" i="20"/>
  <c r="AJ389" i="20"/>
  <c r="AN377" i="20"/>
  <c r="AN306" i="20"/>
  <c r="AM306" i="20"/>
  <c r="AG298" i="20"/>
  <c r="AJ278" i="20"/>
  <c r="AN278" i="20"/>
  <c r="AM270" i="20"/>
  <c r="AK262" i="20"/>
  <c r="AK254" i="20"/>
  <c r="AG246" i="20"/>
  <c r="AL246" i="20"/>
  <c r="AM238" i="20"/>
  <c r="AH230" i="20"/>
  <c r="AL222" i="20"/>
  <c r="AQ222" i="20"/>
  <c r="AJ214" i="20"/>
  <c r="AL206" i="20"/>
  <c r="AO202" i="20"/>
  <c r="AK186" i="20"/>
  <c r="AG178" i="20"/>
  <c r="AP178" i="20"/>
  <c r="AP170" i="20"/>
  <c r="AG170" i="20"/>
  <c r="AH162" i="20"/>
  <c r="AG154" i="20"/>
  <c r="AC154" i="20"/>
  <c r="AN146" i="20"/>
  <c r="AQ146" i="20"/>
  <c r="AM138" i="20"/>
  <c r="AG129" i="20"/>
  <c r="AP129" i="20"/>
  <c r="AG121" i="20"/>
  <c r="D51" i="37" s="1"/>
  <c r="AO121" i="20"/>
  <c r="J51" i="37" s="1"/>
  <c r="AP105" i="20"/>
  <c r="K53" i="37" s="1"/>
  <c r="AI105" i="20"/>
  <c r="F53" i="37" s="1"/>
  <c r="AI97" i="20"/>
  <c r="AJ89" i="20"/>
  <c r="AC81" i="20"/>
  <c r="AE81" i="20"/>
  <c r="AJ52" i="20"/>
  <c r="AE194" i="20"/>
  <c r="AE142" i="20"/>
  <c r="AI274" i="20"/>
  <c r="AP166" i="20"/>
  <c r="AO109" i="20"/>
  <c r="AL89" i="20"/>
  <c r="AC138" i="20"/>
  <c r="AE97" i="20"/>
  <c r="AP262" i="20"/>
  <c r="AQ65" i="20"/>
  <c r="AK129" i="20"/>
  <c r="AN270" i="20"/>
  <c r="AJ401" i="20"/>
  <c r="AK393" i="20"/>
  <c r="AM385" i="20"/>
  <c r="AK294" i="20"/>
  <c r="AP294" i="20"/>
  <c r="AO286" i="20"/>
  <c r="AO282" i="20"/>
  <c r="AN274" i="20"/>
  <c r="AI266" i="20"/>
  <c r="AL258" i="20"/>
  <c r="AO258" i="20"/>
  <c r="AM250" i="20"/>
  <c r="AP242" i="20"/>
  <c r="AG234" i="20"/>
  <c r="AJ234" i="20"/>
  <c r="AC226" i="20"/>
  <c r="AL218" i="20"/>
  <c r="AP210" i="20"/>
  <c r="AQ210" i="20"/>
  <c r="AQ198" i="20"/>
  <c r="AH190" i="20"/>
  <c r="AN190" i="20"/>
  <c r="AC182" i="20"/>
  <c r="AC174" i="20"/>
  <c r="AH174" i="20"/>
  <c r="AL174" i="20"/>
  <c r="AJ166" i="20"/>
  <c r="AP158" i="20"/>
  <c r="AO158" i="20"/>
  <c r="AO150" i="20"/>
  <c r="AH150" i="20"/>
  <c r="AI142" i="20"/>
  <c r="AH133" i="20"/>
  <c r="AL133" i="20"/>
  <c r="AJ125" i="20"/>
  <c r="AH125" i="20"/>
  <c r="AO117" i="20"/>
  <c r="AC109" i="20"/>
  <c r="AQ109" i="20"/>
  <c r="AL101" i="20"/>
  <c r="AE101" i="20"/>
  <c r="AP93" i="20"/>
  <c r="AP85" i="20"/>
  <c r="AE69" i="20"/>
  <c r="AE258" i="20"/>
  <c r="AI52" i="20"/>
  <c r="AQ226" i="20"/>
  <c r="AH166" i="20"/>
  <c r="AJ274" i="20"/>
  <c r="AL117" i="20"/>
  <c r="AO210" i="20"/>
  <c r="AO89" i="20"/>
  <c r="AJ230" i="20"/>
  <c r="AK101" i="20"/>
  <c r="AP28" i="20"/>
  <c r="AP538" i="20"/>
  <c r="AC530" i="20"/>
  <c r="AI522" i="20"/>
  <c r="AJ498" i="20"/>
  <c r="AK482" i="20"/>
  <c r="AC470" i="20"/>
  <c r="AL454" i="20"/>
  <c r="AC450" i="20"/>
  <c r="AQ442" i="20"/>
  <c r="AI434" i="20"/>
  <c r="AJ426" i="20"/>
  <c r="AP418" i="20"/>
  <c r="AK410" i="20"/>
  <c r="AG394" i="20"/>
  <c r="AC394" i="20"/>
  <c r="AG378" i="20"/>
  <c r="AH358" i="20"/>
  <c r="AH349" i="20"/>
  <c r="AC331" i="20"/>
  <c r="AJ323" i="20"/>
  <c r="AJ311" i="20"/>
  <c r="AO155" i="20"/>
  <c r="AE442" i="20"/>
  <c r="AP386" i="20"/>
  <c r="AQ486" i="20"/>
  <c r="AC343" i="20"/>
  <c r="AN394" i="20"/>
  <c r="AO434" i="20"/>
  <c r="AO526" i="20"/>
  <c r="AE458" i="20"/>
  <c r="AE378" i="20"/>
  <c r="AQ319" i="20"/>
  <c r="AM386" i="20"/>
  <c r="AP510" i="20"/>
  <c r="AI343" i="20"/>
  <c r="AL374" i="20"/>
  <c r="AJ374" i="20"/>
  <c r="AN402" i="20"/>
  <c r="AP522" i="20"/>
  <c r="AI506" i="20"/>
  <c r="AN430" i="20"/>
  <c r="AJ536" i="20"/>
  <c r="AL532" i="20"/>
  <c r="AJ528" i="20"/>
  <c r="AG520" i="20"/>
  <c r="AG516" i="20"/>
  <c r="AL520" i="20"/>
  <c r="AE534" i="20"/>
  <c r="AE311" i="20"/>
  <c r="AN40" i="20"/>
  <c r="AE538" i="20"/>
  <c r="AJ390" i="20"/>
  <c r="AP482" i="20"/>
  <c r="AL358" i="20"/>
  <c r="AE532" i="20"/>
  <c r="AP516" i="20"/>
  <c r="AH524" i="20"/>
  <c r="AP490" i="20"/>
  <c r="AM454" i="20"/>
  <c r="AE526" i="20"/>
  <c r="AE518" i="20"/>
  <c r="AN502" i="20"/>
  <c r="AN494" i="20"/>
  <c r="AN486" i="20"/>
  <c r="AO486" i="20"/>
  <c r="AC474" i="20"/>
  <c r="AO474" i="20"/>
  <c r="AI446" i="20"/>
  <c r="AK438" i="20"/>
  <c r="AP430" i="20"/>
  <c r="AJ422" i="20"/>
  <c r="AI414" i="20"/>
  <c r="AJ406" i="20"/>
  <c r="AP382" i="20"/>
  <c r="AN374" i="20"/>
  <c r="AK370" i="20"/>
  <c r="AP362" i="20"/>
  <c r="AN343" i="20"/>
  <c r="AM335" i="20"/>
  <c r="AL327" i="20"/>
  <c r="AJ319" i="20"/>
  <c r="AE175" i="20"/>
  <c r="AQ155" i="20"/>
  <c r="AQ438" i="20"/>
  <c r="AP394" i="20"/>
  <c r="AO349" i="20"/>
  <c r="AI374" i="20"/>
  <c r="AP374" i="20"/>
  <c r="AM470" i="20"/>
  <c r="AN512" i="20"/>
  <c r="AI508" i="20"/>
  <c r="AL500" i="20"/>
  <c r="AI492" i="20"/>
  <c r="AN484" i="20"/>
  <c r="AL484" i="20"/>
  <c r="AC480" i="20"/>
  <c r="AH472" i="20"/>
  <c r="AN468" i="20"/>
  <c r="AH452" i="20"/>
  <c r="AG444" i="20"/>
  <c r="AC432" i="20"/>
  <c r="AN420" i="20"/>
  <c r="AC408" i="20"/>
  <c r="AN400" i="20"/>
  <c r="AM396" i="20"/>
  <c r="AI396" i="20"/>
  <c r="AG388" i="20"/>
  <c r="AJ384" i="20"/>
  <c r="AN380" i="20"/>
  <c r="AI380" i="20"/>
  <c r="AP372" i="20"/>
  <c r="AH364" i="20"/>
  <c r="AJ364" i="20"/>
  <c r="AC360" i="20"/>
  <c r="AJ351" i="20"/>
  <c r="AK337" i="20"/>
  <c r="AC325" i="20"/>
  <c r="AI317" i="20"/>
  <c r="AC309" i="20"/>
  <c r="AQ301" i="20"/>
  <c r="AN197" i="20"/>
  <c r="AG55" i="20"/>
  <c r="AL46" i="20"/>
  <c r="AP112" i="20"/>
  <c r="AO380" i="20"/>
  <c r="AC428" i="20"/>
  <c r="AL317" i="20"/>
  <c r="AL464" i="20"/>
  <c r="AQ245" i="20"/>
  <c r="AO277" i="20"/>
  <c r="AO317" i="20"/>
  <c r="AE351" i="20"/>
  <c r="AE392" i="20"/>
  <c r="AQ432" i="20"/>
  <c r="AO464" i="20"/>
  <c r="AC504" i="20"/>
  <c r="AE484" i="20"/>
  <c r="AE412" i="20"/>
  <c r="AQ217" i="20"/>
  <c r="AO70" i="20"/>
  <c r="AP321" i="20"/>
  <c r="AG313" i="20"/>
  <c r="AJ313" i="20"/>
  <c r="AJ436" i="20"/>
  <c r="AQ500" i="20"/>
  <c r="AP145" i="20"/>
  <c r="AP420" i="20"/>
  <c r="AM297" i="20"/>
  <c r="AK452" i="20"/>
  <c r="AM496" i="20"/>
  <c r="AH412" i="20"/>
  <c r="AJ432" i="20"/>
  <c r="AH496" i="20"/>
  <c r="AK46" i="20"/>
  <c r="AK104" i="20"/>
  <c r="AI388" i="20"/>
  <c r="AM351" i="20"/>
  <c r="AH416" i="20"/>
  <c r="AN408" i="20"/>
  <c r="AC534" i="20"/>
  <c r="AG530" i="20"/>
  <c r="AN526" i="20"/>
  <c r="AG526" i="20"/>
  <c r="AG506" i="20"/>
  <c r="AG502" i="20"/>
  <c r="AH17" i="20"/>
  <c r="AJ21" i="20"/>
  <c r="AM101" i="20"/>
  <c r="AQ70" i="20"/>
  <c r="AP16" i="20"/>
  <c r="AG408" i="20"/>
  <c r="AN462" i="20"/>
  <c r="AM231" i="20"/>
  <c r="AJ40" i="20"/>
  <c r="AO512" i="20"/>
  <c r="AN524" i="20"/>
  <c r="AC286" i="20"/>
  <c r="AP34" i="20"/>
  <c r="AK516" i="20"/>
  <c r="AE528" i="20"/>
  <c r="AP205" i="20"/>
  <c r="AG452" i="20"/>
  <c r="AP325" i="20"/>
  <c r="AH516" i="20"/>
  <c r="AN333" i="20"/>
  <c r="AH138" i="20"/>
  <c r="AM524" i="20"/>
  <c r="AL400" i="20"/>
  <c r="AK249" i="20"/>
  <c r="AG145" i="20"/>
  <c r="AI407" i="20"/>
  <c r="AG220" i="20"/>
  <c r="AE103" i="20"/>
  <c r="AE282" i="20"/>
  <c r="AM424" i="20"/>
  <c r="AQ337" i="20"/>
  <c r="AM185" i="20"/>
  <c r="AO396" i="20"/>
  <c r="AQ229" i="20"/>
  <c r="AP432" i="20"/>
  <c r="AH436" i="20"/>
  <c r="AJ121" i="20"/>
  <c r="G51" i="37" s="1"/>
  <c r="AO46" i="20"/>
  <c r="AP206" i="20"/>
  <c r="AP524" i="20"/>
  <c r="AC492" i="20"/>
  <c r="AC444" i="20"/>
  <c r="AL420" i="20"/>
  <c r="AJ325" i="20"/>
  <c r="AG205" i="20"/>
  <c r="AN120" i="20"/>
  <c r="I52" i="37" s="1"/>
  <c r="AP320" i="20"/>
  <c r="AQ174" i="20"/>
  <c r="AN97" i="20"/>
  <c r="AN397" i="20"/>
  <c r="AL381" i="20"/>
  <c r="AQ377" i="20"/>
  <c r="AQ306" i="20"/>
  <c r="AL290" i="20"/>
  <c r="AI278" i="20"/>
  <c r="AJ270" i="20"/>
  <c r="AC262" i="20"/>
  <c r="AC254" i="20"/>
  <c r="AE246" i="20"/>
  <c r="AG230" i="20"/>
  <c r="AQ230" i="20"/>
  <c r="AO222" i="20"/>
  <c r="AL214" i="20"/>
  <c r="AC206" i="20"/>
  <c r="AK194" i="20"/>
  <c r="AO178" i="20"/>
  <c r="AH178" i="20"/>
  <c r="AK170" i="20"/>
  <c r="AL162" i="20"/>
  <c r="AP154" i="20"/>
  <c r="AJ154" i="20"/>
  <c r="AE146" i="20"/>
  <c r="AJ138" i="20"/>
  <c r="AN129" i="20"/>
  <c r="AQ121" i="20"/>
  <c r="L51" i="37" s="1"/>
  <c r="AG113" i="20"/>
  <c r="AL105" i="20"/>
  <c r="AQ97" i="20"/>
  <c r="AK89" i="20"/>
  <c r="AK81" i="20"/>
  <c r="AG52" i="20"/>
  <c r="AE150" i="20"/>
  <c r="AQ138" i="20"/>
  <c r="AP194" i="20"/>
  <c r="AJ190" i="20"/>
  <c r="AC186" i="20"/>
  <c r="AE230" i="20"/>
  <c r="AO138" i="20"/>
  <c r="AC129" i="20"/>
  <c r="AC194" i="20"/>
  <c r="AM401" i="20"/>
  <c r="AK385" i="20"/>
  <c r="AJ294" i="20"/>
  <c r="AH286" i="20"/>
  <c r="AN282" i="20"/>
  <c r="AM274" i="20"/>
  <c r="AP266" i="20"/>
  <c r="AQ258" i="20"/>
  <c r="AH242" i="20"/>
  <c r="AN242" i="20"/>
  <c r="AO234" i="20"/>
  <c r="AN226" i="20"/>
  <c r="AL210" i="20"/>
  <c r="AE210" i="20"/>
  <c r="AL198" i="20"/>
  <c r="AP190" i="20"/>
  <c r="AN182" i="20"/>
  <c r="AI174" i="20"/>
  <c r="AN174" i="20"/>
  <c r="AL166" i="20"/>
  <c r="AL158" i="20"/>
  <c r="AC150" i="20"/>
  <c r="AJ150" i="20"/>
  <c r="AM142" i="20"/>
  <c r="AQ133" i="20"/>
  <c r="AN125" i="20"/>
  <c r="AO125" i="20"/>
  <c r="AP117" i="20"/>
  <c r="AJ109" i="20"/>
  <c r="AQ101" i="20"/>
  <c r="AE93" i="20"/>
  <c r="AG85" i="20"/>
  <c r="AO69" i="20"/>
  <c r="AE170" i="20"/>
  <c r="AE222" i="20"/>
  <c r="AC397" i="20"/>
  <c r="AQ389" i="20"/>
  <c r="AK117" i="20"/>
  <c r="AI178" i="20"/>
  <c r="AJ226" i="20"/>
  <c r="AH28" i="20"/>
  <c r="AH530" i="20"/>
  <c r="AP530" i="20"/>
  <c r="AK506" i="20"/>
  <c r="AJ482" i="20"/>
  <c r="AG454" i="20"/>
  <c r="AK450" i="20"/>
  <c r="AP442" i="20"/>
  <c r="AE434" i="20"/>
  <c r="AO418" i="20"/>
  <c r="AP402" i="20"/>
  <c r="AL394" i="20"/>
  <c r="AL386" i="20"/>
  <c r="AJ358" i="20"/>
  <c r="AG331" i="20"/>
  <c r="AQ331" i="20"/>
  <c r="AQ311" i="20"/>
  <c r="AE502" i="20"/>
  <c r="AM311" i="20"/>
  <c r="AO442" i="20"/>
  <c r="AI378" i="20"/>
  <c r="AP410" i="20"/>
  <c r="AN45" i="20"/>
  <c r="AE510" i="20"/>
  <c r="AE44" i="20"/>
  <c r="AP390" i="20"/>
  <c r="AQ414" i="20"/>
  <c r="AL370" i="20"/>
  <c r="AH343" i="20"/>
  <c r="AN406" i="20"/>
  <c r="AK48" i="20"/>
  <c r="AN354" i="20"/>
  <c r="AN532" i="20"/>
  <c r="AN528" i="20"/>
  <c r="AC520" i="20"/>
  <c r="AQ516" i="20"/>
  <c r="AE470" i="20"/>
  <c r="AE506" i="20"/>
  <c r="AM207" i="20"/>
  <c r="AK386" i="20"/>
  <c r="AI331" i="20"/>
  <c r="AM520" i="20"/>
  <c r="AO339" i="20"/>
  <c r="AC382" i="20"/>
  <c r="AL434" i="20"/>
  <c r="AL526" i="20"/>
  <c r="AI510" i="20"/>
  <c r="AO502" i="20"/>
  <c r="AL486" i="20"/>
  <c r="AC478" i="20"/>
  <c r="AM474" i="20"/>
  <c r="AP466" i="20"/>
  <c r="AO438" i="20"/>
  <c r="AM422" i="20"/>
  <c r="AM414" i="20"/>
  <c r="AQ390" i="20"/>
  <c r="AO382" i="20"/>
  <c r="AG370" i="20"/>
  <c r="AC354" i="20"/>
  <c r="AJ343" i="20"/>
  <c r="AN327" i="20"/>
  <c r="AO319" i="20"/>
  <c r="AE155" i="20"/>
  <c r="AM327" i="20"/>
  <c r="AL331" i="20"/>
  <c r="AL362" i="20"/>
  <c r="AK358" i="20"/>
  <c r="AK434" i="20"/>
  <c r="AJ512" i="20"/>
  <c r="AN500" i="20"/>
  <c r="AK492" i="20"/>
  <c r="AH484" i="20"/>
  <c r="AN480" i="20"/>
  <c r="AI472" i="20"/>
  <c r="AP468" i="20"/>
  <c r="AM448" i="20"/>
  <c r="AN428" i="20"/>
  <c r="AN416" i="20"/>
  <c r="AH400" i="20"/>
  <c r="AK396" i="20"/>
  <c r="AC392" i="20"/>
  <c r="AH388" i="20"/>
  <c r="AM380" i="20"/>
  <c r="AN372" i="20"/>
  <c r="AJ368" i="20"/>
  <c r="AN360" i="20"/>
  <c r="AC351" i="20"/>
  <c r="AN337" i="20"/>
  <c r="AI325" i="20"/>
  <c r="AI313" i="20"/>
  <c r="AJ309" i="20"/>
  <c r="AH197" i="20"/>
  <c r="AJ50" i="20"/>
  <c r="AE64" i="20"/>
  <c r="AO412" i="20"/>
  <c r="AL237" i="20"/>
  <c r="AL424" i="20"/>
  <c r="AQ253" i="20"/>
  <c r="AE301" i="20"/>
  <c r="AE341" i="20"/>
  <c r="AE400" i="20"/>
  <c r="AQ448" i="20"/>
  <c r="AO496" i="20"/>
  <c r="AE169" i="20"/>
  <c r="AE313" i="20"/>
  <c r="AQ92" i="20"/>
  <c r="AJ440" i="20"/>
  <c r="AJ201" i="20"/>
  <c r="AK325" i="20"/>
  <c r="AQ420" i="20"/>
  <c r="AK412" i="20"/>
  <c r="AG273" i="20"/>
  <c r="AM468" i="20"/>
  <c r="AI488" i="20"/>
  <c r="AH428" i="20"/>
  <c r="AN504" i="20"/>
  <c r="AJ55" i="20"/>
  <c r="AC436" i="20"/>
  <c r="AP380" i="20"/>
  <c r="AQ380" i="20"/>
  <c r="AN534" i="20"/>
  <c r="AI530" i="20"/>
  <c r="AI526" i="20"/>
  <c r="AN510" i="20"/>
  <c r="AM502" i="20"/>
  <c r="AC490" i="20"/>
  <c r="AC482" i="20"/>
  <c r="AH466" i="20"/>
  <c r="AO466" i="20"/>
  <c r="AM446" i="20"/>
  <c r="AN438" i="20"/>
  <c r="AK430" i="20"/>
  <c r="AK426" i="20"/>
  <c r="AL422" i="20"/>
  <c r="AO410" i="20"/>
  <c r="AN362" i="20"/>
  <c r="AN335" i="20"/>
  <c r="AI315" i="20"/>
  <c r="AL159" i="20"/>
  <c r="AG358" i="20"/>
  <c r="AN455" i="20"/>
  <c r="AN435" i="20"/>
  <c r="AK427" i="20"/>
  <c r="AC415" i="20"/>
  <c r="AQ407" i="20"/>
  <c r="AE359" i="20"/>
  <c r="AP332" i="20"/>
  <c r="AJ316" i="20"/>
  <c r="AJ312" i="20"/>
  <c r="AH280" i="20"/>
  <c r="AQ236" i="20"/>
  <c r="AC115" i="20"/>
  <c r="AE316" i="20"/>
  <c r="AN411" i="20"/>
  <c r="AQ119" i="20"/>
  <c r="AG332" i="20"/>
  <c r="AO332" i="20"/>
  <c r="AI320" i="20"/>
  <c r="AG148" i="20"/>
  <c r="AK407" i="20"/>
  <c r="AN419" i="20"/>
  <c r="AN443" i="20"/>
  <c r="AO439" i="20"/>
  <c r="AN423" i="20"/>
  <c r="AO411" i="20"/>
  <c r="AK355" i="20"/>
  <c r="AP336" i="20"/>
  <c r="AO328" i="20"/>
  <c r="AN328" i="20"/>
  <c r="AH260" i="20"/>
  <c r="AH232" i="20"/>
  <c r="AP196" i="20"/>
  <c r="AH164" i="20"/>
  <c r="AM135" i="20"/>
  <c r="AH111" i="20"/>
  <c r="AE332" i="20"/>
  <c r="AP340" i="20"/>
  <c r="AG123" i="20"/>
  <c r="AE411" i="20"/>
  <c r="AE152" i="20"/>
  <c r="AH216" i="20"/>
  <c r="AK332" i="20"/>
  <c r="AQ423" i="20"/>
  <c r="AJ140" i="20"/>
  <c r="AP415" i="20"/>
  <c r="AC230" i="20"/>
  <c r="AL306" i="20"/>
  <c r="AN290" i="20"/>
  <c r="AI286" i="20"/>
  <c r="AC274" i="20"/>
  <c r="AG258" i="20"/>
  <c r="AC250" i="20"/>
  <c r="AC222" i="20"/>
  <c r="AC214" i="20"/>
  <c r="AN206" i="20"/>
  <c r="AN186" i="20"/>
  <c r="AK182" i="20"/>
  <c r="AH93" i="20"/>
  <c r="AK69" i="20"/>
  <c r="AG65" i="20"/>
  <c r="AG392" i="20"/>
  <c r="AP308" i="20"/>
  <c r="AM296" i="20"/>
  <c r="AK296" i="20"/>
  <c r="AG296" i="20"/>
  <c r="AN276" i="20"/>
  <c r="AE276" i="20"/>
  <c r="AK264" i="20"/>
  <c r="AI264" i="20"/>
  <c r="AC252" i="20"/>
  <c r="AK252" i="20"/>
  <c r="AE252" i="20"/>
  <c r="AH240" i="20"/>
  <c r="AG240" i="20"/>
  <c r="AN212" i="20"/>
  <c r="AH212" i="20"/>
  <c r="AN176" i="20"/>
  <c r="AP176" i="20"/>
  <c r="AC232" i="20"/>
  <c r="AO107" i="20"/>
  <c r="AL188" i="20"/>
  <c r="AJ111" i="20"/>
  <c r="AQ264" i="20"/>
  <c r="AM248" i="20"/>
  <c r="AG107" i="20"/>
  <c r="AG375" i="20"/>
  <c r="AH375" i="20"/>
  <c r="AN304" i="20"/>
  <c r="AO304" i="20"/>
  <c r="AQ304" i="20"/>
  <c r="AG300" i="20"/>
  <c r="AL300" i="20"/>
  <c r="AQ300" i="20"/>
  <c r="AC284" i="20"/>
  <c r="AI284" i="20"/>
  <c r="AC280" i="20"/>
  <c r="AO280" i="20"/>
  <c r="AN272" i="20"/>
  <c r="AC272" i="20"/>
  <c r="AM268" i="20"/>
  <c r="AH268" i="20"/>
  <c r="AG260" i="20"/>
  <c r="AL260" i="20"/>
  <c r="AO260" i="20"/>
  <c r="AH256" i="20"/>
  <c r="AL256" i="20"/>
  <c r="AK248" i="20"/>
  <c r="AQ244" i="20"/>
  <c r="AM244" i="20"/>
  <c r="AP236" i="20"/>
  <c r="AJ236" i="20"/>
  <c r="AL232" i="20"/>
  <c r="AL220" i="20"/>
  <c r="AQ220" i="20"/>
  <c r="AL216" i="20"/>
  <c r="AE216" i="20"/>
  <c r="AK208" i="20"/>
  <c r="AP208" i="20"/>
  <c r="AI208" i="20"/>
  <c r="AP204" i="20"/>
  <c r="AH204" i="20"/>
  <c r="AK204" i="20"/>
  <c r="AL200" i="20"/>
  <c r="AO200" i="20"/>
  <c r="AI196" i="20"/>
  <c r="AH196" i="20"/>
  <c r="AM192" i="20"/>
  <c r="AP192" i="20"/>
  <c r="AG188" i="20"/>
  <c r="AO188" i="20"/>
  <c r="AM184" i="20"/>
  <c r="AN184" i="20"/>
  <c r="AO184" i="20"/>
  <c r="AG180" i="20"/>
  <c r="AE180" i="20"/>
  <c r="AG172" i="20"/>
  <c r="AE172" i="20"/>
  <c r="AK168" i="20"/>
  <c r="AQ168" i="20"/>
  <c r="AJ164" i="20"/>
  <c r="AM164" i="20"/>
  <c r="AK160" i="20"/>
  <c r="AM160" i="20"/>
  <c r="AH156" i="20"/>
  <c r="AG156" i="20"/>
  <c r="AI152" i="20"/>
  <c r="AJ152" i="20"/>
  <c r="AH148" i="20"/>
  <c r="AL148" i="20"/>
  <c r="AC148" i="20"/>
  <c r="AH144" i="20"/>
  <c r="AE144" i="20"/>
  <c r="AH140" i="20"/>
  <c r="AE140" i="20"/>
  <c r="AN135" i="20"/>
  <c r="AJ135" i="20"/>
  <c r="AC131" i="20"/>
  <c r="AG131" i="20"/>
  <c r="AC127" i="20"/>
  <c r="AN127" i="20"/>
  <c r="AN123" i="20"/>
  <c r="AC123" i="20"/>
  <c r="AI119" i="20"/>
  <c r="AO115" i="20"/>
  <c r="AQ115" i="20"/>
  <c r="AN111" i="20"/>
  <c r="AQ111" i="20"/>
  <c r="AL107" i="20"/>
  <c r="AK107" i="20"/>
  <c r="AP103" i="20"/>
  <c r="AN99" i="20"/>
  <c r="AQ99" i="20"/>
  <c r="AP95" i="20"/>
  <c r="AQ95" i="20"/>
  <c r="AE95" i="20"/>
  <c r="AH87" i="20"/>
  <c r="AI87" i="20"/>
  <c r="AI79" i="20"/>
  <c r="AE79" i="20"/>
  <c r="AC61" i="20"/>
  <c r="AN61" i="20"/>
  <c r="AC63" i="20"/>
  <c r="AH77" i="20"/>
  <c r="AP264" i="20"/>
  <c r="AM236" i="20"/>
  <c r="AK232" i="20"/>
  <c r="AQ176" i="20"/>
  <c r="AL276" i="20"/>
  <c r="AN95" i="20"/>
  <c r="AL135" i="20"/>
  <c r="AQ180" i="20"/>
  <c r="AG280" i="20"/>
  <c r="AE248" i="20"/>
  <c r="AQ103" i="20"/>
  <c r="AP272" i="20"/>
  <c r="AG61" i="20"/>
  <c r="AQ240" i="20"/>
  <c r="AE131" i="20"/>
  <c r="AP140" i="20"/>
  <c r="AM220" i="20"/>
  <c r="AH244" i="20"/>
  <c r="AK244" i="20"/>
  <c r="AL248" i="20"/>
  <c r="AJ248" i="20"/>
  <c r="AQ284" i="20"/>
  <c r="AG87" i="20"/>
  <c r="AJ123" i="20"/>
  <c r="AL144" i="20"/>
  <c r="AL172" i="20"/>
  <c r="AN192" i="20"/>
  <c r="AN300" i="20"/>
  <c r="AN240" i="20"/>
  <c r="AG538" i="20"/>
  <c r="AL522" i="20"/>
  <c r="AG510" i="20"/>
  <c r="AG470" i="20"/>
  <c r="AG390" i="20"/>
  <c r="AI377" i="20"/>
  <c r="AG282" i="20"/>
  <c r="AI250" i="20"/>
  <c r="AG242" i="20"/>
  <c r="AI234" i="20"/>
  <c r="AH206" i="20"/>
  <c r="AG194" i="20"/>
  <c r="AL97" i="20"/>
  <c r="AN93" i="20"/>
  <c r="AG270" i="20"/>
  <c r="AO198" i="20"/>
  <c r="AG380" i="20"/>
  <c r="AG368" i="20"/>
  <c r="AC341" i="20"/>
  <c r="AJ333" i="20"/>
  <c r="AH467" i="20"/>
  <c r="AL435" i="20"/>
  <c r="AO431" i="20"/>
  <c r="AN427" i="20"/>
  <c r="AC423" i="20"/>
  <c r="AI423" i="20"/>
  <c r="AC419" i="20"/>
  <c r="AJ415" i="20"/>
  <c r="AH411" i="20"/>
  <c r="AK411" i="20"/>
  <c r="AP407" i="20"/>
  <c r="AM403" i="20"/>
  <c r="AQ82" i="20"/>
  <c r="AO39" i="20"/>
  <c r="AG419" i="20"/>
  <c r="AL489" i="20"/>
  <c r="AO461" i="20"/>
  <c r="AJ350" i="20"/>
  <c r="AC336" i="20"/>
  <c r="AN237" i="20"/>
  <c r="AP225" i="20"/>
  <c r="AG193" i="20"/>
  <c r="AH315" i="20"/>
  <c r="AC479" i="20"/>
  <c r="AO353" i="20"/>
  <c r="AE353" i="20"/>
  <c r="AJ346" i="20"/>
  <c r="AQ346" i="20"/>
  <c r="AK338" i="20"/>
  <c r="AH338" i="20"/>
  <c r="AG334" i="20"/>
  <c r="AC334" i="20"/>
  <c r="AC330" i="20"/>
  <c r="AJ330" i="20"/>
  <c r="AO330" i="20"/>
  <c r="AN326" i="20"/>
  <c r="AO326" i="20"/>
  <c r="AH211" i="20"/>
  <c r="AJ211" i="20"/>
  <c r="AM211" i="20"/>
  <c r="AH203" i="20"/>
  <c r="AE203" i="20"/>
  <c r="AO195" i="20"/>
  <c r="AC195" i="20"/>
  <c r="AN187" i="20"/>
  <c r="AL187" i="20"/>
  <c r="AH179" i="20"/>
  <c r="AN179" i="20"/>
  <c r="AH171" i="20"/>
  <c r="AM171" i="20"/>
  <c r="AL163" i="20"/>
  <c r="AC163" i="20"/>
  <c r="AG155" i="20"/>
  <c r="AM155" i="20"/>
  <c r="AL147" i="20"/>
  <c r="AC139" i="20"/>
  <c r="AI139" i="20"/>
  <c r="AG134" i="20"/>
  <c r="AP118" i="20"/>
  <c r="AC110" i="20"/>
  <c r="AL102" i="20"/>
  <c r="AG98" i="20"/>
  <c r="AP98" i="20"/>
  <c r="AL90" i="20"/>
  <c r="AC78" i="20"/>
  <c r="AL78" i="20"/>
  <c r="AN72" i="20"/>
  <c r="AQ72" i="20"/>
  <c r="AO60" i="20"/>
  <c r="AJ74" i="20"/>
  <c r="AQ44" i="20"/>
  <c r="AK36" i="20"/>
  <c r="AN36" i="20"/>
  <c r="AK37" i="20"/>
  <c r="AP37" i="20"/>
  <c r="AH37" i="20"/>
  <c r="AE74" i="20"/>
  <c r="AQ57" i="20"/>
  <c r="AH41" i="20"/>
  <c r="AQ151" i="20"/>
  <c r="AO44" i="20"/>
  <c r="AQ126" i="20"/>
  <c r="AQ353" i="20"/>
  <c r="AI90" i="20"/>
  <c r="AL139" i="20"/>
  <c r="AO499" i="20"/>
  <c r="AO491" i="20"/>
  <c r="AG483" i="20"/>
  <c r="AQ483" i="20"/>
  <c r="AM475" i="20"/>
  <c r="AP475" i="20"/>
  <c r="AL399" i="20"/>
  <c r="AH342" i="20"/>
  <c r="AN342" i="20"/>
  <c r="AO342" i="20"/>
  <c r="AE255" i="20"/>
  <c r="AI215" i="20"/>
  <c r="AC207" i="20"/>
  <c r="AN199" i="20"/>
  <c r="AI191" i="20"/>
  <c r="AL191" i="20"/>
  <c r="AJ191" i="20"/>
  <c r="AC183" i="20"/>
  <c r="AH183" i="20"/>
  <c r="AL175" i="20"/>
  <c r="AK175" i="20"/>
  <c r="AJ167" i="20"/>
  <c r="AM167" i="20"/>
  <c r="AI159" i="20"/>
  <c r="AO159" i="20"/>
  <c r="AI151" i="20"/>
  <c r="AC143" i="20"/>
  <c r="AG130" i="20"/>
  <c r="AH130" i="20"/>
  <c r="AQ122" i="20"/>
  <c r="AN114" i="20"/>
  <c r="AH114" i="20"/>
  <c r="AC106" i="20"/>
  <c r="AN94" i="20"/>
  <c r="AK94" i="20"/>
  <c r="AN86" i="20"/>
  <c r="AL86" i="20"/>
  <c r="AH82" i="20"/>
  <c r="AP82" i="20"/>
  <c r="AK66" i="20"/>
  <c r="AI53" i="20"/>
  <c r="AL48" i="20"/>
  <c r="AE48" i="20"/>
  <c r="AC348" i="20"/>
  <c r="AE348" i="20"/>
  <c r="AE76" i="20"/>
  <c r="AH40" i="20"/>
  <c r="AL39" i="20"/>
  <c r="AG39" i="20"/>
  <c r="AN38" i="20"/>
  <c r="AJ42" i="20"/>
  <c r="AE94" i="20"/>
  <c r="AE98" i="20"/>
  <c r="AE45" i="20"/>
  <c r="AE78" i="20"/>
  <c r="AM159" i="20"/>
  <c r="AM163" i="20"/>
  <c r="AP45" i="20"/>
  <c r="AG53" i="20"/>
  <c r="AE346" i="20"/>
  <c r="AE515" i="20"/>
  <c r="AI41" i="20"/>
  <c r="AQ187" i="20"/>
  <c r="AP40" i="20"/>
  <c r="AH44" i="20"/>
  <c r="AQ523" i="20"/>
  <c r="AI130" i="20"/>
  <c r="AK57" i="20"/>
  <c r="AG36" i="20"/>
  <c r="AP199" i="20"/>
  <c r="AI475" i="20"/>
  <c r="AJ78" i="20"/>
  <c r="AK199" i="20"/>
  <c r="AM348" i="20"/>
  <c r="AK207" i="20"/>
  <c r="AQ62" i="20"/>
  <c r="AE102" i="20"/>
  <c r="AO82" i="20"/>
  <c r="AE171" i="20"/>
  <c r="AC45" i="20"/>
  <c r="AE183" i="20"/>
  <c r="AI76" i="20"/>
  <c r="AJ41" i="20"/>
  <c r="AE334" i="20"/>
  <c r="AQ139" i="20"/>
  <c r="AC40" i="20"/>
  <c r="AP66" i="20"/>
  <c r="AO334" i="20"/>
  <c r="AP110" i="20"/>
  <c r="AL126" i="20"/>
  <c r="AQ334" i="20"/>
  <c r="AQ299" i="20"/>
  <c r="AP36" i="20"/>
  <c r="AJ491" i="20"/>
  <c r="AK203" i="20"/>
  <c r="AD84" i="20"/>
  <c r="AD447" i="20"/>
  <c r="AJ453" i="20"/>
  <c r="AD435" i="20"/>
  <c r="AF420" i="20"/>
  <c r="AF387" i="20"/>
  <c r="AF367" i="20"/>
  <c r="AF343" i="20"/>
  <c r="AF303" i="20"/>
  <c r="AL527" i="20"/>
  <c r="AM415" i="20"/>
  <c r="AF215" i="20"/>
  <c r="AQ484" i="20"/>
  <c r="AK428" i="20"/>
  <c r="AO384" i="20"/>
  <c r="AM325" i="20"/>
  <c r="AE269" i="20"/>
  <c r="AE205" i="20"/>
  <c r="AM79" i="20"/>
  <c r="AD21" i="20"/>
  <c r="AD29" i="20"/>
  <c r="AD46" i="20"/>
  <c r="AD60" i="20"/>
  <c r="AD76" i="20"/>
  <c r="AD85" i="20"/>
  <c r="AD95" i="20"/>
  <c r="AD106" i="20"/>
  <c r="AD120" i="20"/>
  <c r="M52" i="37" s="1"/>
  <c r="AD129" i="20"/>
  <c r="AD142" i="20"/>
  <c r="AD153" i="20"/>
  <c r="AD163" i="20"/>
  <c r="AD175" i="20"/>
  <c r="AD185" i="20"/>
  <c r="AD191" i="20"/>
  <c r="AD206" i="20"/>
  <c r="AD215" i="20"/>
  <c r="AD226" i="20"/>
  <c r="AD240" i="20"/>
  <c r="AD252" i="20"/>
  <c r="AD264" i="20"/>
  <c r="AD276" i="20"/>
  <c r="AD293" i="20"/>
  <c r="AD327" i="20"/>
  <c r="AD359" i="20"/>
  <c r="AD381" i="20"/>
  <c r="AD399" i="20"/>
  <c r="AD418" i="20"/>
  <c r="AD464" i="20"/>
  <c r="AD518" i="20"/>
  <c r="AF417" i="20"/>
  <c r="AF414" i="20"/>
  <c r="AF400" i="20"/>
  <c r="AF397" i="20"/>
  <c r="F61" i="37"/>
  <c r="AN12" i="20"/>
  <c r="AF14" i="20"/>
  <c r="AM14" i="20"/>
  <c r="AD13" i="20"/>
  <c r="AH13" i="20"/>
  <c r="AL13" i="20"/>
  <c r="AP13" i="20"/>
  <c r="AF20" i="20"/>
  <c r="AF44" i="20"/>
  <c r="AF60" i="20"/>
  <c r="AF76" i="20"/>
  <c r="AF92" i="20"/>
  <c r="AF117" i="20"/>
  <c r="AF133" i="20"/>
  <c r="AF150" i="20"/>
  <c r="AF180" i="20"/>
  <c r="AF186" i="20"/>
  <c r="AF230" i="20"/>
  <c r="AF244" i="20"/>
  <c r="AF250" i="20"/>
  <c r="AF294" i="20"/>
  <c r="AF304" i="20"/>
  <c r="AF344" i="20"/>
  <c r="AF358" i="20"/>
  <c r="AF368" i="20"/>
  <c r="AG14" i="20"/>
  <c r="AN14" i="20"/>
  <c r="AE13" i="20"/>
  <c r="AI13" i="20"/>
  <c r="AM13" i="20"/>
  <c r="AQ13" i="20"/>
  <c r="AF18" i="20"/>
  <c r="AF24" i="20"/>
  <c r="AF101" i="20"/>
  <c r="AF115" i="20"/>
  <c r="AF121" i="20"/>
  <c r="C51" i="37" s="1"/>
  <c r="AF131" i="20"/>
  <c r="AF138" i="20"/>
  <c r="AF148" i="20"/>
  <c r="AF154" i="20"/>
  <c r="AF174" i="20"/>
  <c r="AF190" i="20"/>
  <c r="AF214" i="20"/>
  <c r="AF238" i="20"/>
  <c r="AF254" i="20"/>
  <c r="AF278" i="20"/>
  <c r="AF328" i="20"/>
  <c r="AF342" i="20"/>
  <c r="AF352" i="20"/>
  <c r="AF392" i="20"/>
  <c r="AF406" i="20"/>
  <c r="AD12" i="20"/>
  <c r="AC14" i="20"/>
  <c r="AK14" i="20"/>
  <c r="AC13" i="20"/>
  <c r="AG13" i="20"/>
  <c r="AK13" i="20"/>
  <c r="AO13" i="20"/>
  <c r="AF36" i="20"/>
  <c r="AF50" i="20"/>
  <c r="AF56" i="20"/>
  <c r="AF66" i="20"/>
  <c r="AF72" i="20"/>
  <c r="AF82" i="20"/>
  <c r="AF88" i="20"/>
  <c r="AF166" i="20"/>
  <c r="AF182" i="20"/>
  <c r="AF206" i="20"/>
  <c r="AF222" i="20"/>
  <c r="AF246" i="20"/>
  <c r="AF270" i="20"/>
  <c r="AF286" i="20"/>
  <c r="AF296" i="20"/>
  <c r="AF310" i="20"/>
  <c r="AF320" i="20"/>
  <c r="AF360" i="20"/>
  <c r="AF374" i="20"/>
  <c r="AF384" i="20"/>
  <c r="AJ13" i="20"/>
  <c r="AF52" i="20"/>
  <c r="AF125" i="20"/>
  <c r="AF198" i="20"/>
  <c r="AF312" i="20"/>
  <c r="AF427" i="20"/>
  <c r="AF451" i="20"/>
  <c r="AF458" i="20"/>
  <c r="AF468" i="20"/>
  <c r="AF508" i="20"/>
  <c r="AF522" i="20"/>
  <c r="AF532" i="20"/>
  <c r="AD534" i="20"/>
  <c r="AD516" i="20"/>
  <c r="AD502" i="20"/>
  <c r="AD492" i="20"/>
  <c r="AD478" i="20"/>
  <c r="AD466" i="20"/>
  <c r="AD454" i="20"/>
  <c r="AD442" i="20"/>
  <c r="AD433" i="20"/>
  <c r="AD416" i="20"/>
  <c r="AD422" i="20"/>
  <c r="AD428" i="20"/>
  <c r="AD407" i="20"/>
  <c r="AD405" i="20"/>
  <c r="AD398" i="20"/>
  <c r="AD391" i="20"/>
  <c r="AD383" i="20"/>
  <c r="AD380" i="20"/>
  <c r="AD377" i="20"/>
  <c r="AD367" i="20"/>
  <c r="AD352" i="20"/>
  <c r="AD358" i="20"/>
  <c r="AD351" i="20"/>
  <c r="AD344" i="20"/>
  <c r="AD336" i="20"/>
  <c r="AD326" i="20"/>
  <c r="AD322" i="20"/>
  <c r="AD317" i="20"/>
  <c r="AD309" i="20"/>
  <c r="AD306" i="20"/>
  <c r="AD300" i="20"/>
  <c r="AD286" i="20"/>
  <c r="AD281" i="20"/>
  <c r="AD278" i="20"/>
  <c r="AD271" i="20"/>
  <c r="AD265" i="20"/>
  <c r="AF13" i="20"/>
  <c r="AF28" i="20"/>
  <c r="AF109" i="20"/>
  <c r="AF212" i="20"/>
  <c r="AF262" i="20"/>
  <c r="AF326" i="20"/>
  <c r="AF376" i="20"/>
  <c r="AF415" i="20"/>
  <c r="AF433" i="20"/>
  <c r="AF439" i="20"/>
  <c r="AF460" i="20"/>
  <c r="AF474" i="20"/>
  <c r="AF484" i="20"/>
  <c r="AF524" i="20"/>
  <c r="AF538" i="20"/>
  <c r="AD532" i="20"/>
  <c r="AD524" i="20"/>
  <c r="AD500" i="20"/>
  <c r="AD496" i="20"/>
  <c r="AD483" i="20"/>
  <c r="AD468" i="20"/>
  <c r="AD460" i="20"/>
  <c r="AD441" i="20"/>
  <c r="AD440" i="20"/>
  <c r="AD415" i="20"/>
  <c r="AD420" i="20"/>
  <c r="AD427" i="20"/>
  <c r="AD432" i="20"/>
  <c r="AD412" i="20"/>
  <c r="AD397" i="20"/>
  <c r="AD390" i="20"/>
  <c r="AD395" i="20"/>
  <c r="AD386" i="20"/>
  <c r="AD376" i="20"/>
  <c r="AD365" i="20"/>
  <c r="AD362" i="20"/>
  <c r="AD357" i="20"/>
  <c r="AD361" i="20"/>
  <c r="AD343" i="20"/>
  <c r="AD333" i="20"/>
  <c r="AD328" i="20"/>
  <c r="AD324" i="20"/>
  <c r="AD319" i="20"/>
  <c r="AD307" i="20"/>
  <c r="AD304" i="20"/>
  <c r="AD298" i="20"/>
  <c r="AD291" i="20"/>
  <c r="AD284" i="20"/>
  <c r="AD279" i="20"/>
  <c r="AD273" i="20"/>
  <c r="AD270" i="20"/>
  <c r="AF95" i="20"/>
  <c r="AF158" i="20"/>
  <c r="AF282" i="20"/>
  <c r="AF419" i="20"/>
  <c r="AF425" i="20"/>
  <c r="AF490" i="20"/>
  <c r="AF500" i="20"/>
  <c r="AD528" i="20"/>
  <c r="AD508" i="20"/>
  <c r="AD476" i="20"/>
  <c r="AD449" i="20"/>
  <c r="AD434" i="20"/>
  <c r="AD424" i="20"/>
  <c r="AD408" i="20"/>
  <c r="AD387" i="20"/>
  <c r="AD384" i="20"/>
  <c r="AD373" i="20"/>
  <c r="AD353" i="20"/>
  <c r="AD349" i="20"/>
  <c r="AD331" i="20"/>
  <c r="AD320" i="20"/>
  <c r="AD311" i="20"/>
  <c r="AD301" i="20"/>
  <c r="AD282" i="20"/>
  <c r="AD272" i="20"/>
  <c r="AD261" i="20"/>
  <c r="AD258" i="20"/>
  <c r="AD250" i="20"/>
  <c r="AD247" i="20"/>
  <c r="AD238" i="20"/>
  <c r="AD236" i="20"/>
  <c r="AD223" i="20"/>
  <c r="AD229" i="20"/>
  <c r="AD218" i="20"/>
  <c r="AD212" i="20"/>
  <c r="AD207" i="20"/>
  <c r="AD199" i="20"/>
  <c r="AD195" i="20"/>
  <c r="AD193" i="20"/>
  <c r="AD186" i="20"/>
  <c r="AD180" i="20"/>
  <c r="AD177" i="20"/>
  <c r="AD170" i="20"/>
  <c r="AD167" i="20"/>
  <c r="AD161" i="20"/>
  <c r="AD155" i="20"/>
  <c r="AD150" i="20"/>
  <c r="AD144" i="20"/>
  <c r="AD140" i="20"/>
  <c r="AD131" i="20"/>
  <c r="AD126" i="20"/>
  <c r="AD123" i="20"/>
  <c r="AD115" i="20"/>
  <c r="AD109" i="20"/>
  <c r="AD103" i="20"/>
  <c r="AD97" i="20"/>
  <c r="AD92" i="20"/>
  <c r="AD86" i="20"/>
  <c r="AD81" i="20"/>
  <c r="AD72" i="20"/>
  <c r="AD68" i="20"/>
  <c r="AD62" i="20"/>
  <c r="AD54" i="20"/>
  <c r="AD50" i="20"/>
  <c r="AD41" i="20"/>
  <c r="AD33" i="20"/>
  <c r="AD32" i="20"/>
  <c r="AD24" i="20"/>
  <c r="AD16" i="20"/>
  <c r="AM38" i="20"/>
  <c r="AM36" i="20"/>
  <c r="AM61" i="20"/>
  <c r="AM111" i="20"/>
  <c r="AP189" i="20"/>
  <c r="AO217" i="20"/>
  <c r="AC245" i="20"/>
  <c r="AP293" i="20"/>
  <c r="AG321" i="20"/>
  <c r="AP341" i="20"/>
  <c r="AC368" i="20"/>
  <c r="AC396" i="20"/>
  <c r="AO420" i="20"/>
  <c r="AM444" i="20"/>
  <c r="AE468" i="20"/>
  <c r="AO504" i="20"/>
  <c r="AL528" i="20"/>
  <c r="AI17" i="20"/>
  <c r="AN17" i="20"/>
  <c r="AC17" i="20"/>
  <c r="AE20" i="20"/>
  <c r="AH20" i="20"/>
  <c r="AN20" i="20"/>
  <c r="AO20" i="20"/>
  <c r="AM115" i="20"/>
  <c r="AM90" i="20"/>
  <c r="AM47" i="20"/>
  <c r="AM18" i="20"/>
  <c r="AH18" i="20"/>
  <c r="AK18" i="20"/>
  <c r="AN21" i="20"/>
  <c r="AO21" i="20"/>
  <c r="AE21" i="20"/>
  <c r="AM30" i="20"/>
  <c r="AQ494" i="20"/>
  <c r="AH406" i="20"/>
  <c r="AK382" i="20"/>
  <c r="AI327" i="20"/>
  <c r="AO130" i="20"/>
  <c r="AM105" i="20"/>
  <c r="H53" i="37" s="1"/>
  <c r="AM89" i="20"/>
  <c r="AM65" i="20"/>
  <c r="AM31" i="20"/>
  <c r="AM92" i="20"/>
  <c r="AM49" i="20"/>
  <c r="AM23" i="20"/>
  <c r="AM16" i="20"/>
  <c r="AM34" i="20"/>
  <c r="AE110" i="20"/>
  <c r="AQ66" i="20"/>
  <c r="AI55" i="20"/>
  <c r="AM104" i="20"/>
  <c r="AM88" i="20"/>
  <c r="AM64" i="20"/>
  <c r="AM62" i="20"/>
  <c r="AQ22" i="20"/>
  <c r="L64" i="37" s="1"/>
  <c r="AO22" i="20"/>
  <c r="J64" i="37" s="1"/>
  <c r="AJ22" i="20"/>
  <c r="G64" i="37" s="1"/>
  <c r="AQ23" i="20"/>
  <c r="AJ23" i="20"/>
  <c r="AI16" i="20"/>
  <c r="AJ16" i="20"/>
  <c r="AH16" i="20"/>
  <c r="AE24" i="20"/>
  <c r="AO24" i="20"/>
  <c r="AI25" i="20"/>
  <c r="AL24" i="20"/>
  <c r="AJ25" i="20"/>
  <c r="AG25" i="20"/>
  <c r="AC26" i="20"/>
  <c r="AL26" i="20"/>
  <c r="AN26" i="20"/>
  <c r="AE125" i="20"/>
  <c r="AE122" i="20"/>
  <c r="AO428" i="20"/>
  <c r="AI532" i="20"/>
  <c r="AP440" i="20"/>
  <c r="AJ420" i="20"/>
  <c r="AQ360" i="20"/>
  <c r="AK161" i="20"/>
  <c r="AJ514" i="20"/>
  <c r="AE486" i="20"/>
  <c r="AE466" i="20"/>
  <c r="AI422" i="20"/>
  <c r="AN13" i="20"/>
  <c r="AF142" i="20"/>
  <c r="AF336" i="20"/>
  <c r="AF435" i="20"/>
  <c r="AF492" i="20"/>
  <c r="AF506" i="20"/>
  <c r="AD531" i="20"/>
  <c r="AD510" i="20"/>
  <c r="AD484" i="20"/>
  <c r="AD462" i="20"/>
  <c r="AD446" i="20"/>
  <c r="AD419" i="20"/>
  <c r="AD431" i="20"/>
  <c r="AD400" i="20"/>
  <c r="AD394" i="20"/>
  <c r="AD378" i="20"/>
  <c r="AD369" i="20"/>
  <c r="AD360" i="20"/>
  <c r="AD332" i="20"/>
  <c r="AD325" i="20"/>
  <c r="AD316" i="20"/>
  <c r="AD296" i="20"/>
  <c r="AD283" i="20"/>
  <c r="AD275" i="20"/>
  <c r="AD267" i="20"/>
  <c r="AD259" i="20"/>
  <c r="AD254" i="20"/>
  <c r="AD249" i="20"/>
  <c r="AD244" i="20"/>
  <c r="AD241" i="20"/>
  <c r="AD222" i="20"/>
  <c r="AD227" i="20"/>
  <c r="AD220" i="20"/>
  <c r="AD214" i="20"/>
  <c r="AD209" i="20"/>
  <c r="AD203" i="20"/>
  <c r="AD197" i="20"/>
  <c r="AD192" i="20"/>
  <c r="AD187" i="20"/>
  <c r="AD179" i="20"/>
  <c r="AD176" i="20"/>
  <c r="AD174" i="20"/>
  <c r="AD169" i="20"/>
  <c r="AD160" i="20"/>
  <c r="AD159" i="20"/>
  <c r="AD152" i="20"/>
  <c r="AD145" i="20"/>
  <c r="AD139" i="20"/>
  <c r="AD133" i="20"/>
  <c r="AD127" i="20"/>
  <c r="AD122" i="20"/>
  <c r="AD114" i="20"/>
  <c r="AD110" i="20"/>
  <c r="AD105" i="20"/>
  <c r="M53" i="37" s="1"/>
  <c r="AD98" i="20"/>
  <c r="AD93" i="20"/>
  <c r="AD87" i="20"/>
  <c r="AD82" i="20"/>
  <c r="AD71" i="20"/>
  <c r="AD77" i="20"/>
  <c r="AD64" i="20"/>
  <c r="AD57" i="20"/>
  <c r="AD49" i="20"/>
  <c r="AD44" i="20"/>
  <c r="AD38" i="20"/>
  <c r="AD31" i="20"/>
  <c r="AD23" i="20"/>
  <c r="AD22" i="20"/>
  <c r="M64" i="37" s="1"/>
  <c r="AM44" i="20"/>
  <c r="AM57" i="20"/>
  <c r="AM103" i="20"/>
  <c r="AK185" i="20"/>
  <c r="AP213" i="20"/>
  <c r="AE233" i="20"/>
  <c r="AO289" i="20"/>
  <c r="AQ317" i="20"/>
  <c r="AL337" i="20"/>
  <c r="AO364" i="20"/>
  <c r="AP392" i="20"/>
  <c r="AP412" i="20"/>
  <c r="AQ436" i="20"/>
  <c r="AQ464" i="20"/>
  <c r="AJ500" i="20"/>
  <c r="AC524" i="20"/>
  <c r="AQ508" i="20"/>
  <c r="AL448" i="20"/>
  <c r="AO400" i="20"/>
  <c r="AO351" i="20"/>
  <c r="AO301" i="20"/>
  <c r="AO221" i="20"/>
  <c r="AM120" i="20"/>
  <c r="H52" i="37" s="1"/>
  <c r="AM73" i="20"/>
  <c r="AM76" i="20"/>
  <c r="AM74" i="20"/>
  <c r="AM45" i="20"/>
  <c r="AM41" i="20"/>
  <c r="AD18" i="20"/>
  <c r="AD26" i="20"/>
  <c r="AD37" i="20"/>
  <c r="AD52" i="20"/>
  <c r="AD66" i="20"/>
  <c r="AD70" i="20"/>
  <c r="AD89" i="20"/>
  <c r="AD101" i="20"/>
  <c r="AD111" i="20"/>
  <c r="AD121" i="20"/>
  <c r="M51" i="37" s="1"/>
  <c r="AD135" i="20"/>
  <c r="AD148" i="20"/>
  <c r="AD158" i="20"/>
  <c r="AD168" i="20"/>
  <c r="AD182" i="20"/>
  <c r="AD188" i="20"/>
  <c r="AD198" i="20"/>
  <c r="AD211" i="20"/>
  <c r="AD219" i="20"/>
  <c r="AD232" i="20"/>
  <c r="AD243" i="20"/>
  <c r="AD255" i="20"/>
  <c r="AD266" i="20"/>
  <c r="AD287" i="20"/>
  <c r="AD315" i="20"/>
  <c r="AD338" i="20"/>
  <c r="AD368" i="20"/>
  <c r="AD392" i="20"/>
  <c r="AD430" i="20"/>
  <c r="AD444" i="20"/>
  <c r="AD491" i="20"/>
  <c r="AD475" i="20"/>
  <c r="AF516" i="20"/>
  <c r="AD474" i="20"/>
  <c r="AF470" i="20"/>
  <c r="AF466" i="20"/>
  <c r="AF462" i="20"/>
  <c r="AF450" i="20"/>
  <c r="AF447" i="20"/>
  <c r="AF444" i="20"/>
  <c r="AF441" i="20"/>
  <c r="AF438" i="20"/>
  <c r="AF426" i="20"/>
  <c r="AF276" i="20"/>
  <c r="AF273" i="20"/>
  <c r="AF249" i="20"/>
  <c r="AF229" i="20"/>
  <c r="AI14" i="20"/>
  <c r="AD517" i="20"/>
  <c r="AN514" i="20"/>
  <c r="AF510" i="20"/>
  <c r="AK503" i="20"/>
  <c r="AD490" i="20"/>
  <c r="AF486" i="20"/>
  <c r="AD439" i="20"/>
  <c r="AF432" i="20"/>
  <c r="AF428" i="20"/>
  <c r="AF333" i="20"/>
  <c r="AF188" i="20"/>
  <c r="AD172" i="20"/>
  <c r="AF146" i="20"/>
  <c r="AF139" i="20"/>
  <c r="AD538" i="20"/>
  <c r="AF534" i="20"/>
  <c r="AF530" i="20"/>
  <c r="AF526" i="20"/>
  <c r="AM493" i="20"/>
  <c r="AQ479" i="20"/>
  <c r="AF452" i="20"/>
  <c r="AD423" i="20"/>
  <c r="AD417" i="20"/>
  <c r="AD310" i="20"/>
  <c r="AF306" i="20"/>
  <c r="AF279" i="20"/>
  <c r="AF185" i="20"/>
  <c r="AF162" i="20"/>
  <c r="AF155" i="20"/>
  <c r="AF135" i="20"/>
  <c r="AF16" i="20"/>
  <c r="AP535" i="20"/>
  <c r="AF528" i="20"/>
  <c r="AF518" i="20"/>
  <c r="AO511" i="20"/>
  <c r="AF494" i="20"/>
  <c r="AC488" i="20"/>
  <c r="AF464" i="20"/>
  <c r="AF454" i="20"/>
  <c r="AD451" i="20"/>
  <c r="AF448" i="20"/>
  <c r="AJ445" i="20"/>
  <c r="AF442" i="20"/>
  <c r="AF436" i="20"/>
  <c r="AF430" i="20"/>
  <c r="AF424" i="20"/>
  <c r="AF418" i="20"/>
  <c r="AF412" i="20"/>
  <c r="AM409" i="20"/>
  <c r="AD406" i="20"/>
  <c r="AF380" i="20"/>
  <c r="AF357" i="20"/>
  <c r="AF353" i="20"/>
  <c r="AF259" i="20"/>
  <c r="AF255" i="20"/>
  <c r="AF243" i="20"/>
  <c r="AF239" i="20"/>
  <c r="AF209" i="20"/>
  <c r="AF152" i="20"/>
  <c r="AG132" i="20"/>
  <c r="AF106" i="20"/>
  <c r="AF102" i="20"/>
  <c r="AI59" i="20"/>
  <c r="AF32" i="20"/>
  <c r="AF25" i="20"/>
  <c r="AL519" i="20"/>
  <c r="AD506" i="20"/>
  <c r="AF502" i="20"/>
  <c r="AP495" i="20"/>
  <c r="AF478" i="20"/>
  <c r="AF446" i="20"/>
  <c r="AD443" i="20"/>
  <c r="AF440" i="20"/>
  <c r="AF434" i="20"/>
  <c r="AD425" i="20"/>
  <c r="AF422" i="20"/>
  <c r="AF416" i="20"/>
  <c r="AF410" i="20"/>
  <c r="AF407" i="20"/>
  <c r="AF370" i="20"/>
  <c r="AF346" i="20"/>
  <c r="AF316" i="20"/>
  <c r="AF293" i="20"/>
  <c r="AF252" i="20"/>
  <c r="AF236" i="20"/>
  <c r="AF232" i="20"/>
  <c r="AF195" i="20"/>
  <c r="AF191" i="20"/>
  <c r="AF179" i="20"/>
  <c r="AF175" i="20"/>
  <c r="AQ149" i="20"/>
  <c r="AF129" i="20"/>
  <c r="AF122" i="20"/>
  <c r="AC75" i="20"/>
  <c r="AF22" i="20"/>
  <c r="C64" i="37" s="1"/>
  <c r="AF405" i="20"/>
  <c r="AF398" i="20"/>
  <c r="AF394" i="20"/>
  <c r="AF391" i="20"/>
  <c r="AF381" i="20"/>
  <c r="AF354" i="20"/>
  <c r="AF351" i="20"/>
  <c r="AF341" i="20"/>
  <c r="AF330" i="20"/>
  <c r="AF327" i="20"/>
  <c r="AF324" i="20"/>
  <c r="AF317" i="20"/>
  <c r="AF307" i="20"/>
  <c r="AF300" i="20"/>
  <c r="AD294" i="20"/>
  <c r="AF290" i="20"/>
  <c r="AF283" i="20"/>
  <c r="AF280" i="20"/>
  <c r="AD274" i="20"/>
  <c r="AF267" i="20"/>
  <c r="AF263" i="20"/>
  <c r="AF240" i="20"/>
  <c r="AF237" i="20"/>
  <c r="AF226" i="20"/>
  <c r="AF219" i="20"/>
  <c r="AF216" i="20"/>
  <c r="AF210" i="20"/>
  <c r="AF203" i="20"/>
  <c r="AF199" i="20"/>
  <c r="AF176" i="20"/>
  <c r="AF173" i="20"/>
  <c r="AF163" i="20"/>
  <c r="AF159" i="20"/>
  <c r="AF153" i="20"/>
  <c r="AF147" i="20"/>
  <c r="AF143" i="20"/>
  <c r="AF140" i="20"/>
  <c r="AF136" i="20"/>
  <c r="AF130" i="20"/>
  <c r="AF126" i="20"/>
  <c r="AF123" i="20"/>
  <c r="AF120" i="20"/>
  <c r="C52" i="37" s="1"/>
  <c r="AF114" i="20"/>
  <c r="AF110" i="20"/>
  <c r="AF103" i="20"/>
  <c r="AJ100" i="20"/>
  <c r="AF96" i="20"/>
  <c r="AF85" i="20"/>
  <c r="AF79" i="20"/>
  <c r="AF47" i="20"/>
  <c r="AF33" i="20"/>
  <c r="AF29" i="20"/>
  <c r="AF17" i="20"/>
  <c r="AF168" i="20"/>
  <c r="AG403" i="20"/>
  <c r="AF386" i="20"/>
  <c r="AF383" i="20"/>
  <c r="AF373" i="20"/>
  <c r="AF369" i="20"/>
  <c r="AG366" i="20"/>
  <c r="AF362" i="20"/>
  <c r="AF359" i="20"/>
  <c r="AF349" i="20"/>
  <c r="AF332" i="20"/>
  <c r="AF322" i="20"/>
  <c r="AF319" i="20"/>
  <c r="AF315" i="20"/>
  <c r="AF309" i="20"/>
  <c r="AF298" i="20"/>
  <c r="AF295" i="20"/>
  <c r="AI292" i="20"/>
  <c r="AL285" i="20"/>
  <c r="AF272" i="20"/>
  <c r="AF269" i="20"/>
  <c r="AF265" i="20"/>
  <c r="AF258" i="20"/>
  <c r="AF251" i="20"/>
  <c r="AD242" i="20"/>
  <c r="AF235" i="20"/>
  <c r="AF231" i="20"/>
  <c r="AC224" i="20"/>
  <c r="AK221" i="20"/>
  <c r="AF208" i="20"/>
  <c r="AF205" i="20"/>
  <c r="AF194" i="20"/>
  <c r="AF187" i="20"/>
  <c r="AF184" i="20"/>
  <c r="AF181" i="20"/>
  <c r="AF178" i="20"/>
  <c r="AF171" i="20"/>
  <c r="AG165" i="20"/>
  <c r="AF161" i="20"/>
  <c r="AF151" i="20"/>
  <c r="AF145" i="20"/>
  <c r="AF134" i="20"/>
  <c r="AD128" i="20"/>
  <c r="AF112" i="20"/>
  <c r="AF105" i="20"/>
  <c r="C53" i="37" s="1"/>
  <c r="AF98" i="20"/>
  <c r="AF93" i="20"/>
  <c r="AF81" i="20"/>
  <c r="AF77" i="20"/>
  <c r="AF74" i="20"/>
  <c r="AF71" i="20"/>
  <c r="AF65" i="20"/>
  <c r="AF61" i="20"/>
  <c r="AF58" i="20"/>
  <c r="AF55" i="20"/>
  <c r="AF49" i="20"/>
  <c r="AF38" i="20"/>
  <c r="AF31" i="20"/>
  <c r="AF21" i="20"/>
  <c r="AF170" i="20"/>
  <c r="AF402" i="20"/>
  <c r="AF399" i="20"/>
  <c r="AF395" i="20"/>
  <c r="AF389" i="20"/>
  <c r="AF385" i="20"/>
  <c r="AF378" i="20"/>
  <c r="AF375" i="20"/>
  <c r="AF365" i="20"/>
  <c r="AF361" i="20"/>
  <c r="AD342" i="20"/>
  <c r="AF338" i="20"/>
  <c r="AF335" i="20"/>
  <c r="AF331" i="20"/>
  <c r="AF325" i="20"/>
  <c r="AF314" i="20"/>
  <c r="AF311" i="20"/>
  <c r="AF301" i="20"/>
  <c r="AF291" i="20"/>
  <c r="AF287" i="20"/>
  <c r="AF284" i="20"/>
  <c r="AF281" i="20"/>
  <c r="AF275" i="20"/>
  <c r="AF271" i="20"/>
  <c r="AD268" i="20"/>
  <c r="AF264" i="20"/>
  <c r="AF261" i="20"/>
  <c r="AF257" i="20"/>
  <c r="AF247" i="20"/>
  <c r="AF241" i="20"/>
  <c r="AF227" i="20"/>
  <c r="AF223" i="20"/>
  <c r="AF220" i="20"/>
  <c r="AF217" i="20"/>
  <c r="AF211" i="20"/>
  <c r="AF207" i="20"/>
  <c r="AD204" i="20"/>
  <c r="AF200" i="20"/>
  <c r="AF197" i="20"/>
  <c r="AF193" i="20"/>
  <c r="AF177" i="20"/>
  <c r="AF167" i="20"/>
  <c r="AF160" i="20"/>
  <c r="AM157" i="20"/>
  <c r="AH141" i="20"/>
  <c r="AF127" i="20"/>
  <c r="AN124" i="20"/>
  <c r="AF111" i="20"/>
  <c r="AJ108" i="20"/>
  <c r="AF97" i="20"/>
  <c r="AF89" i="20"/>
  <c r="AF86" i="20"/>
  <c r="AF80" i="20"/>
  <c r="AF73" i="20"/>
  <c r="AF70" i="20"/>
  <c r="AF64" i="20"/>
  <c r="AF57" i="20"/>
  <c r="AF54" i="20"/>
  <c r="AF41" i="20"/>
  <c r="AF37" i="20"/>
  <c r="AF169" i="20"/>
  <c r="AD498" i="20"/>
  <c r="AF498" i="20"/>
  <c r="AQ498" i="20"/>
  <c r="AL498" i="20"/>
  <c r="AH498" i="20"/>
  <c r="AP498" i="20"/>
  <c r="AH477" i="20"/>
  <c r="AQ477" i="20"/>
  <c r="AD421" i="20"/>
  <c r="AF421" i="20"/>
  <c r="AF345" i="20"/>
  <c r="AD345" i="20"/>
  <c r="AN345" i="20"/>
  <c r="AP345" i="20"/>
  <c r="AE345" i="20"/>
  <c r="AJ345" i="20"/>
  <c r="AI345" i="20"/>
  <c r="AF339" i="20"/>
  <c r="AK339" i="20"/>
  <c r="AD339" i="20"/>
  <c r="AH339" i="20"/>
  <c r="AQ339" i="20"/>
  <c r="AG339" i="20"/>
  <c r="AL339" i="20"/>
  <c r="AP339" i="20"/>
  <c r="AN339" i="20"/>
  <c r="AD302" i="20"/>
  <c r="AF302" i="20"/>
  <c r="AP302" i="20"/>
  <c r="AK302" i="20"/>
  <c r="AL302" i="20"/>
  <c r="AO302" i="20"/>
  <c r="AC302" i="20"/>
  <c r="AF288" i="20"/>
  <c r="AD288" i="20"/>
  <c r="AQ288" i="20"/>
  <c r="AH288" i="20"/>
  <c r="AI288" i="20"/>
  <c r="AF228" i="20"/>
  <c r="AD228" i="20"/>
  <c r="AG228" i="20"/>
  <c r="AP228" i="20"/>
  <c r="AF118" i="20"/>
  <c r="AM118" i="20"/>
  <c r="AM42" i="20"/>
  <c r="AF42" i="20"/>
  <c r="AD42" i="20"/>
  <c r="AK128" i="20"/>
  <c r="AP409" i="20"/>
  <c r="AL221" i="20"/>
  <c r="AC221" i="20"/>
  <c r="AK477" i="20"/>
  <c r="AN42" i="20"/>
  <c r="AI118" i="20"/>
  <c r="AG345" i="20"/>
  <c r="AI535" i="20"/>
  <c r="AI128" i="20"/>
  <c r="AI285" i="20"/>
  <c r="AG128" i="20"/>
  <c r="AO445" i="20"/>
  <c r="AK445" i="20"/>
  <c r="AP453" i="20"/>
  <c r="AE421" i="20"/>
  <c r="AL409" i="20"/>
  <c r="AQ409" i="20"/>
  <c r="AL421" i="20"/>
  <c r="AM421" i="20"/>
  <c r="AP421" i="20"/>
  <c r="AI453" i="20"/>
  <c r="AN453" i="20"/>
  <c r="AP493" i="20"/>
  <c r="AH493" i="20"/>
  <c r="AC493" i="20"/>
  <c r="AH514" i="20"/>
  <c r="AL477" i="20"/>
  <c r="AE477" i="20"/>
  <c r="AP128" i="20"/>
  <c r="AC477" i="20"/>
  <c r="AN477" i="20"/>
  <c r="AL134" i="20"/>
  <c r="AQ118" i="20"/>
  <c r="AH42" i="20"/>
  <c r="AK42" i="20"/>
  <c r="AK118" i="20"/>
  <c r="AO118" i="20"/>
  <c r="AC118" i="20"/>
  <c r="AQ134" i="20"/>
  <c r="AO477" i="20"/>
  <c r="AJ403" i="20"/>
  <c r="AK439" i="20"/>
  <c r="AG302" i="20"/>
  <c r="AG498" i="20"/>
  <c r="AE228" i="20"/>
  <c r="AO224" i="20"/>
  <c r="AH228" i="20"/>
  <c r="AG224" i="20"/>
  <c r="AG288" i="20"/>
  <c r="AO288" i="20"/>
  <c r="AJ292" i="20"/>
  <c r="AM228" i="20"/>
  <c r="AL228" i="20"/>
  <c r="AM302" i="20"/>
  <c r="AP514" i="20"/>
  <c r="AM488" i="20"/>
  <c r="AO488" i="20"/>
  <c r="AE514" i="20"/>
  <c r="AO498" i="20"/>
  <c r="AQ302" i="20"/>
  <c r="AD118" i="20"/>
  <c r="AD134" i="20"/>
  <c r="AF431" i="20"/>
  <c r="AN431" i="20"/>
  <c r="AE431" i="20"/>
  <c r="AQ431" i="20"/>
  <c r="AD413" i="20"/>
  <c r="AF413" i="20"/>
  <c r="AC413" i="20"/>
  <c r="AF404" i="20"/>
  <c r="AJ404" i="20"/>
  <c r="AM404" i="20"/>
  <c r="AI404" i="20"/>
  <c r="AN404" i="20"/>
  <c r="AD404" i="20"/>
  <c r="AP404" i="20"/>
  <c r="AG404" i="20"/>
  <c r="AF393" i="20"/>
  <c r="AD393" i="20"/>
  <c r="AH393" i="20"/>
  <c r="AI393" i="20"/>
  <c r="AM393" i="20"/>
  <c r="AC393" i="20"/>
  <c r="AF350" i="20"/>
  <c r="AE350" i="20"/>
  <c r="AD350" i="20"/>
  <c r="AI350" i="20"/>
  <c r="AQ350" i="20"/>
  <c r="AF340" i="20"/>
  <c r="AQ340" i="20"/>
  <c r="AH340" i="20"/>
  <c r="AL340" i="20"/>
  <c r="AD340" i="20"/>
  <c r="AI340" i="20"/>
  <c r="AF329" i="20"/>
  <c r="AD329" i="20"/>
  <c r="AE329" i="20"/>
  <c r="AO329" i="20"/>
  <c r="AN329" i="20"/>
  <c r="AC329" i="20"/>
  <c r="AJ329" i="20"/>
  <c r="AQ329" i="20"/>
  <c r="AI329" i="20"/>
  <c r="AP329" i="20"/>
  <c r="AF323" i="20"/>
  <c r="AM323" i="20"/>
  <c r="AN323" i="20"/>
  <c r="AG323" i="20"/>
  <c r="AD323" i="20"/>
  <c r="AC323" i="20"/>
  <c r="AQ323" i="20"/>
  <c r="AL323" i="20"/>
  <c r="AF266" i="20"/>
  <c r="AJ266" i="20"/>
  <c r="AE266" i="20"/>
  <c r="AK266" i="20"/>
  <c r="AM266" i="20"/>
  <c r="AG266" i="20"/>
  <c r="AQ266" i="20"/>
  <c r="AO266" i="20"/>
  <c r="AF202" i="20"/>
  <c r="AD202" i="20"/>
  <c r="AE202" i="20"/>
  <c r="AK202" i="20"/>
  <c r="AJ202" i="20"/>
  <c r="AC202" i="20"/>
  <c r="AL202" i="20"/>
  <c r="AP202" i="20"/>
  <c r="AN202" i="20"/>
  <c r="AD113" i="20"/>
  <c r="AF113" i="20"/>
  <c r="AM113" i="20"/>
  <c r="AP113" i="20"/>
  <c r="AI113" i="20"/>
  <c r="AL113" i="20"/>
  <c r="AE113" i="20"/>
  <c r="AK113" i="20"/>
  <c r="AO113" i="20"/>
  <c r="AJ113" i="20"/>
  <c r="AF99" i="20"/>
  <c r="AD99" i="20"/>
  <c r="AM99" i="20"/>
  <c r="AP99" i="20"/>
  <c r="AF94" i="20"/>
  <c r="AM94" i="20"/>
  <c r="AD94" i="20"/>
  <c r="AF78" i="20"/>
  <c r="AD78" i="20"/>
  <c r="AM78" i="20"/>
  <c r="AF488" i="20"/>
  <c r="AD488" i="20"/>
  <c r="AQ488" i="20"/>
  <c r="AN488" i="20"/>
  <c r="AP488" i="20"/>
  <c r="AK488" i="20"/>
  <c r="AH488" i="20"/>
  <c r="AE488" i="20"/>
  <c r="AG488" i="20"/>
  <c r="AF445" i="20"/>
  <c r="AD445" i="20"/>
  <c r="AP445" i="20"/>
  <c r="AF409" i="20"/>
  <c r="AD409" i="20"/>
  <c r="AE409" i="20"/>
  <c r="AF403" i="20"/>
  <c r="AD403" i="20"/>
  <c r="AQ403" i="20"/>
  <c r="AE403" i="20"/>
  <c r="AN403" i="20"/>
  <c r="AF366" i="20"/>
  <c r="AN366" i="20"/>
  <c r="AD366" i="20"/>
  <c r="AH366" i="20"/>
  <c r="AJ366" i="20"/>
  <c r="AO366" i="20"/>
  <c r="AM366" i="20"/>
  <c r="AC366" i="20"/>
  <c r="AF356" i="20"/>
  <c r="AD356" i="20"/>
  <c r="AP356" i="20"/>
  <c r="AO356" i="20"/>
  <c r="AL356" i="20"/>
  <c r="AN356" i="20"/>
  <c r="AK356" i="20"/>
  <c r="AM356" i="20"/>
  <c r="AF292" i="20"/>
  <c r="AD292" i="20"/>
  <c r="AN292" i="20"/>
  <c r="AE292" i="20"/>
  <c r="AF285" i="20"/>
  <c r="AD285" i="20"/>
  <c r="AP285" i="20"/>
  <c r="AJ285" i="20"/>
  <c r="AN285" i="20"/>
  <c r="AM285" i="20"/>
  <c r="AQ285" i="20"/>
  <c r="AC285" i="20"/>
  <c r="AG285" i="20"/>
  <c r="AF224" i="20"/>
  <c r="AD224" i="20"/>
  <c r="AJ224" i="20"/>
  <c r="AN224" i="20"/>
  <c r="AF221" i="20"/>
  <c r="AD221" i="20"/>
  <c r="AF128" i="20"/>
  <c r="AO128" i="20"/>
  <c r="AL128" i="20"/>
  <c r="AH128" i="20"/>
  <c r="AC339" i="20"/>
  <c r="AM128" i="20"/>
  <c r="AH445" i="20"/>
  <c r="AC445" i="20"/>
  <c r="AI445" i="20"/>
  <c r="AC409" i="20"/>
  <c r="AJ409" i="20"/>
  <c r="AO421" i="20"/>
  <c r="AJ421" i="20"/>
  <c r="AC421" i="20"/>
  <c r="AH285" i="20"/>
  <c r="AN128" i="20"/>
  <c r="AI221" i="20"/>
  <c r="AP42" i="20"/>
  <c r="AO42" i="20"/>
  <c r="AI42" i="20"/>
  <c r="AE134" i="20"/>
  <c r="AL118" i="20"/>
  <c r="AG118" i="20"/>
  <c r="AO134" i="20"/>
  <c r="AC134" i="20"/>
  <c r="AK403" i="20"/>
  <c r="AH356" i="20"/>
  <c r="AI224" i="20"/>
  <c r="AQ224" i="20"/>
  <c r="AH224" i="20"/>
  <c r="AC288" i="20"/>
  <c r="AP292" i="20"/>
  <c r="AK292" i="20"/>
  <c r="AJ228" i="20"/>
  <c r="AN228" i="20"/>
  <c r="AC228" i="20"/>
  <c r="AH345" i="20"/>
  <c r="AM224" i="20"/>
  <c r="AG292" i="20"/>
  <c r="AN498" i="20"/>
  <c r="AE356" i="20"/>
  <c r="AE221" i="20"/>
  <c r="AO345" i="20"/>
  <c r="AL345" i="20"/>
  <c r="AL366" i="20"/>
  <c r="AP366" i="20"/>
  <c r="AJ339" i="20"/>
  <c r="AC498" i="20"/>
  <c r="AK366" i="20"/>
  <c r="AN302" i="20"/>
  <c r="AM345" i="20"/>
  <c r="AQ356" i="20"/>
  <c r="AQ128" i="20"/>
  <c r="AQ228" i="20"/>
  <c r="AE128" i="20"/>
  <c r="AE366" i="20"/>
  <c r="AI339" i="20"/>
  <c r="AE302" i="20"/>
  <c r="AI366" i="20"/>
  <c r="AE42" i="20"/>
  <c r="AO514" i="20"/>
  <c r="AF514" i="20"/>
  <c r="AD514" i="20"/>
  <c r="AL514" i="20"/>
  <c r="AC514" i="20"/>
  <c r="AQ514" i="20"/>
  <c r="AI514" i="20"/>
  <c r="AF504" i="20"/>
  <c r="AI504" i="20"/>
  <c r="AH504" i="20"/>
  <c r="AQ504" i="20"/>
  <c r="AK504" i="20"/>
  <c r="AD504" i="20"/>
  <c r="AL504" i="20"/>
  <c r="AM504" i="20"/>
  <c r="AF453" i="20"/>
  <c r="AE453" i="20"/>
  <c r="AD453" i="20"/>
  <c r="AQ439" i="20"/>
  <c r="AG439" i="20"/>
  <c r="AC345" i="20"/>
  <c r="AK285" i="20"/>
  <c r="AJ128" i="20"/>
  <c r="AJ493" i="20"/>
  <c r="AL445" i="20"/>
  <c r="AG445" i="20"/>
  <c r="AG421" i="20"/>
  <c r="AI409" i="20"/>
  <c r="AK409" i="20"/>
  <c r="AN409" i="20"/>
  <c r="AI421" i="20"/>
  <c r="AH421" i="20"/>
  <c r="AG453" i="20"/>
  <c r="AH453" i="20"/>
  <c r="AI493" i="20"/>
  <c r="AG493" i="20"/>
  <c r="AM439" i="20"/>
  <c r="AP477" i="20"/>
  <c r="AO285" i="20"/>
  <c r="AG221" i="20"/>
  <c r="AP134" i="20"/>
  <c r="AQ42" i="20"/>
  <c r="AL42" i="20"/>
  <c r="AH118" i="20"/>
  <c r="AI134" i="20"/>
  <c r="AC403" i="20"/>
  <c r="AL439" i="20"/>
  <c r="AK498" i="20"/>
  <c r="AG514" i="20"/>
  <c r="AL288" i="20"/>
  <c r="AL292" i="20"/>
  <c r="AE224" i="20"/>
  <c r="AL224" i="20"/>
  <c r="AJ288" i="20"/>
  <c r="AK288" i="20"/>
  <c r="AQ292" i="20"/>
  <c r="AH292" i="20"/>
  <c r="AO228" i="20"/>
  <c r="AJ302" i="20"/>
  <c r="AO403" i="20"/>
  <c r="AP224" i="20"/>
  <c r="AC439" i="20"/>
  <c r="AL403" i="20"/>
  <c r="AM292" i="20"/>
  <c r="AP403" i="20"/>
  <c r="AK514" i="20"/>
  <c r="AQ345" i="20"/>
  <c r="AE285" i="20"/>
  <c r="AG504" i="20"/>
  <c r="AM339" i="20"/>
  <c r="AM498" i="20"/>
  <c r="AM514" i="20"/>
  <c r="AP439" i="20"/>
  <c r="AJ356" i="20"/>
  <c r="AJ504" i="20"/>
  <c r="AH221" i="20"/>
  <c r="AI356" i="20"/>
  <c r="AM134" i="20"/>
  <c r="AF520" i="20"/>
  <c r="AD520" i="20"/>
  <c r="AK520" i="20"/>
  <c r="AF456" i="20"/>
  <c r="AE456" i="20"/>
  <c r="AD456" i="20"/>
  <c r="AD429" i="20"/>
  <c r="AF429" i="20"/>
  <c r="AE429" i="20"/>
  <c r="AD382" i="20"/>
  <c r="AF382" i="20"/>
  <c r="AF372" i="20"/>
  <c r="AD372" i="20"/>
  <c r="AE372" i="20"/>
  <c r="AL372" i="20"/>
  <c r="AM372" i="20"/>
  <c r="AI372" i="20"/>
  <c r="AF355" i="20"/>
  <c r="AD355" i="20"/>
  <c r="AD318" i="20"/>
  <c r="AF318" i="20"/>
  <c r="AF308" i="20"/>
  <c r="AD308" i="20"/>
  <c r="AK308" i="20"/>
  <c r="AF297" i="20"/>
  <c r="AD297" i="20"/>
  <c r="AE297" i="20"/>
  <c r="AK297" i="20"/>
  <c r="AF234" i="20"/>
  <c r="AD234" i="20"/>
  <c r="AF164" i="20"/>
  <c r="AD164" i="20"/>
  <c r="AF144" i="20"/>
  <c r="AK144" i="20"/>
  <c r="AF48" i="20"/>
  <c r="AD48" i="20"/>
  <c r="AF34" i="20"/>
  <c r="AD34" i="20"/>
  <c r="AQ34" i="20"/>
  <c r="AH34" i="20"/>
  <c r="AK34" i="20"/>
  <c r="AF30" i="20"/>
  <c r="AD30" i="20"/>
  <c r="AF536" i="20"/>
  <c r="AD536" i="20"/>
  <c r="AO536" i="20"/>
  <c r="AD482" i="20"/>
  <c r="AF482" i="20"/>
  <c r="AF472" i="20"/>
  <c r="AD472" i="20"/>
  <c r="AE472" i="20"/>
  <c r="AO472" i="20"/>
  <c r="AD437" i="20"/>
  <c r="AF437" i="20"/>
  <c r="AF388" i="20"/>
  <c r="AD388" i="20"/>
  <c r="AE388" i="20"/>
  <c r="AO388" i="20"/>
  <c r="AF377" i="20"/>
  <c r="AJ377" i="20"/>
  <c r="AP377" i="20"/>
  <c r="AF371" i="20"/>
  <c r="AD371" i="20"/>
  <c r="AD334" i="20"/>
  <c r="AF334" i="20"/>
  <c r="AF313" i="20"/>
  <c r="AD313" i="20"/>
  <c r="AH313" i="20"/>
  <c r="AF260" i="20"/>
  <c r="AD260" i="20"/>
  <c r="AF256" i="20"/>
  <c r="AD256" i="20"/>
  <c r="AF253" i="20"/>
  <c r="AD253" i="20"/>
  <c r="AE253" i="20"/>
  <c r="AF196" i="20"/>
  <c r="AD196" i="20"/>
  <c r="AF192" i="20"/>
  <c r="AI192" i="20"/>
  <c r="AF189" i="20"/>
  <c r="AD189" i="20"/>
  <c r="AN189" i="20"/>
  <c r="AM107" i="20"/>
  <c r="AF107" i="20"/>
  <c r="AF69" i="20"/>
  <c r="AD69" i="20"/>
  <c r="AG69" i="20"/>
  <c r="AF63" i="20"/>
  <c r="AM63" i="20"/>
  <c r="AD63" i="20"/>
  <c r="AQ63" i="20"/>
  <c r="AF53" i="20"/>
  <c r="AM53" i="20"/>
  <c r="AD53" i="20"/>
  <c r="AF401" i="20"/>
  <c r="AD401" i="20"/>
  <c r="AF379" i="20"/>
  <c r="AD379" i="20"/>
  <c r="AF363" i="20"/>
  <c r="AD363" i="20"/>
  <c r="AF347" i="20"/>
  <c r="AD347" i="20"/>
  <c r="AF337" i="20"/>
  <c r="AD337" i="20"/>
  <c r="AF321" i="20"/>
  <c r="AO321" i="20"/>
  <c r="AJ321" i="20"/>
  <c r="AF305" i="20"/>
  <c r="AD305" i="20"/>
  <c r="AF299" i="20"/>
  <c r="AD299" i="20"/>
  <c r="AF289" i="20"/>
  <c r="AD289" i="20"/>
  <c r="AF225" i="20"/>
  <c r="AC225" i="20"/>
  <c r="AF183" i="20"/>
  <c r="AD183" i="20"/>
  <c r="AF119" i="20"/>
  <c r="AD119" i="20"/>
  <c r="AE119" i="20"/>
  <c r="AF104" i="20"/>
  <c r="AD104" i="20"/>
  <c r="AF45" i="20"/>
  <c r="AD45" i="20"/>
  <c r="AF39" i="20"/>
  <c r="AD39" i="20"/>
  <c r="AM39" i="20"/>
  <c r="AD522" i="20"/>
  <c r="AM522" i="20"/>
  <c r="AF512" i="20"/>
  <c r="AD512" i="20"/>
  <c r="AF496" i="20"/>
  <c r="AP496" i="20"/>
  <c r="AF480" i="20"/>
  <c r="AD480" i="20"/>
  <c r="AI480" i="20"/>
  <c r="AD458" i="20"/>
  <c r="AJ458" i="20"/>
  <c r="AF396" i="20"/>
  <c r="AD396" i="20"/>
  <c r="AD374" i="20"/>
  <c r="AE374" i="20"/>
  <c r="AF364" i="20"/>
  <c r="AD364" i="20"/>
  <c r="AF348" i="20"/>
  <c r="AD348" i="20"/>
  <c r="AF277" i="20"/>
  <c r="AD277" i="20"/>
  <c r="AF274" i="20"/>
  <c r="AF268" i="20"/>
  <c r="AF248" i="20"/>
  <c r="AD248" i="20"/>
  <c r="AF245" i="20"/>
  <c r="AD245" i="20"/>
  <c r="AP245" i="20"/>
  <c r="AF242" i="20"/>
  <c r="AF233" i="20"/>
  <c r="AD233" i="20"/>
  <c r="AF213" i="20"/>
  <c r="AD213" i="20"/>
  <c r="AF204" i="20"/>
  <c r="AF201" i="20"/>
  <c r="AD201" i="20"/>
  <c r="AF172" i="20"/>
  <c r="AF156" i="20"/>
  <c r="AD156" i="20"/>
  <c r="AF90" i="20"/>
  <c r="AD90" i="20"/>
  <c r="AF87" i="20"/>
  <c r="AM87" i="20"/>
  <c r="AF40" i="20"/>
  <c r="AD40" i="20"/>
  <c r="AM40" i="20"/>
  <c r="AF26" i="20"/>
  <c r="AM26" i="20"/>
  <c r="AK26" i="20"/>
  <c r="AP26" i="20"/>
  <c r="AJ26" i="20"/>
  <c r="AF23" i="20"/>
  <c r="AN23" i="20"/>
  <c r="AP23" i="20"/>
  <c r="AO23" i="20"/>
  <c r="AC12" i="20"/>
  <c r="AH12" i="20"/>
  <c r="AP12" i="20"/>
  <c r="AF12" i="20"/>
  <c r="AJ12" i="20"/>
  <c r="AL12" i="20"/>
  <c r="AI440" i="20"/>
  <c r="AP424" i="20"/>
  <c r="AG161" i="20"/>
  <c r="AM37" i="20"/>
  <c r="AD55" i="20"/>
  <c r="AD58" i="20"/>
  <c r="AD74" i="20"/>
  <c r="AD80" i="20"/>
  <c r="AD136" i="20"/>
  <c r="AD146" i="20"/>
  <c r="AD151" i="20"/>
  <c r="AD173" i="20"/>
  <c r="AD205" i="20"/>
  <c r="AD217" i="20"/>
  <c r="AD231" i="20"/>
  <c r="AD237" i="20"/>
  <c r="AD263" i="20"/>
  <c r="AD303" i="20"/>
  <c r="AD295" i="20"/>
  <c r="AD314" i="20"/>
  <c r="AD335" i="20"/>
  <c r="AD346" i="20"/>
  <c r="AD375" i="20"/>
  <c r="AD402" i="20"/>
  <c r="AD410" i="20"/>
  <c r="AD436" i="20"/>
  <c r="AD438" i="20"/>
  <c r="AD452" i="20"/>
  <c r="AD448" i="20"/>
  <c r="AD486" i="20"/>
  <c r="AD526" i="20"/>
  <c r="AD14" i="20"/>
  <c r="AE14" i="20"/>
  <c r="AJ14" i="20"/>
  <c r="AO14" i="20"/>
  <c r="AK100" i="20"/>
  <c r="AQ165" i="20"/>
  <c r="AQ495" i="20"/>
  <c r="AQ141" i="20"/>
  <c r="AL503" i="20"/>
  <c r="AJ535" i="20"/>
  <c r="AL59" i="20"/>
  <c r="AO479" i="20"/>
  <c r="AD527" i="20"/>
  <c r="AF527" i="20"/>
  <c r="AQ527" i="20"/>
  <c r="AH527" i="20"/>
  <c r="AC527" i="20"/>
  <c r="AK527" i="20"/>
  <c r="AE527" i="20"/>
  <c r="AG527" i="20"/>
  <c r="AN527" i="20"/>
  <c r="AO527" i="20"/>
  <c r="AM527" i="20"/>
  <c r="AI527" i="20"/>
  <c r="AM511" i="20"/>
  <c r="AF511" i="20"/>
  <c r="AD511" i="20"/>
  <c r="AE511" i="20"/>
  <c r="AC511" i="20"/>
  <c r="AK511" i="20"/>
  <c r="AG511" i="20"/>
  <c r="AI511" i="20"/>
  <c r="AQ511" i="20"/>
  <c r="AN511" i="20"/>
  <c r="AP511" i="20"/>
  <c r="AH511" i="20"/>
  <c r="AD495" i="20"/>
  <c r="AF495" i="20"/>
  <c r="AE495" i="20"/>
  <c r="AI495" i="20"/>
  <c r="AK495" i="20"/>
  <c r="AG495" i="20"/>
  <c r="AH495" i="20"/>
  <c r="AN495" i="20"/>
  <c r="AO495" i="20"/>
  <c r="AL495" i="20"/>
  <c r="AC495" i="20"/>
  <c r="AC471" i="20"/>
  <c r="AE471" i="20"/>
  <c r="AQ471" i="20"/>
  <c r="AO471" i="20"/>
  <c r="AI471" i="20"/>
  <c r="AF471" i="20"/>
  <c r="AJ471" i="20"/>
  <c r="AP471" i="20"/>
  <c r="AM471" i="20"/>
  <c r="AN471" i="20"/>
  <c r="AK471" i="20"/>
  <c r="AD471" i="20"/>
  <c r="AL471" i="20"/>
  <c r="AH471" i="20"/>
  <c r="AH455" i="20"/>
  <c r="AO455" i="20"/>
  <c r="AM455" i="20"/>
  <c r="AG455" i="20"/>
  <c r="AE455" i="20"/>
  <c r="AC455" i="20"/>
  <c r="AL455" i="20"/>
  <c r="AF455" i="20"/>
  <c r="AD455" i="20"/>
  <c r="AP455" i="20"/>
  <c r="AQ455" i="20"/>
  <c r="AI455" i="20"/>
  <c r="AK455" i="20"/>
  <c r="AJ455" i="20"/>
  <c r="AF149" i="20"/>
  <c r="AD149" i="20"/>
  <c r="AM149" i="20"/>
  <c r="AI149" i="20"/>
  <c r="AH149" i="20"/>
  <c r="AE149" i="20"/>
  <c r="AC149" i="20"/>
  <c r="AN149" i="20"/>
  <c r="AO149" i="20"/>
  <c r="AP149" i="20"/>
  <c r="AJ149" i="20"/>
  <c r="AK149" i="20"/>
  <c r="AL149" i="20"/>
  <c r="AF132" i="20"/>
  <c r="AD132" i="20"/>
  <c r="AJ132" i="20"/>
  <c r="AE132" i="20"/>
  <c r="AP132" i="20"/>
  <c r="AH132" i="20"/>
  <c r="AQ132" i="20"/>
  <c r="AL132" i="20"/>
  <c r="AI132" i="20"/>
  <c r="AO132" i="20"/>
  <c r="AK132" i="20"/>
  <c r="AF116" i="20"/>
  <c r="AD116" i="20"/>
  <c r="AQ116" i="20"/>
  <c r="AE116" i="20"/>
  <c r="AG116" i="20"/>
  <c r="AM116" i="20"/>
  <c r="AO116" i="20"/>
  <c r="AH116" i="20"/>
  <c r="AP116" i="20"/>
  <c r="AJ116" i="20"/>
  <c r="AI116" i="20"/>
  <c r="AF100" i="20"/>
  <c r="AD100" i="20"/>
  <c r="AP100" i="20"/>
  <c r="AE100" i="20"/>
  <c r="AQ100" i="20"/>
  <c r="AH100" i="20"/>
  <c r="AI100" i="20"/>
  <c r="AG100" i="20"/>
  <c r="AL100" i="20"/>
  <c r="AM100" i="20"/>
  <c r="AO100" i="20"/>
  <c r="AF91" i="20"/>
  <c r="AM91" i="20"/>
  <c r="AP91" i="20"/>
  <c r="AN91" i="20"/>
  <c r="AD91" i="20"/>
  <c r="AH91" i="20"/>
  <c r="AO91" i="20"/>
  <c r="AQ91" i="20"/>
  <c r="AI91" i="20"/>
  <c r="AC91" i="20"/>
  <c r="AG91" i="20"/>
  <c r="AL91" i="20"/>
  <c r="AE91" i="20"/>
  <c r="AF83" i="20"/>
  <c r="AJ83" i="20"/>
  <c r="AH83" i="20"/>
  <c r="AD83" i="20"/>
  <c r="AK83" i="20"/>
  <c r="AN83" i="20"/>
  <c r="AL83" i="20"/>
  <c r="AG83" i="20"/>
  <c r="AO83" i="20"/>
  <c r="AQ83" i="20"/>
  <c r="AP83" i="20"/>
  <c r="AE83" i="20"/>
  <c r="AM83" i="20"/>
  <c r="AI83" i="20"/>
  <c r="AF67" i="20"/>
  <c r="AM67" i="20"/>
  <c r="AC67" i="20"/>
  <c r="AL67" i="20"/>
  <c r="AD67" i="20"/>
  <c r="AO67" i="20"/>
  <c r="AJ67" i="20"/>
  <c r="AK67" i="20"/>
  <c r="AI67" i="20"/>
  <c r="AN67" i="20"/>
  <c r="AQ67" i="20"/>
  <c r="AP67" i="20"/>
  <c r="AH67" i="20"/>
  <c r="AE67" i="20"/>
  <c r="AG67" i="20"/>
  <c r="AF51" i="20"/>
  <c r="AD51" i="20"/>
  <c r="AO51" i="20"/>
  <c r="AQ51" i="20"/>
  <c r="AM51" i="20"/>
  <c r="AN51" i="20"/>
  <c r="AG51" i="20"/>
  <c r="AP51" i="20"/>
  <c r="AK51" i="20"/>
  <c r="AJ51" i="20"/>
  <c r="AE51" i="20"/>
  <c r="AC51" i="20"/>
  <c r="AI51" i="20"/>
  <c r="AF27" i="20"/>
  <c r="AM27" i="20"/>
  <c r="AI27" i="20"/>
  <c r="AC27" i="20"/>
  <c r="AH27" i="20"/>
  <c r="AQ27" i="20"/>
  <c r="AG27" i="20"/>
  <c r="AL27" i="20"/>
  <c r="AD27" i="20"/>
  <c r="AE27" i="20"/>
  <c r="AN27" i="20"/>
  <c r="AO27" i="20"/>
  <c r="AJ27" i="20"/>
  <c r="AK27" i="20"/>
  <c r="AP27" i="20"/>
  <c r="AC83" i="20"/>
  <c r="AP75" i="20"/>
  <c r="AO108" i="20"/>
  <c r="AC116" i="20"/>
  <c r="AN132" i="20"/>
  <c r="AJ527" i="20"/>
  <c r="AL51" i="20"/>
  <c r="AG149" i="20"/>
  <c r="AH51" i="20"/>
  <c r="AK91" i="20"/>
  <c r="AF535" i="20"/>
  <c r="AD535" i="20"/>
  <c r="AG535" i="20"/>
  <c r="AK535" i="20"/>
  <c r="AE535" i="20"/>
  <c r="AQ535" i="20"/>
  <c r="AH535" i="20"/>
  <c r="AN535" i="20"/>
  <c r="AO535" i="20"/>
  <c r="AL535" i="20"/>
  <c r="AM535" i="20"/>
  <c r="AD519" i="20"/>
  <c r="AE519" i="20"/>
  <c r="AF519" i="20"/>
  <c r="AI519" i="20"/>
  <c r="AN519" i="20"/>
  <c r="AQ519" i="20"/>
  <c r="AK519" i="20"/>
  <c r="AM519" i="20"/>
  <c r="AC519" i="20"/>
  <c r="AH519" i="20"/>
  <c r="AP519" i="20"/>
  <c r="AG519" i="20"/>
  <c r="AD503" i="20"/>
  <c r="AF503" i="20"/>
  <c r="AC503" i="20"/>
  <c r="AJ503" i="20"/>
  <c r="AM503" i="20"/>
  <c r="AI503" i="20"/>
  <c r="AH503" i="20"/>
  <c r="AP503" i="20"/>
  <c r="AO503" i="20"/>
  <c r="AE503" i="20"/>
  <c r="AQ503" i="20"/>
  <c r="AG503" i="20"/>
  <c r="AM487" i="20"/>
  <c r="AF487" i="20"/>
  <c r="AP487" i="20"/>
  <c r="AJ487" i="20"/>
  <c r="AC487" i="20"/>
  <c r="AN487" i="20"/>
  <c r="AH487" i="20"/>
  <c r="AD487" i="20"/>
  <c r="AQ487" i="20"/>
  <c r="AO487" i="20"/>
  <c r="AL487" i="20"/>
  <c r="AI487" i="20"/>
  <c r="AE487" i="20"/>
  <c r="AG487" i="20"/>
  <c r="AF479" i="20"/>
  <c r="AD479" i="20"/>
  <c r="AK479" i="20"/>
  <c r="AE479" i="20"/>
  <c r="AL479" i="20"/>
  <c r="AN479" i="20"/>
  <c r="AM479" i="20"/>
  <c r="AI479" i="20"/>
  <c r="AJ479" i="20"/>
  <c r="AH479" i="20"/>
  <c r="AP479" i="20"/>
  <c r="AG479" i="20"/>
  <c r="AD463" i="20"/>
  <c r="AM463" i="20"/>
  <c r="AI463" i="20"/>
  <c r="AJ463" i="20"/>
  <c r="AO463" i="20"/>
  <c r="AF463" i="20"/>
  <c r="AE463" i="20"/>
  <c r="AN463" i="20"/>
  <c r="AQ463" i="20"/>
  <c r="AG463" i="20"/>
  <c r="AC463" i="20"/>
  <c r="AP463" i="20"/>
  <c r="AK463" i="20"/>
  <c r="AL463" i="20"/>
  <c r="AF165" i="20"/>
  <c r="AE165" i="20"/>
  <c r="AK165" i="20"/>
  <c r="AN165" i="20"/>
  <c r="AD165" i="20"/>
  <c r="AM165" i="20"/>
  <c r="AH165" i="20"/>
  <c r="AP165" i="20"/>
  <c r="AO165" i="20"/>
  <c r="AL165" i="20"/>
  <c r="AF157" i="20"/>
  <c r="AD157" i="20"/>
  <c r="AE157" i="20"/>
  <c r="AP157" i="20"/>
  <c r="AO157" i="20"/>
  <c r="AG157" i="20"/>
  <c r="AL157" i="20"/>
  <c r="AI157" i="20"/>
  <c r="AH157" i="20"/>
  <c r="AN157" i="20"/>
  <c r="AJ157" i="20"/>
  <c r="AC157" i="20"/>
  <c r="AQ157" i="20"/>
  <c r="AF141" i="20"/>
  <c r="AD141" i="20"/>
  <c r="AI141" i="20"/>
  <c r="AE141" i="20"/>
  <c r="AP141" i="20"/>
  <c r="AC141" i="20"/>
  <c r="AL141" i="20"/>
  <c r="AK141" i="20"/>
  <c r="AM141" i="20"/>
  <c r="AJ141" i="20"/>
  <c r="AO141" i="20"/>
  <c r="AN141" i="20"/>
  <c r="AF124" i="20"/>
  <c r="AM124" i="20"/>
  <c r="AE124" i="20"/>
  <c r="AK124" i="20"/>
  <c r="AD124" i="20"/>
  <c r="AQ124" i="20"/>
  <c r="AL124" i="20"/>
  <c r="AH124" i="20"/>
  <c r="AO124" i="20"/>
  <c r="AI124" i="20"/>
  <c r="AJ124" i="20"/>
  <c r="AP124" i="20"/>
  <c r="AC124" i="20"/>
  <c r="AF108" i="20"/>
  <c r="AM108" i="20"/>
  <c r="AP108" i="20"/>
  <c r="AN108" i="20"/>
  <c r="AD108" i="20"/>
  <c r="AQ108" i="20"/>
  <c r="AL108" i="20"/>
  <c r="AE108" i="20"/>
  <c r="AG108" i="20"/>
  <c r="AC108" i="20"/>
  <c r="AK108" i="20"/>
  <c r="AH108" i="20"/>
  <c r="AF75" i="20"/>
  <c r="AD75" i="20"/>
  <c r="AM75" i="20"/>
  <c r="AE75" i="20"/>
  <c r="AH75" i="20"/>
  <c r="AG75" i="20"/>
  <c r="AQ75" i="20"/>
  <c r="AI75" i="20"/>
  <c r="AO75" i="20"/>
  <c r="AN75" i="20"/>
  <c r="AJ75" i="20"/>
  <c r="AF59" i="20"/>
  <c r="AD59" i="20"/>
  <c r="AM59" i="20"/>
  <c r="AC59" i="20"/>
  <c r="AJ59" i="20"/>
  <c r="AH59" i="20"/>
  <c r="AP59" i="20"/>
  <c r="AK59" i="20"/>
  <c r="AN59" i="20"/>
  <c r="AO59" i="20"/>
  <c r="AQ59" i="20"/>
  <c r="AF43" i="20"/>
  <c r="C62" i="37" s="1"/>
  <c r="AM43" i="20"/>
  <c r="H62" i="37" s="1"/>
  <c r="AJ43" i="20"/>
  <c r="G62" i="37" s="1"/>
  <c r="AD43" i="20"/>
  <c r="M62" i="37" s="1"/>
  <c r="AE43" i="20"/>
  <c r="AG43" i="20"/>
  <c r="D62" i="37" s="1"/>
  <c r="AC43" i="20"/>
  <c r="AK43" i="20"/>
  <c r="AL43" i="20"/>
  <c r="AP43" i="20"/>
  <c r="K62" i="37" s="1"/>
  <c r="AN43" i="20"/>
  <c r="I62" i="37" s="1"/>
  <c r="AI43" i="20"/>
  <c r="F62" i="37" s="1"/>
  <c r="AO43" i="20"/>
  <c r="J62" i="37" s="1"/>
  <c r="AQ43" i="20"/>
  <c r="L62" i="37" s="1"/>
  <c r="AF35" i="20"/>
  <c r="AJ35" i="20"/>
  <c r="AK35" i="20"/>
  <c r="AP35" i="20"/>
  <c r="AD35" i="20"/>
  <c r="AM35" i="20"/>
  <c r="AE35" i="20"/>
  <c r="AN35" i="20"/>
  <c r="AO35" i="20"/>
  <c r="AQ35" i="20"/>
  <c r="AG35" i="20"/>
  <c r="AL35" i="20"/>
  <c r="AI35" i="20"/>
  <c r="AH35" i="20"/>
  <c r="AC35" i="20"/>
  <c r="AF19" i="20"/>
  <c r="AD19" i="20"/>
  <c r="AI19" i="20"/>
  <c r="AC19" i="20"/>
  <c r="AH19" i="20"/>
  <c r="AM19" i="20"/>
  <c r="AG19" i="20"/>
  <c r="AL19" i="20"/>
  <c r="AE19" i="20"/>
  <c r="AN19" i="20"/>
  <c r="AO19" i="20"/>
  <c r="AJ19" i="20"/>
  <c r="AP19" i="20"/>
  <c r="AK19" i="20"/>
  <c r="AQ19" i="20"/>
  <c r="AG59" i="20"/>
  <c r="AG471" i="20"/>
  <c r="AM132" i="20"/>
  <c r="AI108" i="20"/>
  <c r="AL511" i="20"/>
  <c r="AN100" i="20"/>
  <c r="AG124" i="20"/>
  <c r="AI165" i="20"/>
  <c r="AM495" i="20"/>
  <c r="AJ511" i="20"/>
  <c r="AC535" i="20"/>
  <c r="AK116" i="20"/>
  <c r="AK487" i="20"/>
  <c r="AO519" i="20"/>
  <c r="AD537" i="20"/>
  <c r="AF537" i="20"/>
  <c r="AJ537" i="20"/>
  <c r="AC537" i="20"/>
  <c r="AN537" i="20"/>
  <c r="AH537" i="20"/>
  <c r="AL537" i="20"/>
  <c r="AO537" i="20"/>
  <c r="AK537" i="20"/>
  <c r="AJ529" i="20"/>
  <c r="AF529" i="20"/>
  <c r="AH529" i="20"/>
  <c r="AQ529" i="20"/>
  <c r="AE529" i="20"/>
  <c r="AD529" i="20"/>
  <c r="AO529" i="20"/>
  <c r="AC529" i="20"/>
  <c r="AM529" i="20"/>
  <c r="AD521" i="20"/>
  <c r="AF521" i="20"/>
  <c r="AG521" i="20"/>
  <c r="AO521" i="20"/>
  <c r="AE521" i="20"/>
  <c r="AJ521" i="20"/>
  <c r="AI521" i="20"/>
  <c r="AP521" i="20"/>
  <c r="AF513" i="20"/>
  <c r="AE513" i="20"/>
  <c r="AD513" i="20"/>
  <c r="AQ513" i="20"/>
  <c r="AK513" i="20"/>
  <c r="AN513" i="20"/>
  <c r="AC513" i="20"/>
  <c r="AI513" i="20"/>
  <c r="AL505" i="20"/>
  <c r="AF505" i="20"/>
  <c r="AD505" i="20"/>
  <c r="AM505" i="20"/>
  <c r="AO505" i="20"/>
  <c r="AE505" i="20"/>
  <c r="AC505" i="20"/>
  <c r="AI505" i="20"/>
  <c r="AG505" i="20"/>
  <c r="AE497" i="20"/>
  <c r="AF497" i="20"/>
  <c r="AD497" i="20"/>
  <c r="AP497" i="20"/>
  <c r="AH497" i="20"/>
  <c r="AM497" i="20"/>
  <c r="AO497" i="20"/>
  <c r="AI497" i="20"/>
  <c r="AN489" i="20"/>
  <c r="AE489" i="20"/>
  <c r="AJ489" i="20"/>
  <c r="AF489" i="20"/>
  <c r="AD489" i="20"/>
  <c r="AM489" i="20"/>
  <c r="AG489" i="20"/>
  <c r="AE481" i="20"/>
  <c r="AD481" i="20"/>
  <c r="AP481" i="20"/>
  <c r="AO481" i="20"/>
  <c r="AF481" i="20"/>
  <c r="AG481" i="20"/>
  <c r="AQ481" i="20"/>
  <c r="AI481" i="20"/>
  <c r="AJ481" i="20"/>
  <c r="AC481" i="20"/>
  <c r="AH481" i="20"/>
  <c r="AL481" i="20"/>
  <c r="AD473" i="20"/>
  <c r="AL473" i="20"/>
  <c r="AF473" i="20"/>
  <c r="AN473" i="20"/>
  <c r="AG473" i="20"/>
  <c r="AI473" i="20"/>
  <c r="AK473" i="20"/>
  <c r="AE473" i="20"/>
  <c r="AF465" i="20"/>
  <c r="AD465" i="20"/>
  <c r="AJ465" i="20"/>
  <c r="AM465" i="20"/>
  <c r="AC465" i="20"/>
  <c r="AK465" i="20"/>
  <c r="AH465" i="20"/>
  <c r="AE465" i="20"/>
  <c r="AI465" i="20"/>
  <c r="AG465" i="20"/>
  <c r="AN465" i="20"/>
  <c r="AM457" i="20"/>
  <c r="AD457" i="20"/>
  <c r="AN457" i="20"/>
  <c r="AF457" i="20"/>
  <c r="AJ457" i="20"/>
  <c r="AO457" i="20"/>
  <c r="AP457" i="20"/>
  <c r="AL457" i="20"/>
  <c r="AI457" i="20"/>
  <c r="AK457" i="20"/>
  <c r="AG457" i="20"/>
  <c r="AD533" i="20"/>
  <c r="AF533" i="20"/>
  <c r="AL533" i="20"/>
  <c r="AD525" i="20"/>
  <c r="AE525" i="20"/>
  <c r="AF525" i="20"/>
  <c r="AF517" i="20"/>
  <c r="AI517" i="20"/>
  <c r="AD509" i="20"/>
  <c r="AF509" i="20"/>
  <c r="AF501" i="20"/>
  <c r="AD501" i="20"/>
  <c r="AF493" i="20"/>
  <c r="AD493" i="20"/>
  <c r="AL485" i="20"/>
  <c r="AP485" i="20"/>
  <c r="AE485" i="20"/>
  <c r="AF485" i="20"/>
  <c r="AD485" i="20"/>
  <c r="AN485" i="20"/>
  <c r="AM485" i="20"/>
  <c r="AD477" i="20"/>
  <c r="AI477" i="20"/>
  <c r="AF477" i="20"/>
  <c r="AM477" i="20"/>
  <c r="AD469" i="20"/>
  <c r="AM469" i="20"/>
  <c r="AN469" i="20"/>
  <c r="AF469" i="20"/>
  <c r="AH469" i="20"/>
  <c r="AD461" i="20"/>
  <c r="AP461" i="20"/>
  <c r="AK461" i="20"/>
  <c r="AF461" i="20"/>
  <c r="AG461" i="20"/>
  <c r="AF531" i="20"/>
  <c r="AE531" i="20"/>
  <c r="AF523" i="20"/>
  <c r="AD523" i="20"/>
  <c r="AC523" i="20"/>
  <c r="AO523" i="20"/>
  <c r="AD515" i="20"/>
  <c r="AF515" i="20"/>
  <c r="AN515" i="20"/>
  <c r="AD507" i="20"/>
  <c r="AF507" i="20"/>
  <c r="AD499" i="20"/>
  <c r="AF499" i="20"/>
  <c r="AF491" i="20"/>
  <c r="AI491" i="20"/>
  <c r="AH491" i="20"/>
  <c r="AP491" i="20"/>
  <c r="AM483" i="20"/>
  <c r="AF483" i="20"/>
  <c r="AC483" i="20"/>
  <c r="AE483" i="20"/>
  <c r="AO475" i="20"/>
  <c r="AE475" i="20"/>
  <c r="AF475" i="20"/>
  <c r="AK475" i="20"/>
  <c r="AC475" i="20"/>
  <c r="AG467" i="20"/>
  <c r="AM467" i="20"/>
  <c r="AN467" i="20"/>
  <c r="AF467" i="20"/>
  <c r="AD467" i="20"/>
  <c r="AE467" i="20"/>
  <c r="AM459" i="20"/>
  <c r="AN459" i="20"/>
  <c r="AC459" i="20"/>
  <c r="AL459" i="20"/>
  <c r="AG459" i="20"/>
  <c r="AE459" i="20"/>
  <c r="AI459" i="20"/>
  <c r="AF459" i="20"/>
  <c r="AD459" i="20"/>
  <c r="AJ459" i="20"/>
  <c r="AH459" i="20"/>
  <c r="AO459" i="20"/>
  <c r="AD11" i="20"/>
  <c r="AF11" i="20"/>
  <c r="AH11" i="20"/>
  <c r="AJ11" i="20"/>
  <c r="AL11" i="20"/>
  <c r="AN11" i="20"/>
  <c r="AP11" i="20"/>
  <c r="AC11" i="20"/>
  <c r="AE11" i="20"/>
  <c r="AG11" i="20"/>
  <c r="AI11" i="20"/>
  <c r="AK11" i="20"/>
  <c r="AM11" i="20"/>
  <c r="AO11" i="20"/>
  <c r="AQ11" i="20"/>
  <c r="AP14" i="20"/>
  <c r="AL14" i="20"/>
  <c r="AH14" i="20"/>
  <c r="AQ12" i="20"/>
  <c r="AO12" i="20"/>
  <c r="AM12" i="20"/>
  <c r="AK12" i="20"/>
  <c r="AI12" i="20"/>
  <c r="AG12" i="20"/>
  <c r="AE12" i="20"/>
  <c r="AJ10" i="14"/>
  <c r="AJ11" i="14"/>
  <c r="AJ53" i="14"/>
  <c r="AJ14" i="14"/>
  <c r="AJ29" i="14"/>
  <c r="AJ27" i="14"/>
  <c r="AJ15" i="14"/>
  <c r="AJ20" i="14"/>
  <c r="AJ8" i="14"/>
  <c r="H8" i="36"/>
  <c r="J8" i="36" s="1"/>
  <c r="AJ23" i="14"/>
  <c r="AJ22" i="14"/>
  <c r="AJ19" i="14"/>
  <c r="AJ51" i="14"/>
  <c r="AJ17" i="14"/>
  <c r="H6" i="36"/>
  <c r="U93" i="19"/>
  <c r="H9" i="36"/>
  <c r="H10" i="36"/>
  <c r="H7" i="36"/>
  <c r="G54" i="37" l="1"/>
  <c r="H49" i="37"/>
  <c r="E56" i="37"/>
  <c r="D49" i="37"/>
  <c r="E61" i="37"/>
  <c r="G49" i="37"/>
  <c r="AB20" i="37"/>
  <c r="E49" i="37"/>
  <c r="I49" i="37"/>
  <c r="F50" i="37"/>
  <c r="I60" i="37"/>
  <c r="H19" i="37"/>
  <c r="L19" i="37"/>
  <c r="E18" i="37"/>
  <c r="D61" i="37"/>
  <c r="J23" i="36"/>
  <c r="I23" i="36"/>
  <c r="E17" i="43"/>
  <c r="E12" i="43"/>
  <c r="E15" i="43"/>
  <c r="F55" i="37"/>
  <c r="L61" i="37"/>
  <c r="F49" i="37"/>
  <c r="J49" i="37"/>
  <c r="E60" i="37"/>
  <c r="C61" i="37"/>
  <c r="E55" i="37"/>
  <c r="K18" i="37"/>
  <c r="F18" i="37"/>
  <c r="J50" i="37"/>
  <c r="E50" i="37"/>
  <c r="H60" i="37"/>
  <c r="J21" i="37"/>
  <c r="M21" i="37"/>
  <c r="L54" i="37"/>
  <c r="I54" i="37"/>
  <c r="K56" i="37"/>
  <c r="M61" i="37"/>
  <c r="L49" i="37"/>
  <c r="AS36" i="40"/>
  <c r="E18" i="43"/>
  <c r="E19" i="43"/>
  <c r="E14" i="43"/>
  <c r="J13" i="43"/>
  <c r="E16" i="43"/>
  <c r="E21" i="43"/>
  <c r="AM17" i="40"/>
  <c r="E20" i="43"/>
  <c r="J21" i="43"/>
  <c r="J18" i="43"/>
  <c r="J16" i="43"/>
  <c r="AM36" i="40"/>
  <c r="J12" i="43"/>
  <c r="J15" i="43"/>
  <c r="Z8" i="72"/>
  <c r="L20" i="40"/>
  <c r="L25" i="40" s="1"/>
  <c r="J14" i="43"/>
  <c r="J19" i="43"/>
  <c r="J17" i="43"/>
  <c r="AK28" i="37"/>
  <c r="AM28" i="37"/>
  <c r="D50" i="37"/>
  <c r="AE28" i="37"/>
  <c r="AG28" i="37"/>
  <c r="G57" i="37"/>
  <c r="AH28" i="37"/>
  <c r="I55" i="37"/>
  <c r="D18" i="37"/>
  <c r="D55" i="37"/>
  <c r="K57" i="37"/>
  <c r="D56" i="37"/>
  <c r="AI28" i="37"/>
  <c r="K55" i="37"/>
  <c r="D21" i="37"/>
  <c r="L18" i="37"/>
  <c r="AL28" i="37"/>
  <c r="AC17" i="37"/>
  <c r="AN28" i="37"/>
  <c r="J55" i="37"/>
  <c r="K49" i="37"/>
  <c r="AG30" i="37"/>
  <c r="K60" i="37"/>
  <c r="AC20" i="37"/>
  <c r="I19" i="37"/>
  <c r="M54" i="37"/>
  <c r="M55" i="37"/>
  <c r="AJ28" i="37"/>
  <c r="AB18" i="37"/>
  <c r="AH17" i="37"/>
  <c r="I57" i="37"/>
  <c r="I50" i="37"/>
  <c r="C50" i="37"/>
  <c r="J60" i="37"/>
  <c r="M60" i="37"/>
  <c r="C60" i="37"/>
  <c r="AK30" i="37"/>
  <c r="AF18" i="37"/>
  <c r="AD28" i="37"/>
  <c r="J54" i="37"/>
  <c r="C54" i="37"/>
  <c r="L57" i="37"/>
  <c r="D19" i="37"/>
  <c r="AD30" i="37"/>
  <c r="AL17" i="37"/>
  <c r="AH30" i="37"/>
  <c r="D54" i="37"/>
  <c r="F56" i="37"/>
  <c r="D57" i="37"/>
  <c r="H61" i="37"/>
  <c r="AL18" i="37"/>
  <c r="AJ17" i="37"/>
  <c r="G60" i="37"/>
  <c r="AI30" i="37"/>
  <c r="AJ30" i="37"/>
  <c r="K54" i="37"/>
  <c r="E54" i="37"/>
  <c r="I56" i="37"/>
  <c r="F57" i="37"/>
  <c r="G56" i="37"/>
  <c r="AC18" i="37"/>
  <c r="F19" i="37"/>
  <c r="M49" i="37"/>
  <c r="AE17" i="37"/>
  <c r="AM29" i="37"/>
  <c r="C56" i="37"/>
  <c r="E57" i="37"/>
  <c r="C19" i="37"/>
  <c r="D60" i="37"/>
  <c r="AG18" i="37"/>
  <c r="AK29" i="37"/>
  <c r="AE18" i="37"/>
  <c r="AG20" i="37"/>
  <c r="G21" i="37"/>
  <c r="M56" i="37"/>
  <c r="J19" i="37"/>
  <c r="E19" i="37"/>
  <c r="G50" i="37"/>
  <c r="K59" i="37"/>
  <c r="H21" i="37"/>
  <c r="M18" i="37"/>
  <c r="J18" i="37"/>
  <c r="K19" i="37"/>
  <c r="AF17" i="37"/>
  <c r="AH29" i="37"/>
  <c r="M59" i="37"/>
  <c r="L56" i="37"/>
  <c r="AE30" i="37"/>
  <c r="G55" i="37"/>
  <c r="AE20" i="37"/>
  <c r="AG17" i="37"/>
  <c r="AH20" i="37"/>
  <c r="G19" i="37"/>
  <c r="F54" i="37"/>
  <c r="AD17" i="37"/>
  <c r="AH18" i="37"/>
  <c r="M19" i="37"/>
  <c r="L55" i="37"/>
  <c r="G18" i="37"/>
  <c r="AC28" i="37"/>
  <c r="C55" i="37"/>
  <c r="AA18" i="37"/>
  <c r="H58" i="37"/>
  <c r="K20" i="37"/>
  <c r="AC19" i="37"/>
  <c r="AG19" i="37"/>
  <c r="AB17" i="37"/>
  <c r="M50" i="37"/>
  <c r="F60" i="37"/>
  <c r="L60" i="37"/>
  <c r="AK18" i="37"/>
  <c r="H55" i="37"/>
  <c r="H54" i="37"/>
  <c r="AJ18" i="37"/>
  <c r="C49" i="37"/>
  <c r="AD18" i="37"/>
  <c r="AF28" i="37"/>
  <c r="AI18" i="37"/>
  <c r="AL29" i="37"/>
  <c r="J20" i="37"/>
  <c r="AJ19" i="37"/>
  <c r="J59" i="37"/>
  <c r="I21" i="37"/>
  <c r="AF20" i="37"/>
  <c r="H63" i="37"/>
  <c r="AH21" i="37"/>
  <c r="AJ31" i="37"/>
  <c r="K17" i="43"/>
  <c r="H22" i="37"/>
  <c r="AG21" i="37"/>
  <c r="AI31" i="37"/>
  <c r="L58" i="37"/>
  <c r="D59" i="37"/>
  <c r="AD29" i="37"/>
  <c r="D20" i="37"/>
  <c r="AB19" i="37"/>
  <c r="AF21" i="37"/>
  <c r="AH31" i="37"/>
  <c r="G22" i="37"/>
  <c r="AE21" i="37"/>
  <c r="K16" i="43"/>
  <c r="G63" i="37"/>
  <c r="AG31" i="37"/>
  <c r="F21" i="37"/>
  <c r="AF30" i="37"/>
  <c r="AD20" i="37"/>
  <c r="AE29" i="37"/>
  <c r="M58" i="37"/>
  <c r="C58" i="37"/>
  <c r="G59" i="37"/>
  <c r="AE19" i="37"/>
  <c r="AG29" i="37"/>
  <c r="G20" i="37"/>
  <c r="I59" i="37"/>
  <c r="AI19" i="37"/>
  <c r="L63" i="37"/>
  <c r="L22" i="37"/>
  <c r="AL21" i="37"/>
  <c r="AN31" i="37"/>
  <c r="K20" i="43"/>
  <c r="AF31" i="37"/>
  <c r="F63" i="37"/>
  <c r="AD21" i="37"/>
  <c r="F22" i="37"/>
  <c r="K15" i="43"/>
  <c r="K63" i="37"/>
  <c r="AK21" i="37"/>
  <c r="K22" i="37"/>
  <c r="AM31" i="37"/>
  <c r="K14" i="43"/>
  <c r="E63" i="37"/>
  <c r="E22" i="37"/>
  <c r="AE31" i="37"/>
  <c r="AC21" i="37"/>
  <c r="M20" i="37"/>
  <c r="L50" i="37"/>
  <c r="K50" i="37"/>
  <c r="H50" i="37"/>
  <c r="J58" i="37"/>
  <c r="F20" i="37"/>
  <c r="AD19" i="37"/>
  <c r="AF29" i="37"/>
  <c r="F59" i="37"/>
  <c r="AF19" i="37"/>
  <c r="H59" i="37"/>
  <c r="AJ29" i="37"/>
  <c r="H20" i="37"/>
  <c r="AH19" i="37"/>
  <c r="C20" i="37"/>
  <c r="C59" i="37"/>
  <c r="AA19" i="37"/>
  <c r="AC29" i="37"/>
  <c r="J56" i="37"/>
  <c r="H57" i="37"/>
  <c r="M57" i="37"/>
  <c r="H18" i="37"/>
  <c r="AI29" i="37"/>
  <c r="AK17" i="37"/>
  <c r="M22" i="37"/>
  <c r="K21" i="43"/>
  <c r="M63" i="37"/>
  <c r="AI17" i="37"/>
  <c r="I18" i="37"/>
  <c r="K21" i="37"/>
  <c r="AM30" i="37"/>
  <c r="AK20" i="37"/>
  <c r="E20" i="37"/>
  <c r="E59" i="37"/>
  <c r="G58" i="37"/>
  <c r="E58" i="37"/>
  <c r="J57" i="37"/>
  <c r="E21" i="37"/>
  <c r="AL20" i="37"/>
  <c r="L21" i="37"/>
  <c r="AN30" i="37"/>
  <c r="J63" i="37"/>
  <c r="J22" i="37"/>
  <c r="AJ21" i="37"/>
  <c r="AL31" i="37"/>
  <c r="K19" i="43"/>
  <c r="AD31" i="37"/>
  <c r="AB21" i="37"/>
  <c r="K13" i="43"/>
  <c r="D63" i="37"/>
  <c r="D22" i="37"/>
  <c r="AI21" i="37"/>
  <c r="I63" i="37"/>
  <c r="I22" i="37"/>
  <c r="AK31" i="37"/>
  <c r="K18" i="43"/>
  <c r="C22" i="37"/>
  <c r="K12" i="43"/>
  <c r="AC31" i="37"/>
  <c r="C63" i="37"/>
  <c r="AA21" i="37"/>
  <c r="C18" i="37"/>
  <c r="AA17" i="37"/>
  <c r="AI20" i="37"/>
  <c r="I20" i="37"/>
  <c r="AL30" i="37"/>
  <c r="AJ20" i="37"/>
  <c r="C21" i="37"/>
  <c r="AC30" i="37"/>
  <c r="AA20" i="37"/>
  <c r="K58" i="37"/>
  <c r="I58" i="37"/>
  <c r="D58" i="37"/>
  <c r="F58" i="37"/>
  <c r="AK19" i="37"/>
  <c r="L20" i="37"/>
  <c r="L59" i="37"/>
  <c r="AL19" i="37"/>
  <c r="AN29" i="37"/>
  <c r="H56" i="37"/>
  <c r="C57" i="37"/>
  <c r="I8" i="36"/>
  <c r="L8" i="36" s="1"/>
  <c r="N10" i="62" s="1"/>
  <c r="K8" i="36"/>
  <c r="I7" i="36"/>
  <c r="K7" i="36"/>
  <c r="J7" i="36"/>
  <c r="H11" i="36"/>
  <c r="K6" i="36"/>
  <c r="J6" i="36"/>
  <c r="I6" i="36"/>
  <c r="I10" i="36"/>
  <c r="K10" i="36"/>
  <c r="J10" i="36"/>
  <c r="J9" i="36"/>
  <c r="K9" i="36"/>
  <c r="I9" i="36"/>
  <c r="L18" i="43" l="1"/>
  <c r="M10" i="62"/>
  <c r="O10" i="62" s="1"/>
  <c r="AA6" i="72" s="1"/>
  <c r="F23" i="37"/>
  <c r="F15" i="43" s="1"/>
  <c r="G15" i="43" s="1"/>
  <c r="AK32" i="37"/>
  <c r="D23" i="37"/>
  <c r="F13" i="43" s="1"/>
  <c r="G13" i="43" s="1"/>
  <c r="AE32" i="37"/>
  <c r="AL22" i="37"/>
  <c r="H23" i="37"/>
  <c r="F17" i="43" s="1"/>
  <c r="H17" i="43" s="1"/>
  <c r="I17" i="43" s="1"/>
  <c r="AF22" i="37"/>
  <c r="AG32" i="37"/>
  <c r="D65" i="37"/>
  <c r="M23" i="37"/>
  <c r="F21" i="43" s="1"/>
  <c r="H21" i="43" s="1"/>
  <c r="I21" i="43" s="1"/>
  <c r="AC22" i="37"/>
  <c r="AH32" i="37"/>
  <c r="J23" i="37"/>
  <c r="F19" i="43" s="1"/>
  <c r="H19" i="43" s="1"/>
  <c r="I19" i="43" s="1"/>
  <c r="AH22" i="37"/>
  <c r="AN32" i="37"/>
  <c r="AE22" i="37"/>
  <c r="AI32" i="37"/>
  <c r="AD32" i="37"/>
  <c r="E65" i="37"/>
  <c r="M65" i="37"/>
  <c r="C65" i="37"/>
  <c r="I65" i="37"/>
  <c r="J65" i="37"/>
  <c r="AD22" i="37"/>
  <c r="AM32" i="37"/>
  <c r="L23" i="37"/>
  <c r="F20" i="43" s="1"/>
  <c r="H20" i="43" s="1"/>
  <c r="I20" i="43" s="1"/>
  <c r="G23" i="37"/>
  <c r="F16" i="43" s="1"/>
  <c r="G16" i="43" s="1"/>
  <c r="AG22" i="37"/>
  <c r="AC32" i="37"/>
  <c r="L65" i="37"/>
  <c r="AB22" i="37"/>
  <c r="AJ22" i="37"/>
  <c r="F65" i="37"/>
  <c r="G65" i="37"/>
  <c r="I23" i="37"/>
  <c r="F18" i="43" s="1"/>
  <c r="H18" i="43" s="1"/>
  <c r="I18" i="43" s="1"/>
  <c r="M13" i="43"/>
  <c r="N13" i="43" s="1"/>
  <c r="L13" i="43"/>
  <c r="M21" i="43"/>
  <c r="N21" i="43" s="1"/>
  <c r="L21" i="43"/>
  <c r="K65" i="37"/>
  <c r="L15" i="43"/>
  <c r="M15" i="43"/>
  <c r="N15" i="43" s="1"/>
  <c r="L17" i="43"/>
  <c r="M17" i="43"/>
  <c r="N17" i="43" s="1"/>
  <c r="AL32" i="37"/>
  <c r="M18" i="43"/>
  <c r="N18" i="43" s="1"/>
  <c r="L20" i="43"/>
  <c r="M20" i="43"/>
  <c r="N20" i="43" s="1"/>
  <c r="L16" i="43"/>
  <c r="M16" i="43"/>
  <c r="N16" i="43" s="1"/>
  <c r="AA22" i="37"/>
  <c r="AI22" i="37"/>
  <c r="AK22" i="37"/>
  <c r="C23" i="37"/>
  <c r="F12" i="43" s="1"/>
  <c r="M12" i="43"/>
  <c r="N12" i="43" s="1"/>
  <c r="L12" i="43"/>
  <c r="L19" i="43"/>
  <c r="M19" i="43"/>
  <c r="N19" i="43" s="1"/>
  <c r="E23" i="37"/>
  <c r="F14" i="43" s="1"/>
  <c r="AJ32" i="37"/>
  <c r="AF32" i="37"/>
  <c r="H65" i="37"/>
  <c r="L14" i="43"/>
  <c r="M14" i="43"/>
  <c r="N14" i="43" s="1"/>
  <c r="L7" i="36"/>
  <c r="N9" i="62" s="1"/>
  <c r="M9" i="62"/>
  <c r="M13" i="62"/>
  <c r="L10" i="36"/>
  <c r="N13" i="62" s="1"/>
  <c r="I11" i="36"/>
  <c r="K11" i="36"/>
  <c r="J11" i="36"/>
  <c r="M11" i="62"/>
  <c r="L9" i="36"/>
  <c r="N11" i="62" s="1"/>
  <c r="M8" i="62"/>
  <c r="L6" i="36"/>
  <c r="N8" i="62" s="1"/>
  <c r="G17" i="43" l="1"/>
  <c r="H15" i="43"/>
  <c r="I15" i="43" s="1"/>
  <c r="H13" i="43"/>
  <c r="I13" i="43" s="1"/>
  <c r="G18" i="43"/>
  <c r="H16" i="43"/>
  <c r="I16" i="43" s="1"/>
  <c r="G21" i="43"/>
  <c r="G19" i="43"/>
  <c r="G20" i="43"/>
  <c r="G14" i="43"/>
  <c r="H14" i="43"/>
  <c r="I14" i="43" s="1"/>
  <c r="G12" i="43"/>
  <c r="H12" i="43"/>
  <c r="I12" i="43" s="1"/>
  <c r="O11" i="62"/>
  <c r="AA9" i="72" s="1"/>
  <c r="O13" i="62"/>
  <c r="AA12" i="72" s="1"/>
  <c r="O9" i="62"/>
  <c r="AA4" i="72" s="1"/>
  <c r="O8" i="62"/>
  <c r="AA3" i="72" s="1"/>
  <c r="M14" i="62"/>
  <c r="L11" i="36"/>
  <c r="N14" i="62" s="1"/>
  <c r="O14" i="62" l="1"/>
</calcChain>
</file>

<file path=xl/comments1.xml><?xml version="1.0" encoding="utf-8"?>
<comments xmlns="http://schemas.openxmlformats.org/spreadsheetml/2006/main">
  <authors>
    <author>Tin Moe Htwe</author>
  </authors>
  <commentList>
    <comment ref="I19" authorId="0" shapeId="0">
      <text>
        <r>
          <rPr>
            <sz val="9"/>
            <color indexed="81"/>
            <rFont val="Tahoma"/>
            <family val="2"/>
          </rPr>
          <t xml:space="preserve">Shelter: Fire destroyed 6 LH in Nov, 2017. RSG plan to build 50 IH after fire incident.
</t>
        </r>
      </text>
    </comment>
    <comment ref="I20" authorId="0" shapeId="0">
      <text>
        <r>
          <rPr>
            <sz val="9"/>
            <color indexed="81"/>
            <rFont val="Tahoma"/>
            <family val="2"/>
          </rPr>
          <t xml:space="preserve">Shelter: IDP dismantle 16 LH in Jan, 2018 to self build of IH.
</t>
        </r>
      </text>
    </comment>
  </commentList>
</comments>
</file>

<file path=xl/sharedStrings.xml><?xml version="1.0" encoding="utf-8"?>
<sst xmlns="http://schemas.openxmlformats.org/spreadsheetml/2006/main" count="10668" uniqueCount="1169">
  <si>
    <t>TOWNSHIP_NAME</t>
  </si>
  <si>
    <t>Township</t>
  </si>
  <si>
    <t>Longitude</t>
  </si>
  <si>
    <t>Latitude</t>
  </si>
  <si>
    <t>HH</t>
  </si>
  <si>
    <t>Total</t>
  </si>
  <si>
    <t>Kachin</t>
  </si>
  <si>
    <t>Rakhine</t>
  </si>
  <si>
    <t>P_Code</t>
  </si>
  <si>
    <t>Camp Name</t>
  </si>
  <si>
    <t>State</t>
  </si>
  <si>
    <t>Minbya</t>
  </si>
  <si>
    <t>Mrauk_U</t>
  </si>
  <si>
    <t>Pauktaw</t>
  </si>
  <si>
    <t>Kyauktaw</t>
  </si>
  <si>
    <t>Rathedaung</t>
  </si>
  <si>
    <t>Ramree</t>
  </si>
  <si>
    <t>Sittwe</t>
  </si>
  <si>
    <t>Maungdaw</t>
  </si>
  <si>
    <t>Collective Center</t>
  </si>
  <si>
    <t>Planned Camp</t>
  </si>
  <si>
    <t>Self Settled Camp</t>
  </si>
  <si>
    <t>Type of Accomodation</t>
  </si>
  <si>
    <t>Paik Thay</t>
  </si>
  <si>
    <t>Tha Dar</t>
  </si>
  <si>
    <t>San Htoe Tan</t>
  </si>
  <si>
    <t>Nagara Pauktaw</t>
  </si>
  <si>
    <t>Tha Yet Oak</t>
  </si>
  <si>
    <t>Aung Taing</t>
  </si>
  <si>
    <t>Thay Kan</t>
  </si>
  <si>
    <t>Sam Ba Le</t>
  </si>
  <si>
    <t>Pa Rein</t>
  </si>
  <si>
    <t>Yai Thei-Muslim</t>
  </si>
  <si>
    <t>Myat Buddha Mandine Monastery</t>
  </si>
  <si>
    <t>Raw Ma Ni Sin Oe</t>
  </si>
  <si>
    <t>Kan Thar Htwat Wa</t>
  </si>
  <si>
    <t xml:space="preserve">Taung Paw </t>
  </si>
  <si>
    <t>Ba Wan Chaung Wa Su</t>
  </si>
  <si>
    <t>Ah Nauk Ywe</t>
  </si>
  <si>
    <t>Nget Chaung</t>
  </si>
  <si>
    <t>Kyein Ni Pyin</t>
  </si>
  <si>
    <t>Sin Tet Maw</t>
  </si>
  <si>
    <t>Let Saung Kauk</t>
  </si>
  <si>
    <t>Taung Bwe</t>
  </si>
  <si>
    <t>Ah Lel</t>
  </si>
  <si>
    <t>Nidin</t>
  </si>
  <si>
    <t xml:space="preserve">Ah Pauk Wa </t>
  </si>
  <si>
    <t>Ah Lel Kyun</t>
  </si>
  <si>
    <t>In Bar Yi</t>
  </si>
  <si>
    <t>Goke Pi Htaunt</t>
  </si>
  <si>
    <t>Yun Nyar</t>
  </si>
  <si>
    <t>Shwe Hlaing</t>
  </si>
  <si>
    <t>Khaung Htoke</t>
  </si>
  <si>
    <t>Nyaung Pin Gyi</t>
  </si>
  <si>
    <t>Ah Nauk Pyin</t>
  </si>
  <si>
    <t>Ah Htet Nan Yar</t>
  </si>
  <si>
    <t>Kyauk Ta Lone</t>
  </si>
  <si>
    <t>Ramree Ward 6</t>
  </si>
  <si>
    <t>Ramree Town</t>
  </si>
  <si>
    <t>Basare</t>
  </si>
  <si>
    <t>Baw Du Pha</t>
  </si>
  <si>
    <t>Dar Pai</t>
  </si>
  <si>
    <t xml:space="preserve">Khaung Doke Khar </t>
  </si>
  <si>
    <t>Ohn Taw Gyi 1</t>
  </si>
  <si>
    <t>Phwe Yar Kone</t>
  </si>
  <si>
    <t>Say Tha Mar Gyi</t>
  </si>
  <si>
    <t>Thae Chaung</t>
  </si>
  <si>
    <t>Thae Chaung (Kyaukphyu)</t>
  </si>
  <si>
    <t xml:space="preserve">Thet Kae Pyin </t>
  </si>
  <si>
    <t>Hmanzi Junction</t>
  </si>
  <si>
    <t>Pa Lin Pyin Ywar Thit</t>
  </si>
  <si>
    <t>Bu May Ohn Taw</t>
  </si>
  <si>
    <t>Bu May Ohn Taw Shore</t>
  </si>
  <si>
    <t>Ma Gyi Myaing</t>
  </si>
  <si>
    <t>Mingan</t>
  </si>
  <si>
    <t>Danyawaddy Baw Lone Kwin</t>
  </si>
  <si>
    <t>Set Yone Su</t>
  </si>
  <si>
    <t>Dohn Taik Kwin</t>
  </si>
  <si>
    <t>Dak Kaung Monastery</t>
  </si>
  <si>
    <t>Dama Set Kyar Monastery</t>
  </si>
  <si>
    <t>Gyit Chay Monastery</t>
  </si>
  <si>
    <t>Layaungwin Monastery</t>
  </si>
  <si>
    <t>Myo Ma Monastery</t>
  </si>
  <si>
    <t>Pyin Nyar Mandine Monastery</t>
  </si>
  <si>
    <t>Shwe Zay Ti Monastery</t>
  </si>
  <si>
    <t>Su Taung Pyae Monastery</t>
  </si>
  <si>
    <t>Theit Di Kar Yone Monastery</t>
  </si>
  <si>
    <t>Sin Ku Lann Monastery</t>
  </si>
  <si>
    <t>Ar Thaw Ka Yone Monastery</t>
  </si>
  <si>
    <t>Thangga Yarzar Monastery</t>
  </si>
  <si>
    <t>Kha Maung Taw Monastery</t>
  </si>
  <si>
    <t>Ma Ni Yadanar Monastery</t>
  </si>
  <si>
    <t>Gyit Bak Monastery</t>
  </si>
  <si>
    <t>Ya Tayar Monastery</t>
  </si>
  <si>
    <t>Weikzar Thaikdi Monastery</t>
  </si>
  <si>
    <t>Maw Ya Waddy</t>
  </si>
  <si>
    <t>Tha Yay Kone Baung</t>
  </si>
  <si>
    <t>Kyaing Gyi</t>
  </si>
  <si>
    <t>Baw Di Gone</t>
  </si>
  <si>
    <t>Kin Chaung</t>
  </si>
  <si>
    <t>Kan Thar Yar</t>
  </si>
  <si>
    <t>Nyaung Pin Hla</t>
  </si>
  <si>
    <t>Myoma Myauk</t>
  </si>
  <si>
    <t>Bomu Ywa</t>
  </si>
  <si>
    <t>Ywa thit Kay</t>
  </si>
  <si>
    <t>Thaung Paing Nyar</t>
  </si>
  <si>
    <t>Lamber Gone Nah</t>
  </si>
  <si>
    <t>Du Than Dar</t>
  </si>
  <si>
    <t>Alima Fara</t>
  </si>
  <si>
    <t>MMR012CMP001</t>
  </si>
  <si>
    <t>MMR012CMP002</t>
  </si>
  <si>
    <t>MMR012CMP003</t>
  </si>
  <si>
    <t>MMR012CMP004</t>
  </si>
  <si>
    <t>MMR012CMP005</t>
  </si>
  <si>
    <t>MMR012CMP006</t>
  </si>
  <si>
    <t>MMR012CMP007</t>
  </si>
  <si>
    <t>MMR012CMP008</t>
  </si>
  <si>
    <t>MMR012CMP009</t>
  </si>
  <si>
    <t>MMR012CMP010</t>
  </si>
  <si>
    <t>MMR012CMP011</t>
  </si>
  <si>
    <t>MMR012CMP012</t>
  </si>
  <si>
    <t>MMR012CMP013</t>
  </si>
  <si>
    <t>MMR012CMP014</t>
  </si>
  <si>
    <t>MMR012CMP015</t>
  </si>
  <si>
    <t>MMR012CMP016</t>
  </si>
  <si>
    <t>MMR012CMP017</t>
  </si>
  <si>
    <t>MMR012CMP018</t>
  </si>
  <si>
    <t>MMR012CMP019</t>
  </si>
  <si>
    <t>MMR012CMP020</t>
  </si>
  <si>
    <t>MMR012CMP021</t>
  </si>
  <si>
    <t>MMR012CMP022</t>
  </si>
  <si>
    <t>MMR012CMP023</t>
  </si>
  <si>
    <t>MMR012CMP024</t>
  </si>
  <si>
    <t>MMR012CMP025</t>
  </si>
  <si>
    <t>MMR012CMP026</t>
  </si>
  <si>
    <t>MMR012CMP027</t>
  </si>
  <si>
    <t>MMR012CMP028</t>
  </si>
  <si>
    <t>MMR012CMP029</t>
  </si>
  <si>
    <t>MMR012CMP030</t>
  </si>
  <si>
    <t>MMR012CMP031</t>
  </si>
  <si>
    <t>MMR012CMP032</t>
  </si>
  <si>
    <t>MMR012CMP035</t>
  </si>
  <si>
    <t>MMR012CMP036</t>
  </si>
  <si>
    <t>MMR012CMP037</t>
  </si>
  <si>
    <t>MMR012CMP038</t>
  </si>
  <si>
    <t>MMR012CMP039</t>
  </si>
  <si>
    <t>MMR012CMP040</t>
  </si>
  <si>
    <t>MMR012CMP041</t>
  </si>
  <si>
    <t>MMR012CMP042</t>
  </si>
  <si>
    <t>MMR012CMP043</t>
  </si>
  <si>
    <t>MMR012CMP044</t>
  </si>
  <si>
    <t>MMR012CMP045</t>
  </si>
  <si>
    <t>MMR012CMP046</t>
  </si>
  <si>
    <t>MMR012CMP047</t>
  </si>
  <si>
    <t>MMR012CMP048</t>
  </si>
  <si>
    <t>MMR012CMP049</t>
  </si>
  <si>
    <t>MMR012CMP050</t>
  </si>
  <si>
    <t>MMR012CMP051</t>
  </si>
  <si>
    <t>MMR012CMP052</t>
  </si>
  <si>
    <t>MMR012CMP053</t>
  </si>
  <si>
    <t>MMR012CMP054</t>
  </si>
  <si>
    <t>MMR012CMP055</t>
  </si>
  <si>
    <t>MMR012CMP056</t>
  </si>
  <si>
    <t>MMR012CMP057</t>
  </si>
  <si>
    <t>MMR012CMP059</t>
  </si>
  <si>
    <t>MMR012CMP060</t>
  </si>
  <si>
    <t>MMR012CMP061</t>
  </si>
  <si>
    <t>MMR012CMP062</t>
  </si>
  <si>
    <t>MMR012CMP063</t>
  </si>
  <si>
    <t>MMR012CMP064</t>
  </si>
  <si>
    <t>MMR012CMP065</t>
  </si>
  <si>
    <t>MMR012CMP066</t>
  </si>
  <si>
    <t>MMR012CMP067</t>
  </si>
  <si>
    <t>MMR012CMP068</t>
  </si>
  <si>
    <t>MMR012CMP069</t>
  </si>
  <si>
    <t>MMR012CMP070</t>
  </si>
  <si>
    <t>MMR012CMP071</t>
  </si>
  <si>
    <t>MMR012CMP072</t>
  </si>
  <si>
    <t>MMR012CMP073</t>
  </si>
  <si>
    <t>MMR012CMP074</t>
  </si>
  <si>
    <t>MMR012CMP075</t>
  </si>
  <si>
    <t>MMR012CMP076</t>
  </si>
  <si>
    <t>MMR012CMP077</t>
  </si>
  <si>
    <t>MMR012CMP078</t>
  </si>
  <si>
    <t>MMR012CMP079</t>
  </si>
  <si>
    <t>MMR012CMP080</t>
  </si>
  <si>
    <t>MMR012CMP081</t>
  </si>
  <si>
    <t>MMR012CMP082</t>
  </si>
  <si>
    <t>MMR012CMP087</t>
  </si>
  <si>
    <t>MMR012CMP089</t>
  </si>
  <si>
    <t>Self-Settled Camp</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</si>
  <si>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</si>
  <si>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</si>
  <si>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</si>
  <si>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</si>
  <si>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</si>
  <si>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</si>
  <si>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</si>
  <si>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</si>
  <si>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</si>
  <si>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</si>
  <si>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</si>
  <si>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</si>
  <si>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</si>
  <si>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</si>
  <si>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 of Camps</t>
  </si>
  <si>
    <t>Population</t>
  </si>
  <si>
    <t>Households</t>
  </si>
  <si>
    <t>CLUSTER REPORT</t>
  </si>
  <si>
    <t>(Select State)</t>
  </si>
  <si>
    <t>Temporary Shelter Planned</t>
  </si>
  <si>
    <t>Temporary Shelter Built</t>
  </si>
  <si>
    <t>Temporary Shelter Under Construction</t>
  </si>
  <si>
    <t>Total # of HH</t>
  </si>
  <si>
    <t>Total # of Population</t>
  </si>
  <si>
    <t xml:space="preserve"> Coverage (in Pop)</t>
  </si>
  <si>
    <t>Tents Distributed</t>
  </si>
  <si>
    <t>Coverage (HH)</t>
  </si>
  <si>
    <t>Blanket</t>
  </si>
  <si>
    <t>Kitchen Set</t>
  </si>
  <si>
    <t>Months</t>
  </si>
  <si>
    <t>Coverage</t>
  </si>
  <si>
    <t>% of IDP</t>
  </si>
  <si>
    <t>Dashboards</t>
  </si>
  <si>
    <t>Myanmar</t>
  </si>
  <si>
    <t>CCCM</t>
  </si>
  <si>
    <t>Shelter</t>
  </si>
  <si>
    <t>NFI</t>
  </si>
  <si>
    <t>3W</t>
  </si>
  <si>
    <t>Contact List</t>
  </si>
  <si>
    <t>Report &amp; Analysis</t>
  </si>
  <si>
    <t>Ohn Taw Gyi 3</t>
  </si>
  <si>
    <t>Set Yone Su 3</t>
  </si>
  <si>
    <t>MahaKuthaLa</t>
  </si>
  <si>
    <t>U Ye Kyaw Thu</t>
  </si>
  <si>
    <t>Sit Kae Taw Min</t>
  </si>
  <si>
    <t>Phyin Nyar Ag Myay</t>
  </si>
  <si>
    <t>Kaw Nyar Na</t>
  </si>
  <si>
    <t>Mahar Zay Ya Theik</t>
  </si>
  <si>
    <t>Tha Ma Da ZTK</t>
  </si>
  <si>
    <t>Khaung Laung</t>
  </si>
  <si>
    <t>TanTan</t>
  </si>
  <si>
    <t>Nyar Ni Kar Ya Ma</t>
  </si>
  <si>
    <t>Boke Daw Maw</t>
  </si>
  <si>
    <t>Kyar Yoke</t>
  </si>
  <si>
    <t>Dama Yar Ma</t>
  </si>
  <si>
    <t>KyaungGyiLan</t>
  </si>
  <si>
    <t>MaYarMaGyi-old</t>
  </si>
  <si>
    <t>PyinNyarLinkarya</t>
  </si>
  <si>
    <t>Kha Maung Taw</t>
  </si>
  <si>
    <t>Ka Yu Chaung</t>
  </si>
  <si>
    <t>Uwa Ya Ma</t>
  </si>
  <si>
    <t>Shwe Pyar</t>
  </si>
  <si>
    <t>Bamgalar A Wa Kune</t>
  </si>
  <si>
    <t>DamaYeikThar</t>
  </si>
  <si>
    <t>Tayzindayama</t>
  </si>
  <si>
    <t>OhnTaPin</t>
  </si>
  <si>
    <t>MyaTheinTan</t>
  </si>
  <si>
    <t>YadaNarMinDaing</t>
  </si>
  <si>
    <t>MinnGanHighSchool</t>
  </si>
  <si>
    <t>Khaymarmandine</t>
  </si>
  <si>
    <t>Thet Kay Pyin School</t>
  </si>
  <si>
    <t>Ohn Taw Gyi 4</t>
  </si>
  <si>
    <t>Ohn Taw Gyi 5</t>
  </si>
  <si>
    <t>NA</t>
  </si>
  <si>
    <t>MMR012CMP096</t>
  </si>
  <si>
    <t>MMR012CMP090</t>
  </si>
  <si>
    <t>MMR012CMP091</t>
  </si>
  <si>
    <t>MMR012CMP092</t>
  </si>
  <si>
    <t>MMR012CMP093</t>
  </si>
  <si>
    <t>UNHCR</t>
  </si>
  <si>
    <t>Muslim Aid</t>
  </si>
  <si>
    <t xml:space="preserve">UNICEF </t>
  </si>
  <si>
    <t>DRC</t>
  </si>
  <si>
    <t>KOICAT</t>
  </si>
  <si>
    <t>Da Ma Set Kyar</t>
  </si>
  <si>
    <t>San Gar Taung</t>
  </si>
  <si>
    <t>Solidarities International</t>
  </si>
  <si>
    <t>Government</t>
  </si>
  <si>
    <t>MRCS</t>
  </si>
  <si>
    <t>MAUK</t>
  </si>
  <si>
    <t>WFP</t>
  </si>
  <si>
    <t>IRW</t>
  </si>
  <si>
    <t>Service City</t>
  </si>
  <si>
    <t>Hygiene Kit</t>
  </si>
  <si>
    <t>Sanitary Kit</t>
  </si>
  <si>
    <t>Tarpaulin</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</si>
  <si>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</si>
  <si>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</si>
  <si>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</si>
  <si>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</si>
  <si>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</si>
  <si>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</si>
  <si>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</si>
  <si>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</si>
  <si>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</si>
  <si>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</si>
  <si>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</si>
  <si>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</si>
  <si>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</si>
  <si>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</si>
  <si>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</si>
  <si>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</si>
  <si>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</si>
  <si>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</si>
  <si>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</si>
  <si>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</si>
  <si>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</si>
  <si>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</si>
  <si>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</si>
  <si>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Complementary Kit</t>
  </si>
  <si>
    <t>NFI_Complementary_Track</t>
  </si>
  <si>
    <t>NFI_Complementary_Stock</t>
  </si>
  <si>
    <t>NFI_Complementary_Pipeline</t>
  </si>
  <si>
    <t>Complemantary Kit</t>
  </si>
  <si>
    <t>Label</t>
  </si>
  <si>
    <t>Stock</t>
  </si>
  <si>
    <t>Distribution</t>
  </si>
  <si>
    <t>NB</t>
  </si>
  <si>
    <t>Expiration (month)</t>
  </si>
  <si>
    <t>Avg</t>
  </si>
  <si>
    <t>State_Pcode</t>
  </si>
  <si>
    <t>Township_Pcode</t>
  </si>
  <si>
    <t>Source</t>
  </si>
  <si>
    <t>Method</t>
  </si>
  <si>
    <t>Not Accessible</t>
  </si>
  <si>
    <t>Accessible by All</t>
  </si>
  <si>
    <t>Accessibility Restricted</t>
  </si>
  <si>
    <t>Comment</t>
  </si>
  <si>
    <t>Status</t>
  </si>
  <si>
    <t>Camp_Acessibility</t>
  </si>
  <si>
    <t>Open</t>
  </si>
  <si>
    <t>Close</t>
  </si>
  <si>
    <t>Update Date</t>
  </si>
  <si>
    <t>MMR012</t>
  </si>
  <si>
    <t>MMR012005</t>
  </si>
  <si>
    <t>MMR012005017</t>
  </si>
  <si>
    <t>Tha Yet Oke</t>
  </si>
  <si>
    <t>MMR012005009</t>
  </si>
  <si>
    <t>San Bar Lay</t>
  </si>
  <si>
    <t>MMR012005001</t>
  </si>
  <si>
    <t>Kin Seik</t>
  </si>
  <si>
    <t>MMR012005003</t>
  </si>
  <si>
    <t>Chaik Taung</t>
  </si>
  <si>
    <t>MMR012005032</t>
  </si>
  <si>
    <t>Sa Par Htar</t>
  </si>
  <si>
    <t>MMR012005018</t>
  </si>
  <si>
    <t>Shwe Ta Mar</t>
  </si>
  <si>
    <t>MMR012003</t>
  </si>
  <si>
    <t>MMR012003026</t>
  </si>
  <si>
    <t>Yin Thei</t>
  </si>
  <si>
    <t>Pu Rein</t>
  </si>
  <si>
    <t>MMR012003004</t>
  </si>
  <si>
    <t>MMR012003006</t>
  </si>
  <si>
    <t>Sin Oe</t>
  </si>
  <si>
    <t>MMR012007</t>
  </si>
  <si>
    <t>MMR012006</t>
  </si>
  <si>
    <t>MMR012007012</t>
  </si>
  <si>
    <t>Pon Nar Gyi</t>
  </si>
  <si>
    <t>MMR012007051</t>
  </si>
  <si>
    <t>MMR012007049</t>
  </si>
  <si>
    <t>Pein Hne Chaung</t>
  </si>
  <si>
    <t>MMR012006001</t>
  </si>
  <si>
    <t>Ah Ngu</t>
  </si>
  <si>
    <t>MMR012004</t>
  </si>
  <si>
    <t>MMR012004063</t>
  </si>
  <si>
    <t>Doke Kan Chaung</t>
  </si>
  <si>
    <t>MMR012004030</t>
  </si>
  <si>
    <t>Khaung Toke</t>
  </si>
  <si>
    <t>MMR012004074</t>
  </si>
  <si>
    <t>MMR012004064</t>
  </si>
  <si>
    <t>Ah Pauk Wa</t>
  </si>
  <si>
    <t>MMR012004069</t>
  </si>
  <si>
    <t>Sin Oe Chaing</t>
  </si>
  <si>
    <t>MMR012004028</t>
  </si>
  <si>
    <t>Wa Kin</t>
  </si>
  <si>
    <t>MMR012004019</t>
  </si>
  <si>
    <t>Ya Da Nar Pon</t>
  </si>
  <si>
    <t>MMR012004046</t>
  </si>
  <si>
    <t>Hpa Yar Paung</t>
  </si>
  <si>
    <t>MMR012004031</t>
  </si>
  <si>
    <t>MMR012008</t>
  </si>
  <si>
    <t>Koe Tan Kauk</t>
  </si>
  <si>
    <t>MMR012008072</t>
  </si>
  <si>
    <t>MMR012008082</t>
  </si>
  <si>
    <t>MMR012013</t>
  </si>
  <si>
    <t>MMR012011</t>
  </si>
  <si>
    <t>MMR012013020</t>
  </si>
  <si>
    <t>Kha Maung Chi Taing</t>
  </si>
  <si>
    <t>MMR012011002</t>
  </si>
  <si>
    <t>Taung Yin</t>
  </si>
  <si>
    <t>Gone Chein</t>
  </si>
  <si>
    <t>MMR012011006</t>
  </si>
  <si>
    <t>MMR012001</t>
  </si>
  <si>
    <t>MMR012001010</t>
  </si>
  <si>
    <t>Say Tha Mar</t>
  </si>
  <si>
    <t>MMR012001027</t>
  </si>
  <si>
    <t>Bu May</t>
  </si>
  <si>
    <t>MMR012001025</t>
  </si>
  <si>
    <t>Khaung Doke Kar</t>
  </si>
  <si>
    <t>MMR012001005</t>
  </si>
  <si>
    <t>Aung Daing</t>
  </si>
  <si>
    <t>MMR012001701526</t>
  </si>
  <si>
    <t>Set Yon Su Ward</t>
  </si>
  <si>
    <t>Ywar Gyi (North) Ward</t>
  </si>
  <si>
    <t>MMR012001701515</t>
  </si>
  <si>
    <t>MMR012001701523</t>
  </si>
  <si>
    <t>Ye New Su Ward</t>
  </si>
  <si>
    <t>Min Gan Ward</t>
  </si>
  <si>
    <t>MMR012001701532</t>
  </si>
  <si>
    <t>Baw Lone Kwin Ward</t>
  </si>
  <si>
    <t>MMR012001701528</t>
  </si>
  <si>
    <t>Kyaung Tet Lan Ward</t>
  </si>
  <si>
    <t>MMR012001701519</t>
  </si>
  <si>
    <t>Bauk Thee Su Ward</t>
  </si>
  <si>
    <t>Sin Ku Lan Ward</t>
  </si>
  <si>
    <t xml:space="preserve"> Bauk Thee Su Ward</t>
  </si>
  <si>
    <t>Baung Dut Ward</t>
  </si>
  <si>
    <t>Pyi Taw Thar Ward</t>
  </si>
  <si>
    <t>Ywar Gyi (South) Ward</t>
  </si>
  <si>
    <t>MMR012001701518</t>
  </si>
  <si>
    <t>MMR012001701512</t>
  </si>
  <si>
    <t>MMR012001701517</t>
  </si>
  <si>
    <t>MMR012001701520</t>
  </si>
  <si>
    <t>MMR012001701516</t>
  </si>
  <si>
    <t>CARE</t>
  </si>
  <si>
    <t>MMR012009080</t>
  </si>
  <si>
    <t>Tha Yae Kone Tan</t>
  </si>
  <si>
    <t>MMR012009</t>
  </si>
  <si>
    <t>MMR012009078</t>
  </si>
  <si>
    <t>Zaw Ma Tet</t>
  </si>
  <si>
    <t>Ba Gone Nar</t>
  </si>
  <si>
    <t>MMR012009066</t>
  </si>
  <si>
    <t>Hin Thar Ya</t>
  </si>
  <si>
    <t>Kan Thar Yar(No standard name yet)</t>
  </si>
  <si>
    <t>Baw Di Kone(No standard name yet</t>
  </si>
  <si>
    <t>(Du) Chee Yar Tan</t>
  </si>
  <si>
    <t>MMR012009069</t>
  </si>
  <si>
    <t>King Chaung(No standard name yet)</t>
  </si>
  <si>
    <t>Tha Ray Kon Baung</t>
  </si>
  <si>
    <t>Say Poke Kay</t>
  </si>
  <si>
    <t>Ka Nyin Taw</t>
  </si>
  <si>
    <t>Ni Din</t>
  </si>
  <si>
    <t>Taung Pauk</t>
  </si>
  <si>
    <t>Kan Thar Htwet Wa Ward</t>
  </si>
  <si>
    <t>MMR012006701502</t>
  </si>
  <si>
    <t>Zi War</t>
  </si>
  <si>
    <t>Thar Dar</t>
  </si>
  <si>
    <t>Na Ga Yar Pyin</t>
  </si>
  <si>
    <t>Raw Ma Ni</t>
  </si>
  <si>
    <t>Cha Eik</t>
  </si>
  <si>
    <t>Kyauk Pyin Seik</t>
  </si>
  <si>
    <t>Ba Wan Chaung Wa Su Ward</t>
  </si>
  <si>
    <t>MMR012007701504</t>
  </si>
  <si>
    <t>Baw Du Hpa</t>
  </si>
  <si>
    <t>Dar Paing Ywar Thit</t>
  </si>
  <si>
    <t>Kha War De Ywar Haung</t>
  </si>
  <si>
    <t>Thea Chaung Let Tha Mar Kone</t>
  </si>
  <si>
    <t>Hpwe Ywar Kone</t>
  </si>
  <si>
    <t>San Pya Ward</t>
  </si>
  <si>
    <t>Hman Zi</t>
  </si>
  <si>
    <t>Tin Bi</t>
  </si>
  <si>
    <t>Camp/Community Leader</t>
  </si>
  <si>
    <t>Wai Thar Li</t>
  </si>
  <si>
    <t>Shwe Yin Aye</t>
  </si>
  <si>
    <t>Kha Yay Myaing( DPA)</t>
  </si>
  <si>
    <t>Kan Pyin Thar Si</t>
  </si>
  <si>
    <t>Kha Yay Myaing(short legged)</t>
  </si>
  <si>
    <t>Pyin Taw Che</t>
  </si>
  <si>
    <t>MMR012003701</t>
  </si>
  <si>
    <t>Urban</t>
  </si>
  <si>
    <t>Ward Name not available</t>
  </si>
  <si>
    <t>MMR012009701</t>
  </si>
  <si>
    <t>Save the Children</t>
  </si>
  <si>
    <t>UNFPA</t>
  </si>
  <si>
    <t>ABCD</t>
  </si>
  <si>
    <t>CDN</t>
  </si>
  <si>
    <t>Estimate</t>
  </si>
  <si>
    <t>Covered</t>
  </si>
  <si>
    <t>Gap - HH</t>
  </si>
  <si>
    <t>Ind. Not covered</t>
  </si>
  <si>
    <t>Pipeline Stock Tracking</t>
  </si>
  <si>
    <t>#ofFamilyTentPlanned(Target)</t>
  </si>
  <si>
    <t>#ofFamilyTentDistributed</t>
  </si>
  <si>
    <t>DateUpdated</t>
  </si>
  <si>
    <t>VillageTrackTown_Pcode</t>
  </si>
  <si>
    <t>VillageTracKTown_Name</t>
  </si>
  <si>
    <t>VillageWard_Name</t>
  </si>
  <si>
    <t>VillageWard_Pcode</t>
  </si>
  <si>
    <t>District</t>
  </si>
  <si>
    <t>District_Pcode</t>
  </si>
  <si>
    <t>Sum of Total</t>
  </si>
  <si>
    <t>Camp</t>
  </si>
  <si>
    <t>Hygiene</t>
  </si>
  <si>
    <t>Core</t>
  </si>
  <si>
    <t>Sanitary</t>
  </si>
  <si>
    <t>MMR012006701</t>
  </si>
  <si>
    <t>Thet Kae Pyin (IDPs in host family)</t>
  </si>
  <si>
    <t>Sin Tet Maw (from Nget Chaung)</t>
  </si>
  <si>
    <t>Dar Pai (IDP in host families)</t>
  </si>
  <si>
    <t>MMR012CMP097</t>
  </si>
  <si>
    <t>Ohn Taw Shey</t>
  </si>
  <si>
    <t>MMR012CMP098</t>
  </si>
  <si>
    <t>MMR012CMP099</t>
  </si>
  <si>
    <t>MMR012CMP100</t>
  </si>
  <si>
    <t>Thae Chaung (IDP in host families)</t>
  </si>
  <si>
    <t>MMR012CMP101</t>
  </si>
  <si>
    <t xml:space="preserve">Hmanzi </t>
  </si>
  <si>
    <t>MMR012CMP102</t>
  </si>
  <si>
    <t>Baw Du Pha (IDP in host families)</t>
  </si>
  <si>
    <t>MMR012CMP103</t>
  </si>
  <si>
    <t>Na Yan</t>
  </si>
  <si>
    <t>MMR012005010</t>
  </si>
  <si>
    <t>Set Yone Maw</t>
  </si>
  <si>
    <t>MMR012CMP104</t>
  </si>
  <si>
    <t>MMR012001701</t>
  </si>
  <si>
    <t>Sut Yoe Kya Ward</t>
  </si>
  <si>
    <t>MMR012001701531</t>
  </si>
  <si>
    <t>Sat Roe Kya</t>
  </si>
  <si>
    <t>MMR012CMP105</t>
  </si>
  <si>
    <t>ICRC</t>
  </si>
  <si>
    <t>Pcode</t>
  </si>
  <si>
    <t>Lat.</t>
  </si>
  <si>
    <t>Long.</t>
  </si>
  <si>
    <t>Y</t>
  </si>
  <si>
    <t>X</t>
  </si>
  <si>
    <t>HS</t>
  </si>
  <si>
    <t>Pop</t>
  </si>
  <si>
    <t>MMR012007701</t>
  </si>
  <si>
    <t>MMR012002701</t>
  </si>
  <si>
    <t># of HH</t>
  </si>
  <si>
    <t># of Camp</t>
  </si>
  <si>
    <t>% Coverage</t>
  </si>
  <si>
    <t># of Ind.</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</si>
  <si>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</si>
  <si>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</si>
  <si>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</si>
  <si>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</si>
  <si>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</si>
  <si>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</si>
  <si>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</si>
  <si>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</si>
  <si>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</si>
  <si>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</si>
  <si>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1-1k</t>
  </si>
  <si>
    <t>1k - 5k</t>
  </si>
  <si>
    <t>5k-10k</t>
  </si>
  <si>
    <t>1k-5k</t>
  </si>
  <si>
    <t>Over 10k</t>
  </si>
  <si>
    <t>&gt;10k</t>
  </si>
  <si>
    <t># Ind. Covered</t>
  </si>
  <si>
    <t># Ind. Not Covered</t>
  </si>
  <si>
    <t>Mosquito net</t>
  </si>
  <si>
    <t>Buthidaung</t>
  </si>
  <si>
    <t>Rakhine CCCM Dashboard</t>
  </si>
  <si>
    <t>Unknown</t>
  </si>
  <si>
    <t xml:space="preserve">HH </t>
  </si>
  <si>
    <t xml:space="preserve">Ind </t>
  </si>
  <si>
    <t>Rakhine - IDPs CAMP LIST</t>
  </si>
  <si>
    <t>MMR012D001</t>
  </si>
  <si>
    <t>Chein Khar Li</t>
  </si>
  <si>
    <t>Kyaukpyu</t>
  </si>
  <si>
    <t>MMR012D003</t>
  </si>
  <si>
    <t>MMR013</t>
  </si>
  <si>
    <t>MMR014</t>
  </si>
  <si>
    <t>MMR015</t>
  </si>
  <si>
    <t>Bomu Ywa 2</t>
  </si>
  <si>
    <t>Ywa thit Kay 2</t>
  </si>
  <si>
    <t>Ywa thit Kay 3</t>
  </si>
  <si>
    <t>Honsara (Zaw Ma Tat)</t>
  </si>
  <si>
    <t>MMR012CMP106</t>
  </si>
  <si>
    <t>MMR012CMP107</t>
  </si>
  <si>
    <t>MMR012CMP108</t>
  </si>
  <si>
    <t>MMR012D002</t>
  </si>
  <si>
    <t>MRF</t>
  </si>
  <si>
    <t>LWF</t>
  </si>
  <si>
    <t>Oke Kar Kyaw</t>
  </si>
  <si>
    <t>MMR012003024</t>
  </si>
  <si>
    <t>Thi Kyar</t>
  </si>
  <si>
    <t>MMR012CMP117</t>
  </si>
  <si>
    <t>Maw Ti Ngar</t>
  </si>
  <si>
    <t>Baw Du Pha 1</t>
  </si>
  <si>
    <t>Baw Du Pha 2</t>
  </si>
  <si>
    <t>MMR012CMP113</t>
  </si>
  <si>
    <t>MMR012CMP114</t>
  </si>
  <si>
    <t>Ohn Taw Chay</t>
  </si>
  <si>
    <t>Ohn Taw Gyi (North)</t>
  </si>
  <si>
    <t>Ohn Taw Gyi (South)</t>
  </si>
  <si>
    <t>MMR012CMP115</t>
  </si>
  <si>
    <t>MMR012CMP116</t>
  </si>
  <si>
    <t>Sat Roe Kya 1</t>
  </si>
  <si>
    <t>Sat Roe Kya 2</t>
  </si>
  <si>
    <t>MMR012CMP111</t>
  </si>
  <si>
    <t>MMR012CMP112</t>
  </si>
  <si>
    <t>UNHCR/BAJ</t>
  </si>
  <si>
    <t>TDC/Natala Government</t>
  </si>
  <si>
    <t>Sittwe Total</t>
  </si>
  <si>
    <t>Maungdaw Total</t>
  </si>
  <si>
    <t>Pauktaw Total</t>
  </si>
  <si>
    <t>Ramree Total</t>
  </si>
  <si>
    <t>Rathedaung Total</t>
  </si>
  <si>
    <t>Altitude</t>
  </si>
  <si>
    <t>Opening Date</t>
  </si>
  <si>
    <t>Count of Township_Pcode</t>
  </si>
  <si>
    <t>(All)</t>
  </si>
  <si>
    <t>Sum of HH</t>
  </si>
  <si>
    <t>close</t>
  </si>
  <si>
    <t>12 to 17</t>
  </si>
  <si>
    <t>Muslim</t>
  </si>
  <si>
    <t>Maramargyi</t>
  </si>
  <si>
    <t>Relief International</t>
  </si>
  <si>
    <t>Danish Refugee Council</t>
  </si>
  <si>
    <t>Camp Management</t>
  </si>
  <si>
    <t>Focal Point</t>
  </si>
  <si>
    <t>Responsible Agency</t>
  </si>
  <si>
    <t>CM/FP</t>
  </si>
  <si>
    <t>Column Labels</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</si>
  <si>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</si>
  <si>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</si>
  <si>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</si>
  <si>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</si>
  <si>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</si>
  <si>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</si>
  <si>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</si>
  <si>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</si>
  <si>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</si>
  <si>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</si>
  <si>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</si>
  <si>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</si>
  <si>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</si>
  <si>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</si>
  <si>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</si>
  <si>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</si>
  <si>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</si>
  <si>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</si>
  <si>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</si>
  <si>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</si>
  <si>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</si>
  <si>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</si>
  <si>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</si>
  <si>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</si>
  <si>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</si>
  <si>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</si>
  <si>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</si>
  <si>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</si>
  <si>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</si>
  <si>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</si>
  <si>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</si>
  <si>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</si>
  <si>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</si>
  <si>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</si>
  <si>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</si>
  <si>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</si>
  <si>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</si>
  <si>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</si>
  <si>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</si>
  <si>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Footer</t>
  </si>
  <si>
    <t>&lt;/Document&gt;
&lt;/kml&gt;</t>
  </si>
  <si>
    <t>RI</t>
  </si>
  <si>
    <t>N_cps</t>
  </si>
  <si>
    <t>Column1</t>
  </si>
  <si>
    <t>MMR001010</t>
  </si>
  <si>
    <t>MMR001005</t>
  </si>
  <si>
    <t>MMR001009</t>
  </si>
  <si>
    <t>MMR001003</t>
  </si>
  <si>
    <t>MMR001018</t>
  </si>
  <si>
    <t>MMR015011</t>
  </si>
  <si>
    <t>MMR001013</t>
  </si>
  <si>
    <t>MMR015019</t>
  </si>
  <si>
    <t>0-1</t>
  </si>
  <si>
    <t>1-5</t>
  </si>
  <si>
    <t>5-10</t>
  </si>
  <si>
    <t>Over 10</t>
  </si>
  <si>
    <t>IDPs themselves spontaneously creating camps not officially planned.</t>
  </si>
  <si>
    <t># Ind.</t>
  </si>
  <si>
    <t>Purpose-built sites where services and infrastructure is provided including water supply, food distribution, non-food item, education, and health care, usually exclusively for the population of the site.</t>
  </si>
  <si>
    <t>M</t>
  </si>
  <si>
    <t>F</t>
  </si>
  <si>
    <t>Unaccompanied children</t>
  </si>
  <si>
    <t>Separated chidlren</t>
  </si>
  <si>
    <t>Sex</t>
  </si>
  <si>
    <t>Age_Cat</t>
  </si>
  <si>
    <t>Age_Category</t>
  </si>
  <si>
    <t>12 to 17 Total</t>
  </si>
  <si>
    <t>Total2</t>
  </si>
  <si>
    <t>Sum of Total2</t>
  </si>
  <si>
    <t>Vulnerability</t>
  </si>
  <si>
    <t>LOT 4 - Thazin Gone Young</t>
  </si>
  <si>
    <t>MPB Small</t>
  </si>
  <si>
    <t>Camp Management Office</t>
  </si>
  <si>
    <t>MPB Large</t>
  </si>
  <si>
    <t>Warehouse</t>
  </si>
  <si>
    <t>LOT 5 - Thazin Gone Young</t>
  </si>
  <si>
    <t>Land plots identified and confirmed. Construction yet to start due to unreasonable demands from the contractor by Camp Committees and Village Leaders</t>
  </si>
  <si>
    <t>LOT 6 - Thazin Gone Young</t>
  </si>
  <si>
    <t>Canceled and converted to Warehouse in SYK</t>
  </si>
  <si>
    <t>Cancelled</t>
  </si>
  <si>
    <t>Lot</t>
  </si>
  <si>
    <t>Infrastructure</t>
  </si>
  <si>
    <t>Type</t>
  </si>
  <si>
    <t xml:space="preserve"> (2 units)</t>
  </si>
  <si>
    <t>(2 units)</t>
  </si>
  <si>
    <t xml:space="preserve"> (4 units)</t>
  </si>
  <si>
    <t xml:space="preserve"> (3 units)</t>
  </si>
  <si>
    <t xml:space="preserve"> (PWG site)</t>
  </si>
  <si>
    <t xml:space="preserve"> (STMG site)</t>
  </si>
  <si>
    <t>Affected population</t>
  </si>
  <si>
    <t>IDP</t>
  </si>
  <si>
    <t>Ethnicity</t>
  </si>
  <si>
    <t>Religion</t>
  </si>
  <si>
    <t>Buddhist</t>
  </si>
  <si>
    <t>Rakhine-Buddhist</t>
  </si>
  <si>
    <t># of Location</t>
  </si>
  <si>
    <t>Type of Population</t>
  </si>
  <si>
    <t># of Planned Camp</t>
  </si>
  <si>
    <t># of Location by Size of Population</t>
  </si>
  <si>
    <t>Kaman</t>
  </si>
  <si>
    <t>Kaman-Muslim</t>
  </si>
  <si>
    <t>(Multiple Items)</t>
  </si>
  <si>
    <t>Camp Name2</t>
  </si>
  <si>
    <t>Internally displaced people are people or groups of people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</si>
  <si>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Usually families living in monasteries or in a pre-existing public building such as a church, monastery, community center, warehouse or school.</t>
  </si>
  <si>
    <t>Completed</t>
  </si>
  <si>
    <t>Priority Camps</t>
  </si>
  <si>
    <t xml:space="preserve"> </t>
  </si>
  <si>
    <t xml:space="preserve"> -Muslim</t>
  </si>
  <si>
    <t># of Other Accomodation</t>
  </si>
  <si>
    <t>Camp Management Agency   </t>
  </si>
  <si>
    <t>IDP (according to the Guiding Principles on Internal Displacement)</t>
  </si>
  <si>
    <t>Camp Management Focal Point</t>
  </si>
  <si>
    <t>Planned/Managed Camp</t>
  </si>
  <si>
    <t>Under the overall coordination and support provided by the CCCM Cluster Lead (UNHCR), camp management agencies (CMAs) closely collaborate with the on-site authorities and liaise with them on behalf of all humanitarian actors and service providers. In order to ensure  a proper response to IDPs needs as according to their rights, the CMAs thereby do data collection, coordination and monitoring of services, community mobilization, capacity building, information management and maintenance of infrastructure in camps. To-date in Rakhine, the CMAs are funded by UNHCR.</t>
  </si>
  <si>
    <t>Camp management focal point (CMFPs) ensure, on a voluntary basis, a minimum of communication with the CCCM cluster on basic needs and gaps in the camps they cover.</t>
  </si>
  <si>
    <t>CAMP LIST</t>
  </si>
  <si>
    <t>CAMP ANALYSIS</t>
  </si>
  <si>
    <t>Working Areas</t>
  </si>
  <si>
    <t>SHELTER TRACKING</t>
  </si>
  <si>
    <t>HH per Shelter</t>
  </si>
  <si>
    <t># of Temporary Shelter Planned (Target)</t>
  </si>
  <si>
    <t># of Temporary Shelter Built</t>
  </si>
  <si>
    <t># of Temporary Shelter Under Construction</t>
  </si>
  <si>
    <t># of Permanent House Planned (Target)</t>
  </si>
  <si>
    <t># of Permanent House Built</t>
  </si>
  <si>
    <t>HH Covered</t>
  </si>
  <si>
    <t>Sum of HH Covered</t>
  </si>
  <si>
    <t>Shelter Coverage &amp; Gaps</t>
  </si>
  <si>
    <t>NFI TRACKING</t>
  </si>
  <si>
    <t xml:space="preserve">Khaung Doke Khar (1 &amp; 2) </t>
  </si>
  <si>
    <t>year</t>
  </si>
  <si>
    <t># Camp</t>
  </si>
  <si>
    <t>Contact</t>
  </si>
  <si>
    <t>Lutherian World Foundation</t>
  </si>
  <si>
    <t>Organization_Code</t>
  </si>
  <si>
    <t xml:space="preserve">United Nations High Commissioner for Refugees </t>
  </si>
  <si>
    <t># Ind</t>
  </si>
  <si>
    <t xml:space="preserve"># of Temporary Shelter Built </t>
  </si>
  <si>
    <t>shelter_coverage</t>
  </si>
  <si>
    <t>HH Covered 2</t>
  </si>
  <si>
    <t>Accessibility</t>
  </si>
  <si>
    <t>Host Families</t>
  </si>
  <si>
    <t>Type_Population</t>
  </si>
  <si>
    <t>Returnee IDP</t>
  </si>
  <si>
    <t>Resettled IDP</t>
  </si>
  <si>
    <t>People in host communities</t>
  </si>
  <si>
    <t>People in surrounding communities</t>
  </si>
  <si>
    <t>People in other affected communities</t>
  </si>
  <si>
    <t>Refugee</t>
  </si>
  <si>
    <t>Returnee Refugee</t>
  </si>
  <si>
    <t>Other directly affected persons</t>
  </si>
  <si>
    <t>Type_Vulnerability</t>
  </si>
  <si>
    <t>Children with special education needs</t>
  </si>
  <si>
    <t>Child or adolescent at risk</t>
  </si>
  <si>
    <t>Unaccompagnied children</t>
  </si>
  <si>
    <t>Out-of-school children</t>
  </si>
  <si>
    <t>Boarders</t>
  </si>
  <si>
    <t>Woman at risk</t>
  </si>
  <si>
    <t xml:space="preserve">Pregnant women </t>
  </si>
  <si>
    <t>Lactating women</t>
  </si>
  <si>
    <t>Older person at risk</t>
  </si>
  <si>
    <t>Single headed of household</t>
  </si>
  <si>
    <t>Food insecure individuals</t>
  </si>
  <si>
    <t>Person with mental disabilities</t>
  </si>
  <si>
    <t>Specific legal and physical protection needs</t>
  </si>
  <si>
    <t>Important medical condition</t>
  </si>
  <si>
    <t>Separated children</t>
  </si>
  <si>
    <t>Age_Cat_Code</t>
  </si>
  <si>
    <t>Age_Min</t>
  </si>
  <si>
    <t>Age_Max</t>
  </si>
  <si>
    <t>A01</t>
  </si>
  <si>
    <t>A02</t>
  </si>
  <si>
    <t>A03</t>
  </si>
  <si>
    <t>A04</t>
  </si>
  <si>
    <t>A05</t>
  </si>
  <si>
    <t>A06</t>
  </si>
  <si>
    <t>A07</t>
  </si>
  <si>
    <t>A08</t>
  </si>
  <si>
    <t>A09</t>
  </si>
  <si>
    <t>A10</t>
  </si>
  <si>
    <t>A11</t>
  </si>
  <si>
    <t>A12</t>
  </si>
  <si>
    <t>02</t>
  </si>
  <si>
    <t>01</t>
  </si>
  <si>
    <t>03-04</t>
  </si>
  <si>
    <t>05-10</t>
  </si>
  <si>
    <t>11-14</t>
  </si>
  <si>
    <t>15-17</t>
  </si>
  <si>
    <t>18-23</t>
  </si>
  <si>
    <t>24-48</t>
  </si>
  <si>
    <t>49-59</t>
  </si>
  <si>
    <t>60+</t>
  </si>
  <si>
    <t>&lt;6M</t>
  </si>
  <si>
    <t>06M-11M</t>
  </si>
  <si>
    <t>Isolated Location</t>
  </si>
  <si>
    <t>Yes</t>
  </si>
  <si>
    <t>No</t>
  </si>
  <si>
    <t>Yadu Shresk
Emergency Project Coordinator
campro.mmr@lwfdws.org</t>
  </si>
  <si>
    <t>Collective centre</t>
  </si>
  <si>
    <t>Myebon</t>
  </si>
  <si>
    <t>Myebon Total</t>
  </si>
  <si>
    <t>LWF reported Thea Chaung Camp and Thea Chaung host families as a combine one (Thea Chaung)</t>
  </si>
  <si>
    <t>Updated Date</t>
  </si>
  <si>
    <t>Updated date</t>
  </si>
  <si>
    <t>Myoma Myauk (Chitta Ywa)</t>
  </si>
  <si>
    <t>Sin Thay Pyin (Zay Di Pyin)</t>
  </si>
  <si>
    <t>Ward-6 (Lay Myaing)</t>
  </si>
  <si>
    <t>Richard Warren</t>
  </si>
  <si>
    <t># HH</t>
  </si>
  <si>
    <t>Complimentary Kits</t>
  </si>
  <si>
    <t>AGE</t>
  </si>
  <si>
    <t>Individual Household</t>
  </si>
  <si>
    <t>Household Headcount Survey</t>
  </si>
  <si>
    <t>6 to 11</t>
  </si>
  <si>
    <t>18 to 25</t>
  </si>
  <si>
    <t>26 to 59</t>
  </si>
  <si>
    <t>Children at Risk</t>
  </si>
  <si>
    <t>Single Parent</t>
  </si>
  <si>
    <t>Elderly at Risk</t>
  </si>
  <si>
    <t>Serious Medical Conditions</t>
  </si>
  <si>
    <t>Women at Risk</t>
  </si>
  <si>
    <t>Disabilities</t>
  </si>
  <si>
    <t>Hygiene kits distribution will be happened monthly basis</t>
  </si>
  <si>
    <t>6 to 11 Total</t>
  </si>
  <si>
    <t>18 to 25 Total</t>
  </si>
  <si>
    <t>26 to 59 Total</t>
  </si>
  <si>
    <t>60+ Total</t>
  </si>
  <si>
    <t># IDP Loc.</t>
  </si>
  <si>
    <t>Resp. Agency</t>
  </si>
  <si>
    <t>Hygiene Kit_LS</t>
  </si>
  <si>
    <t>NFI Core Kit_LS</t>
  </si>
  <si>
    <t>Sanitary Kit_LS</t>
  </si>
  <si>
    <t>Mosquito net_LS</t>
  </si>
  <si>
    <t>Tarpaulin_LS</t>
  </si>
  <si>
    <t>Blanket_LS</t>
  </si>
  <si>
    <t>Kitchen Set_LS</t>
  </si>
  <si>
    <t>Complementary Kit_LS</t>
  </si>
  <si>
    <t>Plastic Bucket_LS</t>
  </si>
  <si>
    <t>Plastic  Mat_LS</t>
  </si>
  <si>
    <t>??</t>
  </si>
  <si>
    <t>0</t>
  </si>
  <si>
    <t xml:space="preserve"> Mosquito net</t>
  </si>
  <si>
    <t xml:space="preserve"> Tarpaulin</t>
  </si>
  <si>
    <t xml:space="preserve"> Blanket</t>
  </si>
  <si>
    <t xml:space="preserve"> Kitchen Set</t>
  </si>
  <si>
    <t xml:space="preserve"> Complementary Kit</t>
  </si>
  <si>
    <t xml:space="preserve"> Plastic Bucket</t>
  </si>
  <si>
    <t>#of Permanent House Under Construction</t>
  </si>
  <si>
    <t>Cheik Thaung</t>
  </si>
  <si>
    <t>Plan</t>
  </si>
  <si>
    <t>Built</t>
  </si>
  <si>
    <t>Household survey</t>
  </si>
  <si>
    <t/>
  </si>
  <si>
    <t>Jerry Can</t>
  </si>
  <si>
    <t>2</t>
  </si>
  <si>
    <t>1</t>
  </si>
  <si>
    <t>5</t>
  </si>
  <si>
    <t>NFI_JerryCan_Track</t>
  </si>
  <si>
    <t>NFI_JerryCan_Stock</t>
  </si>
  <si>
    <t>NFI_JerryCan_Pipeline</t>
  </si>
  <si>
    <t>Jerry Can_LS</t>
  </si>
  <si>
    <t xml:space="preserve"> Jerry Can</t>
  </si>
  <si>
    <t>IOM</t>
  </si>
  <si>
    <t>(Du) Chee Yar Tan (East)</t>
  </si>
  <si>
    <t>CFSI</t>
  </si>
  <si>
    <t>775 HH got His (Estimate 4262 People)</t>
  </si>
  <si>
    <t>115 HH got His (Estimate 632 People)</t>
  </si>
  <si>
    <t>Maramargyi-Buddhist</t>
  </si>
  <si>
    <t>Returned to IH as of January 2016</t>
  </si>
  <si>
    <t>Returned to IH as of January 2017</t>
  </si>
  <si>
    <t>Returned to IH as of January 2018</t>
  </si>
  <si>
    <t>Returned to IH as of January 2019</t>
  </si>
  <si>
    <t>Returned to IH as of January 2020</t>
  </si>
  <si>
    <t>Returned to IH as of January 2021</t>
  </si>
  <si>
    <t>Returned to IH as of January 2022</t>
  </si>
  <si>
    <t>Returned to IH as of January 2023</t>
  </si>
  <si>
    <t>Returned to IH as of January 2024</t>
  </si>
  <si>
    <t>Returned to IH as of January 2025</t>
  </si>
  <si>
    <t>Returned to IH as of January 2026</t>
  </si>
  <si>
    <t>Returned to IH as of January 2027</t>
  </si>
  <si>
    <t>Returned to IH as of January 2028</t>
  </si>
  <si>
    <t>Returned to IH as of January 2029</t>
  </si>
  <si>
    <t>Returned to IH as of January 2030</t>
  </si>
  <si>
    <t>Returned to IH as of January 2031</t>
  </si>
  <si>
    <t>Returned to IH as of January 2032</t>
  </si>
  <si>
    <t>Returned to IH as of January 2033</t>
  </si>
  <si>
    <t>Returned to IH as of January 2034</t>
  </si>
  <si>
    <t>Returned to IH as of January 2035</t>
  </si>
  <si>
    <t>Returned to IH as of January 2036</t>
  </si>
  <si>
    <t>Returned to IH as of January 2037</t>
  </si>
  <si>
    <t>Returned to IH as of January 2038</t>
  </si>
  <si>
    <t>Returned to IH as of January 2039</t>
  </si>
  <si>
    <t>Returned to IH as of January 2040</t>
  </si>
  <si>
    <t>Returned to IH as of January 2041</t>
  </si>
  <si>
    <t>Returned to IH as of January 2042</t>
  </si>
  <si>
    <t>NRC</t>
  </si>
  <si>
    <t>Norwegian Refugees Council</t>
  </si>
  <si>
    <t>Richard Kevin Tracey</t>
  </si>
  <si>
    <t>Veronica Costarelli</t>
  </si>
  <si>
    <t>CampList_Status</t>
  </si>
  <si>
    <t>CampList_Popl</t>
  </si>
  <si>
    <t>Relocated to Individual Housing (Jan 2016)</t>
  </si>
  <si>
    <t>Kyauktaw Total</t>
  </si>
  <si>
    <t>Count of Type of Accomodation</t>
  </si>
  <si>
    <t>Planned Camps</t>
  </si>
  <si>
    <t>Host Community</t>
  </si>
  <si>
    <t>Self-Settled Camps</t>
  </si>
  <si>
    <t>Relocated 
in Individual Housing</t>
  </si>
  <si>
    <t>CampList_TypeOfAcc</t>
  </si>
  <si>
    <t># of  Camp</t>
  </si>
  <si>
    <t>Household</t>
  </si>
  <si>
    <t>Individual House</t>
  </si>
  <si>
    <t>Returned 
in Individual Housing</t>
  </si>
  <si>
    <t>Returned in Individual Housing (Jan 2016)</t>
  </si>
  <si>
    <t>197533</t>
  </si>
  <si>
    <t>197414</t>
  </si>
  <si>
    <t>-Muslim</t>
  </si>
  <si>
    <t>Relocated in Individual Housing (Jan 2016)</t>
  </si>
  <si>
    <t>Sum of shelter Coverage</t>
  </si>
  <si>
    <t>Population of camps (in thousands)</t>
  </si>
  <si>
    <t>(blank)</t>
  </si>
  <si>
    <t>(blank) Total</t>
  </si>
  <si>
    <t>Population breakdown by camps (Planned Camp &amp; Self Settled Camp)</t>
  </si>
  <si>
    <t>Mrauk-U</t>
  </si>
  <si>
    <t>Kyaukpyu Total</t>
  </si>
  <si>
    <t>Relocated</t>
  </si>
  <si>
    <t>Returned</t>
  </si>
  <si>
    <t>Kyaukpyu2</t>
  </si>
  <si>
    <t>Relocated to Individual Housing (July 2016)</t>
  </si>
  <si>
    <t>Mrauk-U Total</t>
  </si>
  <si>
    <t>Closed Camps</t>
  </si>
  <si>
    <t>Minbya Total</t>
  </si>
  <si>
    <t>Rakhine - Relocation and Returned</t>
  </si>
  <si>
    <t>Type of Location</t>
  </si>
  <si>
    <t>Rural</t>
  </si>
  <si>
    <t>Increased of 15 IDPs (April) - UNHCR Protection</t>
  </si>
  <si>
    <t xml:space="preserve">18 HH (112 IDPs) displaced in 2012 / 11 HH (72 IDPs) returned in 2013&amp;14 / 1 HH (3 IDPs) departed in 2015 / 6 HH (37 IDPs) returned in 2016 </t>
  </si>
  <si>
    <t>Relocated to Individual Housing (Jan 2016) / Increase of 14 IDPs (April 2016)</t>
  </si>
  <si>
    <t xml:space="preserve">Yadu Shreska, Emergency Project Coordinator, campro.mmr@lwfdws.org </t>
  </si>
  <si>
    <t>MMR012013701506</t>
  </si>
  <si>
    <t>No (6) Ward</t>
  </si>
  <si>
    <t>Kha Maung Chay Taing</t>
  </si>
  <si>
    <t>198950</t>
  </si>
  <si>
    <t>Ah Nauk San Pya Ward</t>
  </si>
  <si>
    <t>MMR012001701522</t>
  </si>
  <si>
    <t>Myo Ma (East) Ward</t>
  </si>
  <si>
    <t>MMR012009701504</t>
  </si>
  <si>
    <t>Population breakdown per responsible agency</t>
  </si>
  <si>
    <t>Population (HH=25/ Ind=112)</t>
  </si>
  <si>
    <t>Population (HH=13/ Ind=72)</t>
  </si>
  <si>
    <t>Population (HH=26/ Ind=138)</t>
  </si>
  <si>
    <t>Population (HH=103/ Ind=485)</t>
  </si>
  <si>
    <t>Population (HH=18/ Ind=123)</t>
  </si>
  <si>
    <t>Population (HH=49/ Ind=309)</t>
  </si>
  <si>
    <t>Population (HH=10/ Ind=80)</t>
  </si>
  <si>
    <t>Population (HH=15/ Ind=79)</t>
  </si>
  <si>
    <t>Population (HH=1165/ Ind=7052)</t>
  </si>
  <si>
    <t>Population (HH=2350/ Ind=14791)</t>
  </si>
  <si>
    <t>Population (HH=70/ Ind=305)</t>
  </si>
  <si>
    <t>Population (HH=200/ Ind=978)</t>
  </si>
  <si>
    <t>Population (HH=204/ Ind=1092)</t>
  </si>
  <si>
    <t>Population (HH=120/ Ind=572)</t>
  </si>
  <si>
    <t>Population (HH=80/ Ind=353)</t>
  </si>
  <si>
    <t>Population (HH=1073/ Ind=6225)</t>
  </si>
  <si>
    <t>Population (HH=212/ Ind=1177)</t>
  </si>
  <si>
    <t>Population (HH=849/ Ind=5974) This HH and Total population is for Both camps Ohn Taw Gyi 4 and 5 because information is only possible to get combine information for 2 camps.</t>
  </si>
  <si>
    <t>Population (HH=849/ Ind=5973)</t>
  </si>
  <si>
    <t>Population (HH=350/ Ind=2115)</t>
  </si>
  <si>
    <t>Population (HH=414/ Ind=2722)</t>
  </si>
  <si>
    <t>Population (HH=326/ Ind=2411)</t>
  </si>
  <si>
    <t>Population (HH=500/ Ind=2989)</t>
  </si>
  <si>
    <t xml:space="preserve">(HH=460/ Ind=1879)Counted within Thae Chaung  Population </t>
  </si>
  <si>
    <t>Nget Chaung 1</t>
  </si>
  <si>
    <t>Nget Chaung 2</t>
  </si>
  <si>
    <t xml:space="preserve"> Plastic Mat</t>
  </si>
  <si>
    <t>2012 Total</t>
  </si>
  <si>
    <t>2013 Total</t>
  </si>
  <si>
    <t>2014 Total</t>
  </si>
  <si>
    <t>2015 Total</t>
  </si>
  <si>
    <t>2016 Total</t>
  </si>
  <si>
    <t>HH Gap</t>
  </si>
  <si>
    <t>-</t>
  </si>
  <si>
    <t>Stock in 
Balance</t>
  </si>
  <si>
    <t>Distributed 
HH(s)</t>
  </si>
  <si>
    <t>Requirement
HH(s)</t>
  </si>
  <si>
    <t>Dist.HH(s)</t>
  </si>
  <si>
    <t>Dist. HH(s)</t>
  </si>
  <si>
    <t>Total # of HH(s)</t>
  </si>
  <si>
    <t>Population breakdown by the status (Open,Relocated and Returned)</t>
  </si>
  <si>
    <t>Population breakdown per camp management type</t>
  </si>
  <si>
    <t>Population breakdown by religion</t>
  </si>
  <si>
    <t>NFI ITEMS DISTRIBUTED BY YEAR</t>
  </si>
  <si>
    <t>TOTAL DISTRIBUTED NFI ITEMS BY TYPE BY YEAR</t>
  </si>
  <si>
    <t>TOTAL DISTRIBUTED NFI ITEMS BY TYPE BY TOWNSHIP BY YEAR</t>
  </si>
  <si>
    <t>Physically disabled</t>
  </si>
  <si>
    <t>Mentally disabled</t>
  </si>
  <si>
    <t>Persons with serious medical condition</t>
  </si>
  <si>
    <t>Unaccompanied children (&lt;18)</t>
  </si>
  <si>
    <t>Separated children (&lt;18)</t>
  </si>
  <si>
    <t>Older persons at risk</t>
  </si>
  <si>
    <t>Single headed households</t>
  </si>
  <si>
    <t>Pregnant women</t>
  </si>
  <si>
    <t>M2</t>
  </si>
  <si>
    <t>Priority camps are 17 camps in the areas of rural Sittwe, and Myebon and Pauktaw Townships where a significant majority (almost 90 %) of the 120,000 IDP population resides.</t>
  </si>
  <si>
    <t>Adult Clothes</t>
  </si>
  <si>
    <t>Children Clothes</t>
  </si>
  <si>
    <t>Sewing Kit</t>
  </si>
  <si>
    <t>SI</t>
  </si>
  <si>
    <t>Ri</t>
  </si>
  <si>
    <t>Adult Clothes_LS</t>
  </si>
  <si>
    <t>Children Clothes_LS</t>
  </si>
  <si>
    <t>Sewing Kit_LS</t>
  </si>
  <si>
    <t>NFI_Adult_Clothes_Track</t>
  </si>
  <si>
    <t>NFI_Children_Clothes_Track</t>
  </si>
  <si>
    <t>NFI_Sewing_Kit_Track</t>
  </si>
  <si>
    <t xml:space="preserve">Sewing Kit </t>
  </si>
  <si>
    <t xml:space="preserve">Children Clothes </t>
  </si>
  <si>
    <t xml:space="preserve">Adult Clothes </t>
  </si>
  <si>
    <t>MHAA</t>
  </si>
  <si>
    <t>Gov</t>
  </si>
  <si>
    <t>Remark</t>
  </si>
  <si>
    <t xml:space="preserve">Gov provided 350 kits which include noodle, clothes and wheat. </t>
  </si>
  <si>
    <t>2017 Total</t>
  </si>
  <si>
    <t>Core NFI Kit Local</t>
  </si>
  <si>
    <t>Distributed Item number is also the same with HH</t>
  </si>
  <si>
    <t>Distributed Item number is number of HH</t>
  </si>
  <si>
    <t>SCI</t>
  </si>
  <si>
    <t xml:space="preserve">Sanitary Kit </t>
  </si>
  <si>
    <t>UNIQLO</t>
  </si>
  <si>
    <t>0-5</t>
  </si>
  <si>
    <t>0-5 Total</t>
  </si>
  <si>
    <t>Solor Lantern</t>
  </si>
  <si>
    <t>NFI_Solor_Lantern_Track</t>
  </si>
  <si>
    <t>Solor Equipment</t>
  </si>
  <si>
    <t>Solar Lantern</t>
  </si>
  <si>
    <t>Solar Lantern_LS</t>
  </si>
  <si>
    <t xml:space="preserve">Solar Lantern </t>
  </si>
  <si>
    <t>Alejandro Cuyar, Head of Rakhine Programs, 
alejandro.cuyar@ri.org</t>
  </si>
  <si>
    <t>Cyclone Mora Response</t>
  </si>
  <si>
    <t>For the fire victims (Shops&amp;HHs)</t>
  </si>
  <si>
    <t>Relocated to Individual Housing (Jan 2017)</t>
  </si>
  <si>
    <t>MoE</t>
  </si>
  <si>
    <t>Provided in Schools (Mora Repsonse)</t>
  </si>
  <si>
    <t>Population ( HH=57/Ind=187)</t>
  </si>
  <si>
    <t>Agency</t>
  </si>
  <si>
    <t>Khaung Doke Khar 1</t>
  </si>
  <si>
    <t>Khaung Doke Khar 2</t>
  </si>
  <si>
    <t>RSG</t>
  </si>
  <si>
    <t>BBS</t>
  </si>
  <si>
    <t>IDP Camp</t>
  </si>
  <si>
    <t>Achievement</t>
  </si>
  <si>
    <t>Shelters</t>
  </si>
  <si>
    <t>Rooms</t>
  </si>
  <si>
    <t>GRAND TOTAL</t>
  </si>
  <si>
    <t>Basara</t>
  </si>
  <si>
    <t>Baw Du Pa 1</t>
  </si>
  <si>
    <t>Baw Du Pa 2</t>
  </si>
  <si>
    <t>Dar Paing</t>
  </si>
  <si>
    <t>Kaung Doke Khar 1</t>
  </si>
  <si>
    <t>Kaung Doke Khar 2</t>
  </si>
  <si>
    <t>Maw Thi Ngar</t>
  </si>
  <si>
    <t>Thet Kael Pyin</t>
  </si>
  <si>
    <t>Taung Pa</t>
  </si>
  <si>
    <t>Kyaukphyu</t>
  </si>
  <si>
    <t>MRCS-QRC</t>
  </si>
  <si>
    <t>% IDP coverag</t>
  </si>
  <si>
    <t>3 LHs are using for Temporary Learning Spaces as the update of 2017.</t>
  </si>
  <si>
    <t>RSG-TIKA</t>
  </si>
  <si>
    <t>Population ( HH=18/Ind=77)</t>
  </si>
  <si>
    <t>`</t>
  </si>
  <si>
    <t># of Individual House Planned (Target)</t>
  </si>
  <si>
    <t># of Individual House Built</t>
  </si>
  <si>
    <t>#of Individual House Under Construction</t>
  </si>
  <si>
    <t>Individual House Built</t>
  </si>
  <si>
    <t>Individual House Under Construction</t>
  </si>
  <si>
    <t>Individual House Planned</t>
  </si>
  <si>
    <t>Camp Name/ Relocation Sites</t>
  </si>
  <si>
    <t># Informal /Makeshift Shelter Built</t>
  </si>
  <si>
    <t>Self Constructed</t>
  </si>
  <si>
    <t>Sum of HH Covered 2</t>
  </si>
  <si>
    <t>Temporary Shetler by Township</t>
  </si>
  <si>
    <t>Individual House by Township</t>
  </si>
  <si>
    <t>Sum of # of Individual House Built</t>
  </si>
  <si>
    <t>Sum of # Informal /Makeshift Shelter Built</t>
  </si>
  <si>
    <t>N/A</t>
  </si>
  <si>
    <t xml:space="preserve">Mosquito net </t>
  </si>
  <si>
    <t xml:space="preserve">Tarpaulin </t>
  </si>
  <si>
    <t xml:space="preserve">Blanket </t>
  </si>
  <si>
    <t xml:space="preserve">Kitchen Set </t>
  </si>
  <si>
    <t xml:space="preserve">Complementary Kit </t>
  </si>
  <si>
    <t xml:space="preserve">Plastic Mat </t>
  </si>
  <si>
    <t xml:space="preserve">Rakhine NFI Coverage &amp; Gaps by Households level </t>
  </si>
  <si>
    <t>Requirment (Individuals)</t>
  </si>
  <si>
    <t>Distributed  (Individuals)</t>
  </si>
  <si>
    <t>Individual Coverage</t>
  </si>
  <si>
    <t>Individaul Gap</t>
  </si>
  <si>
    <t>Household Coverage</t>
  </si>
  <si>
    <t>Total Population</t>
  </si>
  <si>
    <t>HH Gap (%)</t>
  </si>
  <si>
    <t>HH Coverage (%)</t>
  </si>
  <si>
    <t xml:space="preserve"> Estimated Individual Coverage</t>
  </si>
  <si>
    <t># of NFI distributed Household(s) in 2017 by Item type</t>
  </si>
  <si>
    <t>Shelter and Individaul House Progress</t>
  </si>
  <si>
    <t>Individual</t>
  </si>
  <si>
    <t>Age-Sex Breakdown per Camp</t>
  </si>
  <si>
    <t>This figure includes 2,500 IDPs (510 HH) living in makeshift shelter</t>
  </si>
  <si>
    <t>UNICEF</t>
  </si>
  <si>
    <t>Bathing Towel</t>
  </si>
  <si>
    <t>Storage Container</t>
  </si>
  <si>
    <t>CGI Sheet</t>
  </si>
  <si>
    <t>DRc</t>
  </si>
  <si>
    <t>SI/CDN</t>
  </si>
  <si>
    <t>Oxfam</t>
  </si>
  <si>
    <t>Core Hygiene NFI Kit- Local</t>
  </si>
  <si>
    <t>For the fire burnt effected Households</t>
  </si>
  <si>
    <t xml:space="preserve">NFI Core Kit </t>
  </si>
  <si>
    <t xml:space="preserve"> Estimated Individual Coverage </t>
  </si>
  <si>
    <t xml:space="preserve"> NFI Core Kit</t>
  </si>
  <si>
    <t>Individual Gap (%)</t>
  </si>
  <si>
    <t>2018 Total</t>
  </si>
  <si>
    <t xml:space="preserve">Plastic  Mat </t>
  </si>
  <si>
    <t># NFI Item Distribution in 12 Months by Township</t>
  </si>
  <si>
    <t># of NFI distributed Household(s) in 12 Months by Item type &amp; Township</t>
  </si>
  <si>
    <t># NFI Distribution in 12 Months by Organization</t>
  </si>
  <si>
    <t># of NFI distributed Household(s) in 12 Months by Orgainzation</t>
  </si>
  <si>
    <t xml:space="preserve">Mosquito net  </t>
  </si>
  <si>
    <t>NFI DISTRIBUTED HOUSEHOLDS &amp; ITEMS</t>
  </si>
  <si>
    <t>1BDP-</t>
  </si>
  <si>
    <t>Richard Tracey, CCCM/NFI/Shelter Cluster Coordinator, tracey@unhcr.org,09448027896</t>
  </si>
  <si>
    <t xml:space="preserve">Yasmine Maimuna Colijn , Camp Management PM 
 , yasmine.colijn@nrc.no, +95(0) 9250526637 </t>
  </si>
  <si>
    <t>Distributed to Disable person , one person per HH</t>
  </si>
  <si>
    <t>Male</t>
  </si>
  <si>
    <t>Female</t>
  </si>
  <si>
    <t>37</t>
  </si>
  <si>
    <t>Temporary Shelter in 
IDP Camps
in 2018</t>
  </si>
  <si>
    <t>Room</t>
  </si>
  <si>
    <t xml:space="preserve"> IDP coverage</t>
  </si>
  <si>
    <t xml:space="preserve"> Temporary Reconstructed, Maintenanced and Repaired in 2017 by Agency
</t>
  </si>
  <si>
    <t>MEA</t>
  </si>
  <si>
    <t>Thet Kae Pyin</t>
  </si>
  <si>
    <t>Reconstructed, Maintenanced and Repaired in 2017</t>
  </si>
  <si>
    <t xml:space="preserve">Travis Lyon
CCCM Officer
travis.lyon@drcmm.org
Phone: +95 976 089 8622 </t>
  </si>
  <si>
    <t xml:space="preserve">Thea Chaung  </t>
  </si>
  <si>
    <t xml:space="preserve">Ah Lel Kyun  </t>
  </si>
  <si>
    <t xml:space="preserve">Shwe Hlaing  </t>
  </si>
  <si>
    <t xml:space="preserve">  Taung Bway</t>
  </si>
  <si>
    <t xml:space="preserve">Sin Tet Maw  </t>
  </si>
  <si>
    <t xml:space="preserve">Khaung Toke  </t>
  </si>
  <si>
    <t xml:space="preserve">Goke Pi Htaunt  </t>
  </si>
  <si>
    <t xml:space="preserve">Sat Yon Maw  </t>
  </si>
  <si>
    <t xml:space="preserve">Nyaung Pin Gyi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</si>
</sst>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00_);_(* \(#,##0.00\);_(* &quot;-&quot;??_);_(@_)"/>
    <numFmt numFmtId="165" formatCode="_-* #,##0_-;\-* #,##0_-;_-* &quot;-&quot;??_-;_-@_-"/>
    <numFmt numFmtId="166" formatCode="[$-409]d/mmm/yyyy;@"/>
    <numFmt numFmtId="167" formatCode="_(* #,##0_);_(* \(#,##0\);_(* &quot;-&quot;??_);_(@_)"/>
    <numFmt numFmtId="168" formatCode="[$-409]d/mmm/yy;@"/>
    <numFmt numFmtId="169" formatCode="0.0"/>
    <numFmt numFmtId="170" formatCode="[$-409]d\-mmm\-yyyy;@"/>
    <numFmt numFmtId="171" formatCode="[$-409]dd\-mmm\-yy;@"/>
    <numFmt numFmtId="172" formatCode="dd/mmm/yy"/>
  </numFmts>
  <fonts count="90"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b/>
      <sz val="14"/>
      <color theme="1"/>
      <name val="Calibri"/>
      <family val="2"/>
      <scheme val="minor"/>
    </font>
    <font>
      <sz val="11"/>
      <color theme="0"/>
      <name val="Calibri"/>
      <family val="2"/>
    </font>
    <font>
      <b/>
      <sz val="28"/>
      <color theme="1"/>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4"/>
      <color theme="1"/>
      <name val="Franklin Gothic Medium Cond"/>
      <family val="2"/>
    </font>
    <font>
      <sz val="11"/>
      <color theme="1"/>
      <name val="Franklin Gothic Book"/>
      <family val="2"/>
    </font>
    <font>
      <sz val="11"/>
      <name val="Calibri"/>
      <family val="2"/>
    </font>
    <font>
      <b/>
      <sz val="16"/>
      <color indexed="8"/>
      <name val="Calibri"/>
      <family val="2"/>
    </font>
    <font>
      <b/>
      <sz val="10"/>
      <name val="Calibri"/>
      <family val="2"/>
    </font>
    <font>
      <b/>
      <sz val="11"/>
      <color indexed="9"/>
      <name val="Calibri"/>
      <family val="2"/>
    </font>
    <font>
      <sz val="11"/>
      <color indexed="8"/>
      <name val="Calibri"/>
      <family val="2"/>
    </font>
    <font>
      <sz val="11"/>
      <color indexed="9"/>
      <name val="Calibri"/>
      <family val="2"/>
    </font>
    <font>
      <b/>
      <sz val="11"/>
      <color indexed="8"/>
      <name val="Calibri"/>
      <family val="2"/>
    </font>
    <font>
      <sz val="10"/>
      <name val="MS Sans Serif"/>
      <family val="2"/>
    </font>
    <font>
      <sz val="11"/>
      <color rgb="FF000000"/>
      <name val="Calibri"/>
      <family val="2"/>
      <scheme val="minor"/>
    </font>
    <font>
      <sz val="10"/>
      <color theme="0"/>
      <name val="Calibri"/>
      <family val="2"/>
      <scheme val="minor"/>
    </font>
    <font>
      <b/>
      <sz val="28"/>
      <color theme="4" tint="0.79998168889431442"/>
      <name val="Calibri"/>
      <family val="2"/>
      <scheme val="minor"/>
    </font>
    <font>
      <b/>
      <sz val="12"/>
      <name val="Calibri"/>
      <family val="2"/>
      <scheme val="minor"/>
    </font>
    <font>
      <b/>
      <sz val="28"/>
      <color theme="8" tint="0.79998168889431442"/>
      <name val="Calibri"/>
      <family val="2"/>
      <scheme val="minor"/>
    </font>
    <font>
      <sz val="11"/>
      <color theme="0" tint="-4.9989318521683403E-2"/>
      <name val="Calibri"/>
      <family val="2"/>
      <scheme val="minor"/>
    </font>
    <font>
      <sz val="9"/>
      <color theme="1"/>
      <name val="Calibri"/>
      <family val="2"/>
      <scheme val="minor"/>
    </font>
    <font>
      <sz val="10"/>
      <name val="Arial"/>
      <family val="2"/>
    </font>
    <font>
      <b/>
      <sz val="9"/>
      <color theme="1"/>
      <name val="Calibri"/>
      <family val="2"/>
      <scheme val="minor"/>
    </font>
    <font>
      <b/>
      <sz val="20"/>
      <name val="Calibri"/>
      <family val="2"/>
      <scheme val="minor"/>
    </font>
    <font>
      <b/>
      <sz val="26"/>
      <name val="Calibri"/>
      <family val="2"/>
      <scheme val="minor"/>
    </font>
    <font>
      <b/>
      <sz val="16"/>
      <name val="Calibri"/>
      <family val="2"/>
      <scheme val="minor"/>
    </font>
    <font>
      <sz val="11"/>
      <color theme="2"/>
      <name val="Calibri"/>
      <family val="2"/>
      <scheme val="minor"/>
    </font>
    <font>
      <b/>
      <sz val="11"/>
      <color theme="2"/>
      <name val="Calibri"/>
      <family val="2"/>
      <scheme val="minor"/>
    </font>
    <font>
      <b/>
      <sz val="11"/>
      <name val="Calibri"/>
      <family val="2"/>
      <scheme val="minor"/>
    </font>
    <font>
      <b/>
      <sz val="11"/>
      <color theme="0"/>
      <name val="Calibri"/>
      <family val="2"/>
    </font>
    <font>
      <b/>
      <sz val="10"/>
      <name val="Arial"/>
      <family val="2"/>
    </font>
    <font>
      <b/>
      <sz val="10"/>
      <color theme="1"/>
      <name val="Calibri"/>
      <family val="2"/>
      <scheme val="minor"/>
    </font>
    <font>
      <sz val="11"/>
      <color rgb="FF000000"/>
      <name val="Calibri"/>
      <family val="2"/>
    </font>
    <font>
      <sz val="8"/>
      <color rgb="FF000000"/>
      <name val="Tahoma"/>
      <family val="2"/>
    </font>
    <font>
      <sz val="10"/>
      <color theme="1"/>
      <name val="Arial"/>
      <family val="2"/>
    </font>
    <font>
      <sz val="11"/>
      <color rgb="FFDCE6F1"/>
      <name val="Calibri"/>
      <family val="2"/>
      <scheme val="minor"/>
    </font>
    <font>
      <b/>
      <sz val="16"/>
      <color rgb="FFDCE6F1"/>
      <name val="Calibri"/>
      <family val="2"/>
    </font>
    <font>
      <sz val="10"/>
      <name val="Calibri"/>
      <family val="2"/>
      <scheme val="minor"/>
    </font>
    <font>
      <sz val="11"/>
      <color theme="4" tint="0.79998168889431442"/>
      <name val="Calibri"/>
      <family val="2"/>
      <scheme val="minor"/>
    </font>
    <font>
      <sz val="11"/>
      <color theme="0"/>
      <name val="Calibri"/>
      <family val="2"/>
    </font>
    <font>
      <u/>
      <sz val="10"/>
      <color indexed="12"/>
      <name val="Arial"/>
      <family val="2"/>
    </font>
    <font>
      <u/>
      <sz val="11"/>
      <color indexed="12"/>
      <name val="Calibri"/>
      <family val="2"/>
    </font>
    <font>
      <sz val="11"/>
      <color indexed="20"/>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Calibri"/>
      <family val="2"/>
      <scheme val="minor"/>
    </font>
    <font>
      <sz val="10"/>
      <color rgb="FFFF0000"/>
      <name val="Calibri"/>
      <family val="2"/>
      <scheme val="minor"/>
    </font>
    <font>
      <sz val="10"/>
      <color rgb="FF00B050"/>
      <name val="Calibri"/>
      <family val="2"/>
      <scheme val="minor"/>
    </font>
    <font>
      <sz val="10"/>
      <color theme="9" tint="-0.249977111117893"/>
      <name val="Calibri"/>
      <family val="2"/>
      <scheme val="minor"/>
    </font>
    <font>
      <b/>
      <sz val="10"/>
      <color theme="0"/>
      <name val="Calibri"/>
      <family val="2"/>
      <scheme val="minor"/>
    </font>
    <font>
      <b/>
      <sz val="12"/>
      <color rgb="FF000000"/>
      <name val="Calibri"/>
      <family val="2"/>
      <scheme val="minor"/>
    </font>
    <font>
      <b/>
      <sz val="24"/>
      <name val="Calibri"/>
      <family val="2"/>
      <scheme val="minor"/>
    </font>
    <font>
      <b/>
      <sz val="18"/>
      <name val="Calibri"/>
      <family val="2"/>
      <scheme val="minor"/>
    </font>
    <font>
      <sz val="13"/>
      <color theme="1"/>
      <name val="Calibri"/>
      <family val="2"/>
      <scheme val="minor"/>
    </font>
    <font>
      <b/>
      <sz val="15"/>
      <color theme="1"/>
      <name val="Calibri"/>
      <family val="2"/>
      <scheme val="minor"/>
    </font>
    <font>
      <sz val="11"/>
      <color theme="0"/>
      <name val="Calibri"/>
      <family val="2"/>
      <scheme val="minor"/>
    </font>
    <font>
      <sz val="11"/>
      <color rgb="FFFFFF00"/>
      <name val="Calibri"/>
      <family val="2"/>
      <scheme val="minor"/>
    </font>
    <font>
      <sz val="10"/>
      <color theme="1"/>
      <name val="Calibri"/>
      <family val="2"/>
      <scheme val="minor"/>
    </font>
    <font>
      <sz val="10"/>
      <name val="Calibri"/>
      <family val="2"/>
      <scheme val="minor"/>
    </font>
    <font>
      <b/>
      <sz val="10"/>
      <name val="Calibri"/>
      <family val="2"/>
      <scheme val="minor"/>
    </font>
    <font>
      <sz val="11"/>
      <color theme="1"/>
      <name val="Calibri"/>
      <family val="2"/>
      <scheme val="minor"/>
    </font>
    <font>
      <sz val="8"/>
      <name val="Arial"/>
      <family val="2"/>
    </font>
    <font>
      <sz val="9"/>
      <color indexed="81"/>
      <name val="Tahoma"/>
      <family val="2"/>
    </font>
    <font>
      <sz val="9"/>
      <color theme="1"/>
      <name val="Arial"/>
      <family val="2"/>
    </font>
    <font>
      <sz val="11"/>
      <color indexed="8"/>
      <name val="Calibri"/>
      <family val="2"/>
      <scheme val="minor"/>
    </font>
    <font>
      <sz val="11"/>
      <color theme="1"/>
      <name val="Arial"/>
      <family val="2"/>
    </font>
    <font>
      <b/>
      <sz val="10"/>
      <color rgb="FF000000"/>
      <name val="Calibri"/>
      <family val="2"/>
      <scheme val="minor"/>
    </font>
    <font>
      <b/>
      <sz val="11"/>
      <color theme="1"/>
      <name val="Calibri"/>
      <family val="2"/>
    </font>
    <font>
      <b/>
      <sz val="11"/>
      <name val="Calibri"/>
      <family val="2"/>
    </font>
    <font>
      <b/>
      <sz val="16"/>
      <color theme="1"/>
      <name val="Calibri"/>
      <family val="2"/>
      <scheme val="minor"/>
    </font>
    <font>
      <sz val="11"/>
      <color theme="1"/>
      <name val="Calibri"/>
      <family val="2"/>
      <scheme val="minor"/>
    </font>
    <font>
      <sz val="11"/>
      <color theme="1"/>
      <name val="Calibri"/>
      <family val="2"/>
      <scheme val="minor"/>
    </font>
  </fonts>
  <fills count="60">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5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bgColor indexed="64"/>
      </patternFill>
    </fill>
    <fill>
      <patternFill patternType="solid">
        <fgColor indexed="42"/>
        <bgColor indexed="64"/>
      </patternFill>
    </fill>
    <fill>
      <patternFill patternType="solid">
        <fgColor rgb="FFDCE6F1"/>
        <bgColor indexed="64"/>
      </patternFill>
    </fill>
    <fill>
      <patternFill patternType="solid">
        <fgColor theme="4" tint="0.39997558519241921"/>
        <bgColor indexed="64"/>
      </patternFill>
    </fill>
    <fill>
      <patternFill patternType="solid">
        <fgColor rgb="FF6699FF"/>
        <bgColor indexed="64"/>
      </patternFill>
    </fill>
    <fill>
      <patternFill patternType="solid">
        <fgColor rgb="FFFFC7CE"/>
      </patternFill>
    </fill>
    <fill>
      <patternFill patternType="solid">
        <fgColor rgb="FF99CCFF"/>
        <bgColor indexed="64"/>
      </patternFill>
    </fill>
    <fill>
      <patternFill patternType="solid">
        <fgColor theme="4"/>
        <bgColor theme="4"/>
      </patternFill>
    </fill>
    <fill>
      <patternFill patternType="solid">
        <fgColor theme="8" tint="-0.249977111117893"/>
        <bgColor indexed="64"/>
      </patternFill>
    </fill>
    <fill>
      <patternFill patternType="solid">
        <fgColor rgb="FFFFFF99"/>
        <bgColor indexed="64"/>
      </patternFill>
    </fill>
    <fill>
      <patternFill patternType="solid">
        <fgColor theme="2" tint="-0.499984740745262"/>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00B0F0"/>
        <bgColor indexed="64"/>
      </patternFill>
    </fill>
    <fill>
      <patternFill patternType="solid">
        <fgColor theme="0" tint="-0.14999847407452621"/>
        <bgColor theme="0" tint="-0.14999847407452621"/>
      </patternFill>
    </fill>
    <fill>
      <patternFill patternType="solid">
        <fgColor theme="5" tint="-0.249977111117893"/>
        <bgColor indexed="64"/>
      </patternFill>
    </fill>
    <fill>
      <patternFill patternType="solid">
        <fgColor theme="8" tint="0.59999389629810485"/>
        <bgColor indexed="64"/>
      </patternFill>
    </fill>
    <fill>
      <patternFill patternType="solid">
        <fgColor theme="4" tint="0.79998168889431442"/>
        <bgColor indexed="65"/>
      </patternFill>
    </fill>
    <fill>
      <patternFill patternType="solid">
        <fgColor theme="9"/>
      </patternFill>
    </fill>
    <fill>
      <patternFill patternType="solid">
        <fgColor theme="9"/>
        <bgColor indexed="64"/>
      </patternFill>
    </fill>
    <fill>
      <patternFill patternType="solid">
        <fgColor theme="5" tint="-0.249977111117893"/>
        <bgColor indexed="65"/>
      </patternFill>
    </fill>
    <fill>
      <patternFill patternType="solid">
        <fgColor theme="5" tint="-0.249977111117893"/>
        <bgColor theme="9"/>
      </patternFill>
    </fill>
    <fill>
      <patternFill patternType="solid">
        <fgColor rgb="FF7EF2AD"/>
        <bgColor indexed="64"/>
      </patternFill>
    </fill>
    <fill>
      <patternFill patternType="solid">
        <fgColor theme="8" tint="0.79998168889431442"/>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top/>
      <bottom style="thin">
        <color rgb="FF000000"/>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1">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5" fillId="14" borderId="6" applyNumberFormat="0" applyAlignment="0" applyProtection="0"/>
    <xf numFmtId="43" fontId="30" fillId="0" borderId="0" applyFont="0" applyFill="0" applyBorder="0" applyAlignment="0" applyProtection="0"/>
    <xf numFmtId="0" fontId="38" fillId="0" borderId="0"/>
    <xf numFmtId="171" fontId="38" fillId="0" borderId="0"/>
    <xf numFmtId="171" fontId="30" fillId="0" borderId="0"/>
    <xf numFmtId="0" fontId="59" fillId="40" borderId="0" applyNumberFormat="0" applyBorder="0" applyAlignment="0" applyProtection="0"/>
    <xf numFmtId="0" fontId="57" fillId="0" borderId="0" applyNumberFormat="0" applyFill="0" applyBorder="0" applyAlignment="0" applyProtection="0">
      <alignment vertical="top"/>
      <protection locked="0"/>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alignment vertical="top"/>
      <protection locked="0"/>
    </xf>
    <xf numFmtId="0" fontId="38" fillId="0" borderId="0"/>
    <xf numFmtId="0" fontId="73" fillId="54" borderId="0" applyNumberFormat="0" applyBorder="0" applyAlignment="0" applyProtection="0"/>
  </cellStyleXfs>
  <cellXfs count="1234">
    <xf numFmtId="0" fontId="0" fillId="0" borderId="0" xfId="0"/>
    <xf numFmtId="0" fontId="0" fillId="0" borderId="0" xfId="0" applyBorder="1"/>
    <xf numFmtId="0" fontId="0" fillId="0" borderId="0" xfId="0" applyBorder="1" applyAlignment="1">
      <alignment horizontal="left" vertical="center"/>
    </xf>
    <xf numFmtId="0" fontId="5" fillId="0" borderId="0" xfId="0" applyFont="1"/>
    <xf numFmtId="0" fontId="0" fillId="0" borderId="0" xfId="0" applyNumberFormat="1"/>
    <xf numFmtId="0" fontId="0" fillId="0" borderId="0" xfId="0" applyFill="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11" borderId="0" xfId="0" applyFill="1" applyAlignment="1">
      <alignment horizontal="left"/>
    </xf>
    <xf numFmtId="0" fontId="0" fillId="11" borderId="0" xfId="0" applyNumberFormat="1" applyFill="1"/>
    <xf numFmtId="0" fontId="3" fillId="11" borderId="1" xfId="0" applyFont="1" applyFill="1" applyBorder="1"/>
    <xf numFmtId="0" fontId="6" fillId="0" borderId="0" xfId="0" applyFont="1"/>
    <xf numFmtId="0" fontId="0" fillId="15" borderId="0" xfId="0" applyFill="1"/>
    <xf numFmtId="0" fontId="3" fillId="0" borderId="0" xfId="0" applyFont="1"/>
    <xf numFmtId="0" fontId="0" fillId="0" borderId="0" xfId="0" applyFill="1" applyBorder="1"/>
    <xf numFmtId="0" fontId="3" fillId="0" borderId="0" xfId="0" applyFont="1" applyFill="1" applyBorder="1"/>
    <xf numFmtId="0" fontId="15" fillId="0" borderId="0" xfId="9" applyFill="1" applyBorder="1" applyAlignment="1">
      <alignment horizontal="center"/>
    </xf>
    <xf numFmtId="0" fontId="0" fillId="0" borderId="1" xfId="0" applyFill="1" applyBorder="1"/>
    <xf numFmtId="0" fontId="0" fillId="0" borderId="0" xfId="0" applyAlignment="1">
      <alignment horizontal="left"/>
    </xf>
    <xf numFmtId="0" fontId="13" fillId="0" borderId="0" xfId="9" applyFont="1" applyFill="1" applyBorder="1" applyAlignment="1">
      <alignment horizontal="center"/>
    </xf>
    <xf numFmtId="0" fontId="13" fillId="0" borderId="0" xfId="9" applyFont="1" applyFill="1" applyBorder="1" applyAlignment="1">
      <alignment horizontal="left"/>
    </xf>
    <xf numFmtId="165" fontId="0" fillId="0" borderId="0" xfId="7" applyNumberFormat="1" applyFont="1"/>
    <xf numFmtId="0" fontId="21" fillId="0" borderId="0" xfId="3" applyFont="1"/>
    <xf numFmtId="0" fontId="22" fillId="0" borderId="0" xfId="3"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0" fontId="0" fillId="2" borderId="0" xfId="0" applyFill="1"/>
    <xf numFmtId="1" fontId="0" fillId="0" borderId="0" xfId="0" applyNumberFormat="1"/>
    <xf numFmtId="0" fontId="0" fillId="0" borderId="0" xfId="0"/>
    <xf numFmtId="0" fontId="0" fillId="21" borderId="0" xfId="0" applyFill="1"/>
    <xf numFmtId="0" fontId="0" fillId="10" borderId="0" xfId="0" applyFill="1" applyBorder="1"/>
    <xf numFmtId="0" fontId="0" fillId="0" borderId="0" xfId="0" pivotButton="1"/>
    <xf numFmtId="0" fontId="0" fillId="0" borderId="0" xfId="0"/>
    <xf numFmtId="0" fontId="0" fillId="0" borderId="0" xfId="0"/>
    <xf numFmtId="0" fontId="0" fillId="0" borderId="1" xfId="0" applyBorder="1" applyAlignment="1">
      <alignment horizontal="right"/>
    </xf>
    <xf numFmtId="0" fontId="0" fillId="0" borderId="0" xfId="0" applyAlignment="1">
      <alignment textRotation="90"/>
    </xf>
    <xf numFmtId="0" fontId="0" fillId="24" borderId="0" xfId="0" applyFill="1"/>
    <xf numFmtId="0" fontId="10" fillId="0" borderId="0" xfId="6" applyFont="1" applyFill="1" applyBorder="1" applyAlignment="1">
      <alignment horizontal="center" vertical="center"/>
    </xf>
    <xf numFmtId="0" fontId="0" fillId="0" borderId="0" xfId="0" applyNumberFormat="1" applyBorder="1"/>
    <xf numFmtId="0" fontId="13" fillId="0" borderId="0" xfId="0" applyFont="1"/>
    <xf numFmtId="0" fontId="0" fillId="0" borderId="13" xfId="0" applyBorder="1"/>
    <xf numFmtId="0" fontId="0" fillId="0" borderId="14" xfId="0" applyBorder="1"/>
    <xf numFmtId="0" fontId="0" fillId="0" borderId="0" xfId="0"/>
    <xf numFmtId="0" fontId="0" fillId="0" borderId="0" xfId="0"/>
    <xf numFmtId="165" fontId="0" fillId="0" borderId="1" xfId="7" applyNumberFormat="1" applyFont="1" applyBorder="1"/>
    <xf numFmtId="165" fontId="3" fillId="11" borderId="1" xfId="7" applyNumberFormat="1" applyFont="1" applyFill="1" applyBorder="1"/>
    <xf numFmtId="165" fontId="3" fillId="7" borderId="1" xfId="7" applyNumberFormat="1" applyFont="1" applyFill="1" applyBorder="1"/>
    <xf numFmtId="165" fontId="0" fillId="0" borderId="0" xfId="0" applyNumberFormat="1"/>
    <xf numFmtId="0" fontId="11" fillId="11" borderId="0" xfId="6" applyFont="1" applyFill="1" applyBorder="1" applyAlignment="1">
      <alignment vertical="center"/>
    </xf>
    <xf numFmtId="0" fontId="5" fillId="0" borderId="0" xfId="0" applyFont="1" applyBorder="1"/>
    <xf numFmtId="0" fontId="5" fillId="0" borderId="0" xfId="0" applyFont="1" applyFill="1" applyBorder="1"/>
    <xf numFmtId="0" fontId="0" fillId="0" borderId="0" xfId="0" applyAlignment="1">
      <alignment horizontal="left" vertical="top"/>
    </xf>
    <xf numFmtId="0" fontId="34" fillId="0" borderId="0" xfId="6" applyFont="1" applyFill="1" applyBorder="1" applyAlignment="1">
      <alignment horizontal="left" vertical="center"/>
    </xf>
    <xf numFmtId="0" fontId="9" fillId="17" borderId="1" xfId="6" applyFill="1" applyBorder="1" applyAlignment="1">
      <alignment horizontal="center"/>
    </xf>
    <xf numFmtId="0" fontId="36" fillId="18" borderId="0" xfId="0" applyFont="1" applyFill="1"/>
    <xf numFmtId="17" fontId="0" fillId="10" borderId="0" xfId="0" applyNumberFormat="1" applyFill="1"/>
    <xf numFmtId="0" fontId="0" fillId="0" borderId="0" xfId="0" applyFill="1" applyBorder="1" applyAlignment="1">
      <alignment horizontal="left" vertical="center"/>
    </xf>
    <xf numFmtId="0" fontId="0" fillId="0" borderId="0" xfId="0"/>
    <xf numFmtId="9" fontId="0" fillId="0" borderId="0" xfId="0" applyNumberFormat="1" applyFill="1" applyBorder="1"/>
    <xf numFmtId="9" fontId="0" fillId="0" borderId="0" xfId="8" applyFont="1" applyFill="1" applyBorder="1"/>
    <xf numFmtId="0" fontId="0" fillId="0" borderId="0" xfId="0"/>
    <xf numFmtId="2" fontId="0" fillId="0" borderId="1" xfId="0" applyNumberFormat="1" applyFont="1" applyBorder="1"/>
    <xf numFmtId="2" fontId="0" fillId="0" borderId="20" xfId="0" applyNumberFormat="1" applyFont="1" applyBorder="1"/>
    <xf numFmtId="2" fontId="0" fillId="0" borderId="19" xfId="0" applyNumberFormat="1" applyFont="1" applyBorder="1"/>
    <xf numFmtId="2" fontId="0" fillId="0" borderId="21" xfId="0" applyNumberFormat="1" applyFont="1" applyBorder="1"/>
    <xf numFmtId="0" fontId="3" fillId="0" borderId="22" xfId="0" applyFont="1" applyFill="1" applyBorder="1"/>
    <xf numFmtId="0" fontId="3" fillId="0" borderId="23" xfId="0" applyFont="1" applyFill="1" applyBorder="1"/>
    <xf numFmtId="9" fontId="37" fillId="0" borderId="0" xfId="8" applyNumberFormat="1" applyFont="1" applyFill="1"/>
    <xf numFmtId="0" fontId="0" fillId="25" borderId="28" xfId="0" applyFill="1" applyBorder="1"/>
    <xf numFmtId="0" fontId="0" fillId="0" borderId="0" xfId="0"/>
    <xf numFmtId="0" fontId="0" fillId="0" borderId="0" xfId="0"/>
    <xf numFmtId="0" fontId="41" fillId="11" borderId="0" xfId="6" applyFont="1" applyFill="1" applyBorder="1" applyAlignment="1">
      <alignment vertical="center"/>
    </xf>
    <xf numFmtId="0" fontId="11" fillId="10" borderId="0" xfId="6" applyFont="1" applyFill="1" applyBorder="1" applyAlignment="1">
      <alignment vertical="center"/>
    </xf>
    <xf numFmtId="0" fontId="43" fillId="18" borderId="0" xfId="0" applyFont="1" applyFill="1"/>
    <xf numFmtId="0" fontId="14" fillId="11" borderId="1" xfId="0" applyFont="1" applyFill="1" applyBorder="1" applyAlignment="1">
      <alignment horizontal="center" vertical="center" wrapText="1"/>
    </xf>
    <xf numFmtId="0" fontId="44" fillId="18" borderId="0" xfId="0" applyFont="1" applyFill="1"/>
    <xf numFmtId="0" fontId="37" fillId="0" borderId="0" xfId="0" applyFont="1"/>
    <xf numFmtId="9" fontId="0" fillId="0" borderId="0" xfId="8" applyFont="1"/>
    <xf numFmtId="0" fontId="0" fillId="24" borderId="1" xfId="0" applyFill="1" applyBorder="1" applyAlignment="1">
      <alignment horizontal="right"/>
    </xf>
    <xf numFmtId="0" fontId="0" fillId="0" borderId="0" xfId="0" applyAlignment="1">
      <alignment horizontal="right"/>
    </xf>
    <xf numFmtId="0" fontId="0" fillId="0" borderId="1" xfId="0" applyNumberFormat="1" applyBorder="1"/>
    <xf numFmtId="0" fontId="0" fillId="0" borderId="8" xfId="0" applyBorder="1"/>
    <xf numFmtId="0" fontId="0" fillId="0" borderId="8" xfId="0" applyNumberFormat="1" applyBorder="1"/>
    <xf numFmtId="2" fontId="0" fillId="0" borderId="0" xfId="0" applyNumberFormat="1"/>
    <xf numFmtId="0" fontId="0" fillId="0" borderId="5" xfId="0" applyBorder="1"/>
    <xf numFmtId="0" fontId="0" fillId="0" borderId="5" xfId="0" applyBorder="1" applyAlignment="1">
      <alignment horizontal="right"/>
    </xf>
    <xf numFmtId="15" fontId="0" fillId="0" borderId="0" xfId="0" applyNumberFormat="1" applyFill="1" applyAlignment="1">
      <alignment horizontal="left" vertical="top"/>
    </xf>
    <xf numFmtId="0" fontId="0" fillId="0" borderId="0" xfId="0" applyFill="1" applyAlignment="1">
      <alignment horizontal="left" vertical="top"/>
    </xf>
    <xf numFmtId="0" fontId="0" fillId="0" borderId="13" xfId="0" applyFill="1" applyBorder="1"/>
    <xf numFmtId="0" fontId="0" fillId="0" borderId="14" xfId="0" applyFill="1" applyBorder="1"/>
    <xf numFmtId="0" fontId="16" fillId="19" borderId="0" xfId="0" applyFont="1" applyFill="1" applyAlignment="1">
      <alignment horizontal="center" vertical="center"/>
    </xf>
    <xf numFmtId="0" fontId="12" fillId="10" borderId="0" xfId="0" applyFont="1" applyFill="1" applyAlignment="1">
      <alignment horizontal="left"/>
    </xf>
    <xf numFmtId="0" fontId="16" fillId="16" borderId="0" xfId="0" applyFont="1" applyFill="1" applyAlignment="1">
      <alignment horizontal="center"/>
    </xf>
    <xf numFmtId="166" fontId="45" fillId="11" borderId="0" xfId="6" applyNumberFormat="1" applyFont="1" applyFill="1" applyBorder="1" applyAlignment="1">
      <alignment horizontal="left" vertical="center"/>
    </xf>
    <xf numFmtId="0" fontId="47" fillId="0" borderId="0" xfId="0" applyFont="1" applyAlignment="1">
      <alignment wrapText="1"/>
    </xf>
    <xf numFmtId="0" fontId="38" fillId="0" borderId="0" xfId="0" applyFont="1" applyAlignment="1">
      <alignment wrapText="1"/>
    </xf>
    <xf numFmtId="0" fontId="0" fillId="0" borderId="0" xfId="0" applyAlignment="1">
      <alignment wrapText="1"/>
    </xf>
    <xf numFmtId="0" fontId="0" fillId="24" borderId="1" xfId="0" applyNumberFormat="1" applyFill="1" applyBorder="1" applyAlignment="1">
      <alignment horizontal="right"/>
    </xf>
    <xf numFmtId="0" fontId="48" fillId="25" borderId="26" xfId="0" applyFont="1" applyFill="1" applyBorder="1"/>
    <xf numFmtId="0" fontId="4" fillId="25" borderId="27" xfId="0" applyFont="1" applyFill="1" applyBorder="1"/>
    <xf numFmtId="0" fontId="48" fillId="25" borderId="25" xfId="0" applyFont="1" applyFill="1" applyBorder="1"/>
    <xf numFmtId="0" fontId="48" fillId="0" borderId="30" xfId="0" applyFont="1" applyFill="1" applyBorder="1"/>
    <xf numFmtId="0" fontId="48" fillId="0" borderId="9" xfId="0" applyFont="1" applyFill="1" applyBorder="1"/>
    <xf numFmtId="0" fontId="48" fillId="0" borderId="31" xfId="0" applyFont="1" applyFill="1" applyBorder="1"/>
    <xf numFmtId="0" fontId="48" fillId="0" borderId="4" xfId="0" applyFont="1" applyFill="1" applyBorder="1"/>
    <xf numFmtId="0" fontId="48" fillId="0" borderId="32" xfId="0" applyFont="1" applyFill="1" applyBorder="1"/>
    <xf numFmtId="0" fontId="48" fillId="0" borderId="33" xfId="0" applyFont="1" applyFill="1" applyBorder="1"/>
    <xf numFmtId="0" fontId="3" fillId="0" borderId="4" xfId="0" applyFont="1" applyFill="1" applyBorder="1"/>
    <xf numFmtId="0" fontId="3" fillId="0" borderId="34" xfId="0" applyFont="1" applyFill="1" applyBorder="1"/>
    <xf numFmtId="0" fontId="4" fillId="34" borderId="0" xfId="0" applyFont="1" applyFill="1" applyBorder="1"/>
    <xf numFmtId="0" fontId="4" fillId="0" borderId="0" xfId="0" applyFont="1" applyFill="1" applyBorder="1"/>
    <xf numFmtId="9" fontId="4" fillId="0" borderId="0" xfId="8" applyFont="1" applyFill="1" applyBorder="1"/>
    <xf numFmtId="0" fontId="3" fillId="0" borderId="3" xfId="0" applyNumberFormat="1" applyFont="1" applyFill="1" applyBorder="1"/>
    <xf numFmtId="1" fontId="3" fillId="0" borderId="2" xfId="0" applyNumberFormat="1" applyFont="1" applyFill="1" applyBorder="1"/>
    <xf numFmtId="165" fontId="49" fillId="0" borderId="0" xfId="7" applyNumberFormat="1" applyFont="1" applyFill="1" applyBorder="1"/>
    <xf numFmtId="0" fontId="4" fillId="33" borderId="0" xfId="0" applyFont="1" applyFill="1" applyBorder="1"/>
    <xf numFmtId="2" fontId="4" fillId="0" borderId="0" xfId="0" applyNumberFormat="1" applyFont="1" applyFill="1" applyBorder="1"/>
    <xf numFmtId="165" fontId="4" fillId="0" borderId="0" xfId="0" applyNumberFormat="1" applyFont="1" applyFill="1" applyBorder="1"/>
    <xf numFmtId="1" fontId="3" fillId="0" borderId="0" xfId="0" applyNumberFormat="1" applyFont="1" applyFill="1" applyBorder="1"/>
    <xf numFmtId="0" fontId="0" fillId="0" borderId="0" xfId="0" applyFont="1" applyFill="1" applyBorder="1"/>
    <xf numFmtId="0" fontId="16" fillId="16" borderId="0" xfId="0" applyFont="1" applyFill="1" applyAlignment="1">
      <alignment horizontal="left"/>
    </xf>
    <xf numFmtId="0" fontId="4" fillId="0" borderId="0" xfId="0" applyFont="1"/>
    <xf numFmtId="0" fontId="4" fillId="0" borderId="1" xfId="0" applyFont="1" applyBorder="1"/>
    <xf numFmtId="0" fontId="51" fillId="0" borderId="0" xfId="0" applyFont="1" applyAlignment="1">
      <alignment horizontal="left"/>
    </xf>
    <xf numFmtId="0" fontId="51" fillId="0" borderId="0" xfId="0" applyFont="1"/>
    <xf numFmtId="0" fontId="51" fillId="0" borderId="0" xfId="0" applyFont="1" applyBorder="1"/>
    <xf numFmtId="0" fontId="51" fillId="0" borderId="0" xfId="0" applyFont="1" applyBorder="1" applyAlignment="1">
      <alignment horizontal="left"/>
    </xf>
    <xf numFmtId="0" fontId="51" fillId="0" borderId="0" xfId="0" applyFont="1" applyBorder="1" applyAlignment="1">
      <alignment horizontal="right"/>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13" fillId="0" borderId="0" xfId="9" applyFont="1" applyFill="1" applyBorder="1" applyAlignment="1">
      <alignment horizontal="right"/>
    </xf>
    <xf numFmtId="165" fontId="13" fillId="0" borderId="0" xfId="9" applyNumberFormat="1" applyFont="1" applyFill="1" applyBorder="1" applyAlignment="1">
      <alignment horizontal="right"/>
    </xf>
    <xf numFmtId="0" fontId="0" fillId="0" borderId="4" xfId="0" applyFill="1" applyBorder="1"/>
    <xf numFmtId="16" fontId="0" fillId="0" borderId="0" xfId="0" applyNumberFormat="1"/>
    <xf numFmtId="16" fontId="0" fillId="0" borderId="0" xfId="0" quotePrefix="1" applyNumberFormat="1"/>
    <xf numFmtId="0" fontId="40" fillId="11" borderId="0" xfId="6" applyFont="1" applyFill="1" applyBorder="1" applyAlignment="1">
      <alignment vertical="center"/>
    </xf>
    <xf numFmtId="0" fontId="9" fillId="17" borderId="1" xfId="6" quotePrefix="1" applyFill="1" applyBorder="1" applyAlignment="1">
      <alignment horizontal="center"/>
    </xf>
    <xf numFmtId="0" fontId="0" fillId="0" borderId="4" xfId="0" applyBorder="1"/>
    <xf numFmtId="0" fontId="0" fillId="0" borderId="25" xfId="0" applyBorder="1" applyAlignment="1">
      <alignment horizontal="center" vertical="center" wrapText="1"/>
    </xf>
    <xf numFmtId="0" fontId="0" fillId="0" borderId="25" xfId="0" applyBorder="1" applyAlignment="1">
      <alignment horizontal="left" vertical="center" wrapText="1"/>
    </xf>
    <xf numFmtId="0" fontId="16" fillId="39" borderId="25" xfId="0" applyFont="1" applyFill="1" applyBorder="1" applyAlignment="1">
      <alignment horizontal="left" vertical="center"/>
    </xf>
    <xf numFmtId="0" fontId="16" fillId="39" borderId="25" xfId="0" applyFont="1" applyFill="1" applyBorder="1" applyAlignment="1">
      <alignment horizontal="left" vertical="center" wrapText="1"/>
    </xf>
    <xf numFmtId="0" fontId="16" fillId="39" borderId="25" xfId="0" applyFont="1" applyFill="1" applyBorder="1" applyAlignment="1">
      <alignment horizontal="left" vertical="top"/>
    </xf>
    <xf numFmtId="0" fontId="0" fillId="0" borderId="25" xfId="0" applyBorder="1" applyAlignment="1">
      <alignment vertical="center"/>
    </xf>
    <xf numFmtId="0" fontId="0" fillId="0" borderId="30" xfId="0" applyBorder="1"/>
    <xf numFmtId="0" fontId="0" fillId="37" borderId="0" xfId="0" applyFill="1" applyBorder="1"/>
    <xf numFmtId="0" fontId="0" fillId="0" borderId="22" xfId="0" applyBorder="1"/>
    <xf numFmtId="0" fontId="0" fillId="0" borderId="35" xfId="0" applyBorder="1"/>
    <xf numFmtId="0" fontId="11" fillId="11" borderId="17" xfId="6" applyFont="1" applyFill="1" applyBorder="1" applyAlignment="1">
      <alignment vertical="center"/>
    </xf>
    <xf numFmtId="0" fontId="11" fillId="11" borderId="16" xfId="6" applyFont="1" applyFill="1" applyBorder="1" applyAlignment="1">
      <alignment vertical="center"/>
    </xf>
    <xf numFmtId="0" fontId="0" fillId="37" borderId="16" xfId="0" applyFill="1" applyBorder="1"/>
    <xf numFmtId="0" fontId="0" fillId="37" borderId="24" xfId="0" applyFill="1" applyBorder="1"/>
    <xf numFmtId="0" fontId="0" fillId="37" borderId="30" xfId="0" applyFill="1" applyBorder="1"/>
    <xf numFmtId="0" fontId="10" fillId="11" borderId="35" xfId="6" applyFont="1" applyFill="1" applyBorder="1" applyAlignment="1">
      <alignment horizontal="center" vertical="center"/>
    </xf>
    <xf numFmtId="0" fontId="0" fillId="11" borderId="35" xfId="0" applyFill="1" applyBorder="1"/>
    <xf numFmtId="0" fontId="0" fillId="37" borderId="35" xfId="0" applyFill="1" applyBorder="1"/>
    <xf numFmtId="0" fontId="0" fillId="37" borderId="15" xfId="0" applyFill="1" applyBorder="1"/>
    <xf numFmtId="0" fontId="0" fillId="0" borderId="1" xfId="0" applyBorder="1" applyAlignment="1">
      <alignment horizontal="left"/>
    </xf>
    <xf numFmtId="0" fontId="0" fillId="0" borderId="3" xfId="0" applyBorder="1"/>
    <xf numFmtId="0" fontId="0" fillId="0" borderId="1" xfId="0" applyNumberFormat="1" applyBorder="1" applyAlignment="1">
      <alignment horizontal="right"/>
    </xf>
    <xf numFmtId="0" fontId="0" fillId="0" borderId="1" xfId="0" applyBorder="1" applyAlignment="1">
      <alignment horizontal="left" indent="1"/>
    </xf>
    <xf numFmtId="0" fontId="0" fillId="0" borderId="1" xfId="0" pivotButton="1" applyBorder="1"/>
    <xf numFmtId="0" fontId="0" fillId="0" borderId="17" xfId="0" applyBorder="1"/>
    <xf numFmtId="0" fontId="0" fillId="0" borderId="16" xfId="0" applyBorder="1"/>
    <xf numFmtId="0" fontId="0" fillId="0" borderId="24" xfId="0" applyBorder="1"/>
    <xf numFmtId="0" fontId="11" fillId="11" borderId="24" xfId="6" applyFont="1" applyFill="1" applyBorder="1" applyAlignment="1">
      <alignment vertical="center"/>
    </xf>
    <xf numFmtId="0" fontId="11" fillId="11" borderId="22" xfId="6" applyFont="1" applyFill="1" applyBorder="1" applyAlignment="1">
      <alignment vertical="center"/>
    </xf>
    <xf numFmtId="0" fontId="11" fillId="11" borderId="35" xfId="6" applyFont="1" applyFill="1" applyBorder="1" applyAlignment="1">
      <alignment vertical="center"/>
    </xf>
    <xf numFmtId="0" fontId="11" fillId="11" borderId="15" xfId="6" applyFont="1" applyFill="1" applyBorder="1" applyAlignment="1">
      <alignment vertical="center"/>
    </xf>
    <xf numFmtId="0" fontId="11" fillId="10" borderId="0" xfId="6" applyFont="1" applyFill="1" applyBorder="1" applyAlignment="1">
      <alignment horizontal="right" vertical="center"/>
    </xf>
    <xf numFmtId="0" fontId="11" fillId="10" borderId="0" xfId="6" applyFont="1" applyFill="1" applyBorder="1" applyAlignment="1">
      <alignment horizontal="left" vertical="center"/>
    </xf>
    <xf numFmtId="0" fontId="10" fillId="10" borderId="0" xfId="6" applyFont="1" applyFill="1" applyBorder="1" applyAlignment="1">
      <alignment horizontal="center" vertical="center"/>
    </xf>
    <xf numFmtId="0" fontId="5" fillId="10" borderId="0" xfId="0" applyFont="1" applyFill="1" applyBorder="1"/>
    <xf numFmtId="0" fontId="11" fillId="11" borderId="30" xfId="6" applyFont="1" applyFill="1" applyBorder="1" applyAlignment="1">
      <alignment vertical="center"/>
    </xf>
    <xf numFmtId="0" fontId="10" fillId="11" borderId="15" xfId="6" applyFont="1" applyFill="1" applyBorder="1" applyAlignment="1">
      <alignment horizontal="center" vertical="center"/>
    </xf>
    <xf numFmtId="0" fontId="41" fillId="11" borderId="35" xfId="6" applyFont="1" applyFill="1" applyBorder="1" applyAlignment="1">
      <alignment vertical="center"/>
    </xf>
    <xf numFmtId="0" fontId="11" fillId="11" borderId="17" xfId="6" applyFont="1" applyFill="1" applyBorder="1" applyAlignment="1">
      <alignment horizontal="right" vertical="center"/>
    </xf>
    <xf numFmtId="0" fontId="52" fillId="37" borderId="16" xfId="0" applyFont="1" applyFill="1" applyBorder="1"/>
    <xf numFmtId="0" fontId="13" fillId="3" borderId="8" xfId="0" applyFont="1" applyFill="1" applyBorder="1"/>
    <xf numFmtId="0" fontId="13" fillId="7" borderId="8" xfId="0" applyFont="1" applyFill="1" applyBorder="1" applyAlignment="1">
      <alignment wrapText="1"/>
    </xf>
    <xf numFmtId="0" fontId="13" fillId="12" borderId="8" xfId="0" applyFont="1" applyFill="1" applyBorder="1" applyAlignment="1">
      <alignment wrapText="1"/>
    </xf>
    <xf numFmtId="0" fontId="13" fillId="17" borderId="8" xfId="0" applyFont="1" applyFill="1" applyBorder="1" applyAlignment="1">
      <alignment wrapText="1"/>
    </xf>
    <xf numFmtId="0" fontId="13" fillId="2" borderId="8" xfId="0" applyFont="1" applyFill="1" applyBorder="1"/>
    <xf numFmtId="0" fontId="0" fillId="0" borderId="0" xfId="0" applyFill="1" applyAlignment="1">
      <alignment horizontal="right"/>
    </xf>
    <xf numFmtId="9" fontId="0" fillId="0" borderId="0" xfId="8" applyFont="1" applyFill="1"/>
    <xf numFmtId="167" fontId="0" fillId="0" borderId="1" xfId="7" applyNumberFormat="1" applyFont="1" applyBorder="1"/>
    <xf numFmtId="165" fontId="0" fillId="7" borderId="1" xfId="7" applyNumberFormat="1" applyFont="1" applyFill="1" applyBorder="1"/>
    <xf numFmtId="9" fontId="0" fillId="7" borderId="1" xfId="8" applyFont="1" applyFill="1" applyBorder="1"/>
    <xf numFmtId="165" fontId="0" fillId="0" borderId="1" xfId="0" applyNumberFormat="1" applyBorder="1"/>
    <xf numFmtId="0" fontId="0" fillId="0" borderId="1" xfId="0" pivotButton="1" applyBorder="1" applyAlignment="1">
      <alignment horizontal="left" vertical="top"/>
    </xf>
    <xf numFmtId="0" fontId="35" fillId="11" borderId="16" xfId="6" applyFont="1" applyFill="1" applyBorder="1" applyAlignment="1">
      <alignment vertical="center"/>
    </xf>
    <xf numFmtId="0" fontId="11" fillId="37" borderId="16" xfId="6" applyFont="1" applyFill="1" applyBorder="1" applyAlignment="1">
      <alignment vertical="center"/>
    </xf>
    <xf numFmtId="0" fontId="11" fillId="37" borderId="16" xfId="6" applyFont="1" applyFill="1" applyBorder="1" applyAlignment="1">
      <alignment horizontal="left" vertical="center"/>
    </xf>
    <xf numFmtId="0" fontId="24" fillId="37" borderId="0" xfId="0" applyFont="1" applyFill="1" applyBorder="1" applyAlignment="1"/>
    <xf numFmtId="0" fontId="10" fillId="37" borderId="35" xfId="6" applyFont="1" applyFill="1" applyBorder="1" applyAlignment="1">
      <alignment horizontal="center" vertical="center"/>
    </xf>
    <xf numFmtId="0" fontId="5" fillId="37" borderId="35" xfId="0" applyFont="1" applyFill="1" applyBorder="1"/>
    <xf numFmtId="0" fontId="0" fillId="3" borderId="1" xfId="0" quotePrefix="1" applyFill="1" applyBorder="1" applyAlignment="1">
      <alignment horizontal="center" textRotation="90" wrapText="1"/>
    </xf>
    <xf numFmtId="0" fontId="0" fillId="24" borderId="1" xfId="0" quotePrefix="1" applyFill="1" applyBorder="1" applyAlignment="1">
      <alignment horizontal="center" textRotation="90" wrapText="1"/>
    </xf>
    <xf numFmtId="0" fontId="0" fillId="5" borderId="1" xfId="0" applyFill="1" applyBorder="1" applyAlignment="1">
      <alignment horizontal="center" textRotation="90" wrapText="1"/>
    </xf>
    <xf numFmtId="1" fontId="0" fillId="0" borderId="1" xfId="0" applyNumberFormat="1" applyBorder="1"/>
    <xf numFmtId="0" fontId="33" fillId="11" borderId="16" xfId="6" applyFont="1" applyFill="1" applyBorder="1" applyAlignment="1">
      <alignment vertical="center"/>
    </xf>
    <xf numFmtId="0" fontId="11" fillId="11" borderId="4" xfId="6" applyFont="1" applyFill="1" applyBorder="1" applyAlignment="1">
      <alignment vertical="center"/>
    </xf>
    <xf numFmtId="0" fontId="0" fillId="3" borderId="29" xfId="0" applyFill="1" applyBorder="1" applyAlignment="1">
      <alignment horizontal="center" textRotation="90"/>
    </xf>
    <xf numFmtId="0" fontId="0" fillId="3" borderId="44" xfId="0" applyFill="1" applyBorder="1" applyAlignment="1">
      <alignment horizontal="center" textRotation="90"/>
    </xf>
    <xf numFmtId="165" fontId="4" fillId="0" borderId="0" xfId="7" applyNumberFormat="1" applyFont="1" applyFill="1" applyBorder="1"/>
    <xf numFmtId="165" fontId="4" fillId="0" borderId="14" xfId="7" applyNumberFormat="1" applyFont="1" applyFill="1" applyBorder="1"/>
    <xf numFmtId="165" fontId="4" fillId="0" borderId="13" xfId="7" applyNumberFormat="1" applyFont="1" applyFill="1" applyBorder="1"/>
    <xf numFmtId="165" fontId="4" fillId="0" borderId="11" xfId="7" applyNumberFormat="1" applyFont="1" applyFill="1" applyBorder="1"/>
    <xf numFmtId="165" fontId="4" fillId="0" borderId="12" xfId="7" applyNumberFormat="1" applyFont="1" applyFill="1" applyBorder="1"/>
    <xf numFmtId="0" fontId="0" fillId="0" borderId="41" xfId="0" applyBorder="1"/>
    <xf numFmtId="0" fontId="0" fillId="0" borderId="42" xfId="0" applyBorder="1"/>
    <xf numFmtId="0" fontId="0" fillId="0" borderId="43" xfId="0" applyBorder="1"/>
    <xf numFmtId="0" fontId="38" fillId="0" borderId="38" xfId="0" applyFont="1" applyFill="1" applyBorder="1" applyAlignment="1">
      <alignment horizontal="center" vertical="center" wrapText="1"/>
    </xf>
    <xf numFmtId="0" fontId="38" fillId="0" borderId="36" xfId="0" applyFont="1" applyFill="1" applyBorder="1" applyAlignment="1">
      <alignment horizontal="center" vertical="center"/>
    </xf>
    <xf numFmtId="0" fontId="38" fillId="0" borderId="37" xfId="0" applyFont="1" applyFill="1" applyBorder="1" applyAlignment="1">
      <alignment horizontal="center" vertical="center"/>
    </xf>
    <xf numFmtId="0" fontId="38" fillId="0" borderId="37" xfId="0" applyFont="1" applyFill="1" applyBorder="1" applyAlignment="1">
      <alignment vertical="center"/>
    </xf>
    <xf numFmtId="0" fontId="38" fillId="0" borderId="37" xfId="0" applyFont="1" applyFill="1" applyBorder="1" applyAlignment="1">
      <alignment horizontal="center" vertical="center" wrapText="1"/>
    </xf>
    <xf numFmtId="167" fontId="38" fillId="0" borderId="1" xfId="0" applyNumberFormat="1" applyFont="1" applyFill="1" applyBorder="1"/>
    <xf numFmtId="167" fontId="38" fillId="0" borderId="1" xfId="1" applyNumberFormat="1" applyFont="1" applyFill="1" applyBorder="1" applyAlignment="1">
      <alignment vertical="center"/>
    </xf>
    <xf numFmtId="167" fontId="38" fillId="0" borderId="1" xfId="1" applyNumberFormat="1" applyFont="1" applyFill="1" applyBorder="1" applyAlignment="1">
      <alignment vertical="center" wrapText="1"/>
    </xf>
    <xf numFmtId="167" fontId="38" fillId="0" borderId="1" xfId="1" applyNumberFormat="1" applyFont="1" applyFill="1" applyBorder="1"/>
    <xf numFmtId="0" fontId="0" fillId="0" borderId="0" xfId="0" applyFont="1"/>
    <xf numFmtId="167" fontId="38" fillId="0" borderId="1" xfId="1" applyNumberFormat="1" applyFont="1" applyFill="1" applyBorder="1" applyAlignment="1">
      <alignment wrapText="1"/>
    </xf>
    <xf numFmtId="1" fontId="11" fillId="11" borderId="16" xfId="6" applyNumberFormat="1" applyFont="1" applyFill="1" applyBorder="1" applyAlignment="1">
      <alignment vertical="center"/>
    </xf>
    <xf numFmtId="0" fontId="0" fillId="0" borderId="35" xfId="0" applyNumberFormat="1" applyBorder="1"/>
    <xf numFmtId="0" fontId="0" fillId="0" borderId="17" xfId="0" pivotButton="1" applyFont="1" applyBorder="1"/>
    <xf numFmtId="0" fontId="0" fillId="0" borderId="16" xfId="0" pivotButton="1" applyFont="1" applyBorder="1"/>
    <xf numFmtId="0" fontId="0" fillId="0" borderId="16" xfId="0" applyFont="1" applyBorder="1"/>
    <xf numFmtId="0" fontId="0" fillId="0" borderId="24" xfId="0" applyFont="1" applyBorder="1"/>
    <xf numFmtId="0" fontId="0" fillId="0" borderId="4" xfId="0" pivotButton="1" applyFont="1" applyBorder="1"/>
    <xf numFmtId="0" fontId="0" fillId="0" borderId="0" xfId="0" applyFont="1" applyBorder="1"/>
    <xf numFmtId="0" fontId="0" fillId="0" borderId="30" xfId="0" applyFont="1" applyBorder="1"/>
    <xf numFmtId="0" fontId="0" fillId="0" borderId="4" xfId="0" applyFont="1" applyBorder="1" applyAlignment="1">
      <alignment horizontal="left"/>
    </xf>
    <xf numFmtId="0" fontId="0" fillId="0" borderId="0" xfId="0" applyNumberFormat="1" applyFont="1" applyBorder="1"/>
    <xf numFmtId="0" fontId="0" fillId="0" borderId="22" xfId="0" applyFont="1" applyBorder="1" applyAlignment="1">
      <alignment horizontal="left"/>
    </xf>
    <xf numFmtId="0" fontId="0" fillId="0" borderId="8" xfId="0" pivotButton="1" applyBorder="1"/>
    <xf numFmtId="0" fontId="0" fillId="0" borderId="3" xfId="0" applyBorder="1" applyAlignment="1">
      <alignment horizontal="right"/>
    </xf>
    <xf numFmtId="165" fontId="0" fillId="0" borderId="15" xfId="0" applyNumberFormat="1" applyBorder="1"/>
    <xf numFmtId="0" fontId="0" fillId="0" borderId="0" xfId="0" applyAlignment="1">
      <alignment vertical="top"/>
    </xf>
    <xf numFmtId="0" fontId="0" fillId="0" borderId="0" xfId="0" applyAlignment="1">
      <alignment vertical="top" wrapText="1"/>
    </xf>
    <xf numFmtId="0" fontId="0" fillId="0" borderId="0" xfId="0" applyBorder="1" applyAlignment="1">
      <alignment vertical="top"/>
    </xf>
    <xf numFmtId="0" fontId="0" fillId="0" borderId="0" xfId="0" pivotButton="1" applyBorder="1"/>
    <xf numFmtId="0" fontId="0" fillId="0" borderId="0" xfId="0" applyBorder="1" applyAlignment="1">
      <alignment horizontal="left"/>
    </xf>
    <xf numFmtId="1" fontId="0" fillId="0" borderId="0" xfId="8" applyNumberFormat="1" applyFont="1" applyFill="1" applyBorder="1" applyAlignment="1">
      <alignment horizontal="left" vertical="center"/>
    </xf>
    <xf numFmtId="169" fontId="0" fillId="0" borderId="0" xfId="8" applyNumberFormat="1" applyFont="1" applyFill="1" applyBorder="1" applyAlignment="1">
      <alignment horizontal="left" vertical="center"/>
    </xf>
    <xf numFmtId="15" fontId="0" fillId="0" borderId="0" xfId="0" applyNumberFormat="1" applyFont="1" applyFill="1" applyBorder="1" applyAlignment="1">
      <alignment horizontal="center" vertical="center"/>
    </xf>
    <xf numFmtId="0" fontId="0" fillId="0" borderId="0" xfId="0" applyFill="1" applyBorder="1" applyAlignment="1">
      <alignment horizontal="left"/>
    </xf>
    <xf numFmtId="0" fontId="0" fillId="0" borderId="0" xfId="0" applyBorder="1" applyAlignment="1"/>
    <xf numFmtId="0" fontId="0" fillId="0" borderId="0" xfId="0" applyBorder="1" applyAlignment="1">
      <alignment horizontal="right" vertical="center"/>
    </xf>
    <xf numFmtId="0" fontId="0" fillId="0" borderId="0" xfId="0" applyFont="1" applyBorder="1" applyAlignment="1">
      <alignment horizontal="left"/>
    </xf>
    <xf numFmtId="165" fontId="0" fillId="0" borderId="0" xfId="7" applyNumberFormat="1" applyFont="1" applyFill="1"/>
    <xf numFmtId="165" fontId="0" fillId="0" borderId="13" xfId="7" applyNumberFormat="1" applyFont="1" applyFill="1" applyBorder="1"/>
    <xf numFmtId="165" fontId="0" fillId="0" borderId="0" xfId="7" applyNumberFormat="1" applyFont="1" applyFill="1" applyBorder="1"/>
    <xf numFmtId="165" fontId="0" fillId="0" borderId="13" xfId="7" applyNumberFormat="1" applyFont="1" applyBorder="1"/>
    <xf numFmtId="165" fontId="0" fillId="0" borderId="0" xfId="7" applyNumberFormat="1" applyFont="1" applyBorder="1"/>
    <xf numFmtId="165" fontId="0" fillId="0" borderId="14" xfId="7" applyNumberFormat="1" applyFont="1" applyBorder="1"/>
    <xf numFmtId="49" fontId="0" fillId="0" borderId="0" xfId="0" applyNumberFormat="1"/>
    <xf numFmtId="167" fontId="38" fillId="0" borderId="8" xfId="0" applyNumberFormat="1" applyFont="1" applyFill="1" applyBorder="1"/>
    <xf numFmtId="167" fontId="38" fillId="0" borderId="8" xfId="1" applyNumberFormat="1" applyFont="1" applyFill="1" applyBorder="1" applyAlignment="1">
      <alignment vertical="center" wrapText="1"/>
    </xf>
    <xf numFmtId="170" fontId="0" fillId="0" borderId="0" xfId="0" applyNumberFormat="1"/>
    <xf numFmtId="170" fontId="4" fillId="0" borderId="0" xfId="0" applyNumberFormat="1" applyFont="1"/>
    <xf numFmtId="0" fontId="4" fillId="0" borderId="5" xfId="0" applyFont="1" applyBorder="1"/>
    <xf numFmtId="49" fontId="54" fillId="0" borderId="1" xfId="0" applyNumberFormat="1" applyFont="1" applyBorder="1"/>
    <xf numFmtId="165" fontId="4" fillId="0" borderId="1" xfId="7" applyNumberFormat="1" applyFont="1" applyBorder="1"/>
    <xf numFmtId="17" fontId="14" fillId="36" borderId="1" xfId="0" applyNumberFormat="1" applyFont="1" applyFill="1" applyBorder="1" applyAlignment="1">
      <alignment vertical="center" wrapText="1"/>
    </xf>
    <xf numFmtId="49" fontId="4" fillId="32" borderId="3" xfId="0" applyNumberFormat="1" applyFont="1" applyFill="1" applyBorder="1"/>
    <xf numFmtId="49" fontId="4" fillId="0" borderId="1" xfId="0" applyNumberFormat="1" applyFont="1" applyBorder="1"/>
    <xf numFmtId="49" fontId="14" fillId="36" borderId="1" xfId="0" applyNumberFormat="1" applyFont="1" applyFill="1" applyBorder="1" applyAlignment="1">
      <alignment vertical="center" wrapText="1"/>
    </xf>
    <xf numFmtId="49" fontId="14" fillId="0" borderId="1" xfId="0" applyNumberFormat="1" applyFont="1" applyFill="1" applyBorder="1" applyAlignment="1">
      <alignment vertical="center" wrapText="1"/>
    </xf>
    <xf numFmtId="49" fontId="4" fillId="32" borderId="24" xfId="0" applyNumberFormat="1" applyFont="1" applyFill="1" applyBorder="1"/>
    <xf numFmtId="165" fontId="4" fillId="0" borderId="5" xfId="7" applyNumberFormat="1" applyFont="1" applyBorder="1"/>
    <xf numFmtId="49" fontId="14" fillId="36" borderId="5" xfId="0" applyNumberFormat="1" applyFont="1" applyFill="1" applyBorder="1" applyAlignment="1">
      <alignment vertical="center" wrapText="1"/>
    </xf>
    <xf numFmtId="167" fontId="54" fillId="32" borderId="1" xfId="1" applyNumberFormat="1" applyFont="1" applyFill="1" applyBorder="1"/>
    <xf numFmtId="165" fontId="0" fillId="0" borderId="3" xfId="7" quotePrefix="1" applyNumberFormat="1" applyFont="1" applyBorder="1"/>
    <xf numFmtId="0" fontId="0" fillId="10" borderId="1" xfId="0" applyFill="1" applyBorder="1" applyAlignment="1">
      <alignment horizontal="left" indent="1"/>
    </xf>
    <xf numFmtId="165" fontId="60" fillId="0" borderId="1" xfId="7" applyNumberFormat="1" applyFont="1" applyBorder="1"/>
    <xf numFmtId="1" fontId="0" fillId="0" borderId="0" xfId="8" applyNumberFormat="1" applyFont="1" applyFill="1" applyBorder="1"/>
    <xf numFmtId="0" fontId="5" fillId="0" borderId="0" xfId="0" applyFont="1" applyFill="1" applyBorder="1" applyAlignment="1">
      <alignment horizontal="right"/>
    </xf>
    <xf numFmtId="49" fontId="48" fillId="0" borderId="1" xfId="0" applyNumberFormat="1" applyFont="1" applyFill="1" applyBorder="1" applyAlignment="1">
      <alignment vertical="center" wrapText="1"/>
    </xf>
    <xf numFmtId="170" fontId="0" fillId="0" borderId="0" xfId="0" applyNumberFormat="1" applyFont="1"/>
    <xf numFmtId="49" fontId="48" fillId="36" borderId="1" xfId="0" applyNumberFormat="1" applyFont="1" applyFill="1" applyBorder="1" applyAlignment="1">
      <alignment vertical="center" wrapText="1"/>
    </xf>
    <xf numFmtId="49" fontId="54" fillId="32" borderId="1" xfId="0" applyNumberFormat="1" applyFont="1" applyFill="1" applyBorder="1"/>
    <xf numFmtId="165" fontId="0" fillId="2" borderId="1" xfId="7" applyNumberFormat="1" applyFont="1" applyFill="1" applyBorder="1"/>
    <xf numFmtId="0" fontId="0" fillId="2" borderId="1" xfId="0" applyFill="1" applyBorder="1"/>
    <xf numFmtId="49" fontId="0" fillId="0" borderId="1" xfId="0" applyNumberFormat="1" applyBorder="1"/>
    <xf numFmtId="49" fontId="0" fillId="0" borderId="1" xfId="0" applyNumberFormat="1" applyFill="1" applyBorder="1"/>
    <xf numFmtId="49" fontId="0" fillId="0" borderId="1" xfId="0" applyNumberFormat="1" applyBorder="1" applyAlignment="1">
      <alignment horizontal="left" vertical="center"/>
    </xf>
    <xf numFmtId="49" fontId="38" fillId="0" borderId="8" xfId="0" applyNumberFormat="1" applyFont="1" applyFill="1" applyBorder="1" applyAlignment="1">
      <alignment vertical="center"/>
    </xf>
    <xf numFmtId="49" fontId="38" fillId="0" borderId="1" xfId="0" applyNumberFormat="1" applyFont="1" applyFill="1" applyBorder="1" applyAlignment="1">
      <alignment vertical="center"/>
    </xf>
    <xf numFmtId="49" fontId="38" fillId="0" borderId="8" xfId="0" applyNumberFormat="1" applyFont="1" applyFill="1" applyBorder="1" applyAlignment="1">
      <alignment horizontal="left" vertical="center"/>
    </xf>
    <xf numFmtId="49" fontId="38" fillId="0" borderId="1" xfId="0" applyNumberFormat="1" applyFont="1" applyFill="1" applyBorder="1" applyAlignment="1">
      <alignment horizontal="left" vertical="center"/>
    </xf>
    <xf numFmtId="49" fontId="38" fillId="0" borderId="8" xfId="0" applyNumberFormat="1" applyFont="1" applyFill="1" applyBorder="1" applyAlignment="1">
      <alignment horizontal="left"/>
    </xf>
    <xf numFmtId="49" fontId="38" fillId="0" borderId="1" xfId="0" applyNumberFormat="1" applyFont="1" applyFill="1" applyBorder="1" applyAlignment="1">
      <alignment horizontal="left"/>
    </xf>
    <xf numFmtId="49" fontId="54" fillId="0" borderId="1" xfId="0" applyNumberFormat="1" applyFont="1" applyFill="1" applyBorder="1"/>
    <xf numFmtId="49" fontId="54" fillId="0" borderId="8" xfId="0" applyNumberFormat="1" applyFont="1" applyFill="1" applyBorder="1" applyAlignment="1"/>
    <xf numFmtId="49" fontId="54" fillId="0" borderId="1" xfId="0" applyNumberFormat="1" applyFont="1" applyFill="1" applyBorder="1" applyAlignment="1"/>
    <xf numFmtId="49" fontId="38" fillId="0" borderId="1" xfId="0" applyNumberFormat="1" applyFont="1" applyFill="1" applyBorder="1" applyAlignment="1"/>
    <xf numFmtId="49" fontId="0" fillId="0" borderId="1" xfId="0" applyNumberFormat="1" applyFill="1" applyBorder="1" applyAlignment="1">
      <alignment horizontal="left" vertical="center"/>
    </xf>
    <xf numFmtId="49" fontId="4" fillId="0" borderId="5" xfId="0" applyNumberFormat="1" applyFont="1" applyBorder="1"/>
    <xf numFmtId="49" fontId="54" fillId="0" borderId="5" xfId="0" applyNumberFormat="1" applyFont="1" applyBorder="1"/>
    <xf numFmtId="49" fontId="60" fillId="32" borderId="3" xfId="0" applyNumberFormat="1" applyFont="1" applyFill="1" applyBorder="1"/>
    <xf numFmtId="49" fontId="61" fillId="0" borderId="1" xfId="0" applyNumberFormat="1" applyFont="1" applyBorder="1"/>
    <xf numFmtId="49" fontId="4" fillId="0" borderId="1" xfId="0" applyNumberFormat="1" applyFont="1" applyFill="1" applyBorder="1"/>
    <xf numFmtId="49" fontId="4" fillId="0" borderId="5" xfId="0" applyNumberFormat="1" applyFont="1" applyFill="1" applyBorder="1"/>
    <xf numFmtId="49" fontId="60" fillId="0" borderId="1" xfId="0" applyNumberFormat="1" applyFont="1" applyBorder="1"/>
    <xf numFmtId="49" fontId="62" fillId="36" borderId="1" xfId="0" applyNumberFormat="1" applyFont="1" applyFill="1" applyBorder="1" applyAlignment="1">
      <alignment vertical="center" wrapText="1"/>
    </xf>
    <xf numFmtId="49" fontId="62" fillId="0" borderId="1" xfId="0" applyNumberFormat="1" applyFont="1" applyFill="1" applyBorder="1" applyAlignment="1">
      <alignment vertical="center" wrapText="1"/>
    </xf>
    <xf numFmtId="49" fontId="0" fillId="0" borderId="0" xfId="0" applyNumberFormat="1" applyFill="1" applyBorder="1" applyAlignment="1">
      <alignment horizontal="left" vertical="center"/>
    </xf>
    <xf numFmtId="49" fontId="31" fillId="0" borderId="0" xfId="0" applyNumberFormat="1" applyFont="1" applyFill="1" applyBorder="1"/>
    <xf numFmtId="49" fontId="13" fillId="0" borderId="0" xfId="0" applyNumberFormat="1" applyFont="1" applyFill="1" applyBorder="1" applyAlignment="1">
      <alignment horizontal="left" vertical="center" wrapText="1"/>
    </xf>
    <xf numFmtId="49" fontId="23" fillId="0" borderId="0" xfId="0" applyNumberFormat="1" applyFont="1" applyFill="1" applyBorder="1"/>
    <xf numFmtId="49" fontId="63" fillId="0" borderId="1" xfId="0" applyNumberFormat="1" applyFont="1" applyBorder="1"/>
    <xf numFmtId="0" fontId="63" fillId="0" borderId="1" xfId="0" applyNumberFormat="1" applyFont="1" applyBorder="1"/>
    <xf numFmtId="165" fontId="63" fillId="0" borderId="1" xfId="7" applyNumberFormat="1" applyFont="1" applyBorder="1"/>
    <xf numFmtId="0" fontId="4" fillId="0" borderId="1" xfId="0" applyNumberFormat="1" applyFont="1" applyBorder="1"/>
    <xf numFmtId="0" fontId="0" fillId="21" borderId="0" xfId="0" applyFont="1" applyFill="1"/>
    <xf numFmtId="0" fontId="29" fillId="0" borderId="18" xfId="0" applyFont="1" applyFill="1" applyBorder="1" applyAlignment="1">
      <alignment horizontal="left"/>
    </xf>
    <xf numFmtId="0" fontId="0" fillId="0" borderId="0" xfId="0" applyBorder="1" applyAlignment="1">
      <alignment horizontal="left"/>
    </xf>
    <xf numFmtId="0" fontId="0" fillId="0" borderId="15" xfId="0" applyNumberFormat="1" applyBorder="1"/>
    <xf numFmtId="3" fontId="0" fillId="0" borderId="35" xfId="0" applyNumberFormat="1" applyBorder="1"/>
    <xf numFmtId="0" fontId="0" fillId="10" borderId="1" xfId="0" applyFill="1" applyBorder="1"/>
    <xf numFmtId="0" fontId="0" fillId="10" borderId="15" xfId="0" applyFill="1" applyBorder="1"/>
    <xf numFmtId="0" fontId="0" fillId="0" borderId="16" xfId="0" pivotButton="1" applyBorder="1"/>
    <xf numFmtId="0" fontId="0" fillId="0" borderId="2" xfId="0" pivotButton="1" applyBorder="1"/>
    <xf numFmtId="0" fontId="0" fillId="0" borderId="17" xfId="0" pivotButton="1" applyBorder="1"/>
    <xf numFmtId="0" fontId="0" fillId="0" borderId="4" xfId="0" pivotButton="1" applyBorder="1"/>
    <xf numFmtId="0" fontId="0" fillId="0" borderId="4" xfId="0" applyBorder="1" applyAlignment="1">
      <alignment horizontal="left"/>
    </xf>
    <xf numFmtId="0" fontId="0" fillId="0" borderId="30" xfId="0" applyNumberFormat="1" applyBorder="1"/>
    <xf numFmtId="0" fontId="0" fillId="0" borderId="22" xfId="0" applyBorder="1" applyAlignment="1">
      <alignment horizontal="left"/>
    </xf>
    <xf numFmtId="0" fontId="0" fillId="10" borderId="2" xfId="0" applyFill="1" applyBorder="1"/>
    <xf numFmtId="0" fontId="0" fillId="10" borderId="3" xfId="0" applyFill="1" applyBorder="1"/>
    <xf numFmtId="3" fontId="0" fillId="0" borderId="30" xfId="0" applyNumberFormat="1" applyBorder="1"/>
    <xf numFmtId="0" fontId="0" fillId="0" borderId="4" xfId="0" applyBorder="1" applyAlignment="1">
      <alignment horizontal="left" indent="1"/>
    </xf>
    <xf numFmtId="3" fontId="0" fillId="0" borderId="15" xfId="0" applyNumberFormat="1" applyBorder="1"/>
    <xf numFmtId="0" fontId="0" fillId="37" borderId="0" xfId="0" applyFill="1" applyBorder="1" applyAlignment="1">
      <alignment horizontal="center" vertical="center"/>
    </xf>
    <xf numFmtId="168" fontId="0" fillId="37" borderId="0" xfId="0" applyNumberFormat="1" applyFill="1" applyBorder="1" applyAlignment="1">
      <alignment horizontal="center" vertical="center"/>
    </xf>
    <xf numFmtId="0" fontId="11" fillId="37" borderId="0" xfId="6" applyFont="1" applyFill="1" applyBorder="1" applyAlignment="1">
      <alignment vertical="center"/>
    </xf>
    <xf numFmtId="0" fontId="11" fillId="11" borderId="10" xfId="6" applyFont="1" applyFill="1" applyBorder="1" applyAlignment="1">
      <alignment vertical="center"/>
    </xf>
    <xf numFmtId="0" fontId="11" fillId="11" borderId="11" xfId="6" applyFont="1" applyFill="1" applyBorder="1" applyAlignment="1">
      <alignment vertical="center"/>
    </xf>
    <xf numFmtId="0" fontId="40" fillId="11" borderId="13" xfId="6" applyFont="1" applyFill="1" applyBorder="1" applyAlignment="1">
      <alignment vertical="center"/>
    </xf>
    <xf numFmtId="0" fontId="0" fillId="37" borderId="13" xfId="0" applyFill="1" applyBorder="1"/>
    <xf numFmtId="0" fontId="0" fillId="37" borderId="14" xfId="0" applyFill="1" applyBorder="1"/>
    <xf numFmtId="0" fontId="0" fillId="5" borderId="41" xfId="0" applyFill="1" applyBorder="1"/>
    <xf numFmtId="0" fontId="0" fillId="5" borderId="42" xfId="0" applyFill="1" applyBorder="1"/>
    <xf numFmtId="0" fontId="0" fillId="5" borderId="43" xfId="0" applyFill="1" applyBorder="1"/>
    <xf numFmtId="0" fontId="11" fillId="11" borderId="12" xfId="6" applyFont="1" applyFill="1" applyBorder="1" applyAlignment="1">
      <alignment vertical="center"/>
    </xf>
    <xf numFmtId="0" fontId="40" fillId="11" borderId="14" xfId="6" applyFont="1" applyFill="1" applyBorder="1" applyAlignment="1">
      <alignment vertical="center"/>
    </xf>
    <xf numFmtId="166" fontId="42" fillId="11" borderId="46" xfId="6" applyNumberFormat="1" applyFont="1" applyFill="1" applyBorder="1" applyAlignment="1">
      <alignment horizontal="left" vertical="center"/>
    </xf>
    <xf numFmtId="0" fontId="41" fillId="5" borderId="0" xfId="6" applyFont="1" applyFill="1" applyBorder="1" applyAlignment="1">
      <alignment vertical="center"/>
    </xf>
    <xf numFmtId="0" fontId="39" fillId="10" borderId="0" xfId="0" applyFont="1" applyFill="1" applyBorder="1"/>
    <xf numFmtId="0" fontId="20" fillId="10" borderId="0" xfId="0" applyFont="1" applyFill="1" applyBorder="1" applyAlignment="1"/>
    <xf numFmtId="0" fontId="20" fillId="10" borderId="0" xfId="0" applyFont="1" applyFill="1" applyBorder="1"/>
    <xf numFmtId="9" fontId="37" fillId="10" borderId="0" xfId="8" applyFont="1" applyFill="1" applyBorder="1" applyAlignment="1"/>
    <xf numFmtId="0" fontId="0" fillId="5" borderId="10" xfId="0" applyFill="1" applyBorder="1"/>
    <xf numFmtId="0" fontId="0" fillId="5" borderId="11" xfId="0" applyFill="1" applyBorder="1"/>
    <xf numFmtId="0" fontId="0" fillId="5" borderId="12" xfId="0" applyFill="1" applyBorder="1"/>
    <xf numFmtId="0" fontId="0" fillId="5" borderId="13" xfId="0" applyFill="1" applyBorder="1"/>
    <xf numFmtId="0" fontId="0" fillId="5" borderId="14" xfId="0" applyFill="1" applyBorder="1"/>
    <xf numFmtId="0" fontId="0" fillId="10" borderId="14" xfId="0" applyFill="1" applyBorder="1"/>
    <xf numFmtId="0" fontId="0" fillId="10" borderId="14" xfId="0" applyFont="1" applyFill="1" applyBorder="1" applyAlignment="1"/>
    <xf numFmtId="0" fontId="0" fillId="10" borderId="14" xfId="0" applyFont="1" applyFill="1" applyBorder="1" applyAlignment="1">
      <alignment horizontal="center" vertical="center" wrapText="1"/>
    </xf>
    <xf numFmtId="0" fontId="0" fillId="10" borderId="13" xfId="0" applyFill="1" applyBorder="1"/>
    <xf numFmtId="0" fontId="0" fillId="10" borderId="42" xfId="0" applyFill="1" applyBorder="1"/>
    <xf numFmtId="0" fontId="0" fillId="10" borderId="43" xfId="0" applyFill="1" applyBorder="1"/>
    <xf numFmtId="0" fontId="24" fillId="10" borderId="0" xfId="0" applyFont="1" applyFill="1" applyBorder="1" applyAlignment="1"/>
    <xf numFmtId="0" fontId="8" fillId="10" borderId="0" xfId="0" applyFont="1" applyFill="1" applyBorder="1"/>
    <xf numFmtId="165" fontId="32" fillId="10" borderId="0" xfId="7" applyNumberFormat="1" applyFont="1" applyFill="1" applyBorder="1"/>
    <xf numFmtId="0" fontId="0" fillId="10" borderId="0" xfId="0" applyFont="1" applyFill="1" applyBorder="1"/>
    <xf numFmtId="0" fontId="0" fillId="10" borderId="14" xfId="0" applyFont="1" applyFill="1" applyBorder="1"/>
    <xf numFmtId="0" fontId="0" fillId="37" borderId="10" xfId="0" applyFill="1" applyBorder="1"/>
    <xf numFmtId="0" fontId="0" fillId="37" borderId="11" xfId="0" applyFill="1" applyBorder="1"/>
    <xf numFmtId="0" fontId="0" fillId="37" borderId="12" xfId="0" applyFill="1" applyBorder="1"/>
    <xf numFmtId="0" fontId="41" fillId="37" borderId="35" xfId="6" applyFont="1" applyFill="1" applyBorder="1" applyAlignment="1">
      <alignment vertical="center"/>
    </xf>
    <xf numFmtId="0" fontId="24" fillId="37" borderId="35" xfId="0" applyFont="1" applyFill="1" applyBorder="1" applyAlignment="1"/>
    <xf numFmtId="0" fontId="0" fillId="37" borderId="46" xfId="0" applyFill="1" applyBorder="1"/>
    <xf numFmtId="0" fontId="0" fillId="0" borderId="13" xfId="0" applyFont="1" applyBorder="1"/>
    <xf numFmtId="0" fontId="0" fillId="10" borderId="4" xfId="0" applyFill="1" applyBorder="1"/>
    <xf numFmtId="0" fontId="0" fillId="10" borderId="30" xfId="0" applyFill="1" applyBorder="1"/>
    <xf numFmtId="0" fontId="0" fillId="10" borderId="35" xfId="0" applyFill="1" applyBorder="1"/>
    <xf numFmtId="0" fontId="14" fillId="19" borderId="1" xfId="0" applyFont="1" applyFill="1" applyBorder="1" applyAlignment="1">
      <alignment horizontal="center" vertical="center" wrapText="1"/>
    </xf>
    <xf numFmtId="0" fontId="13" fillId="19" borderId="8" xfId="0" applyFont="1" applyFill="1" applyBorder="1" applyAlignment="1">
      <alignment wrapText="1"/>
    </xf>
    <xf numFmtId="0" fontId="0" fillId="0" borderId="5" xfId="0" applyNumberFormat="1" applyBorder="1"/>
    <xf numFmtId="0" fontId="0" fillId="0" borderId="1" xfId="0" applyNumberFormat="1" applyFill="1" applyBorder="1"/>
    <xf numFmtId="0" fontId="0" fillId="0" borderId="1" xfId="8" applyNumberFormat="1" applyFont="1" applyFill="1" applyBorder="1"/>
    <xf numFmtId="9" fontId="0" fillId="0" borderId="1" xfId="0" applyNumberFormat="1" applyFill="1" applyBorder="1"/>
    <xf numFmtId="0" fontId="4" fillId="32" borderId="3" xfId="0" applyFont="1" applyFill="1" applyBorder="1"/>
    <xf numFmtId="0" fontId="54" fillId="0" borderId="1" xfId="0" applyFont="1" applyBorder="1"/>
    <xf numFmtId="0" fontId="14" fillId="36" borderId="1" xfId="0" applyFont="1" applyFill="1" applyBorder="1" applyAlignment="1">
      <alignment vertical="center" wrapText="1"/>
    </xf>
    <xf numFmtId="0" fontId="14" fillId="0" borderId="1" xfId="0" applyFont="1" applyFill="1" applyBorder="1" applyAlignment="1">
      <alignment vertical="center" wrapText="1"/>
    </xf>
    <xf numFmtId="0" fontId="54" fillId="32" borderId="1" xfId="0" applyFont="1" applyFill="1" applyBorder="1"/>
    <xf numFmtId="0" fontId="4" fillId="0" borderId="5" xfId="0" applyNumberFormat="1" applyFont="1" applyBorder="1"/>
    <xf numFmtId="0" fontId="14" fillId="36" borderId="5" xfId="0" applyFont="1" applyFill="1" applyBorder="1" applyAlignment="1">
      <alignment vertical="center" wrapText="1"/>
    </xf>
    <xf numFmtId="0" fontId="0" fillId="0" borderId="1" xfId="0" applyFont="1" applyBorder="1"/>
    <xf numFmtId="0" fontId="0" fillId="0" borderId="1" xfId="0" applyFont="1" applyFill="1" applyBorder="1"/>
    <xf numFmtId="0" fontId="0" fillId="0" borderId="5" xfId="0" applyNumberFormat="1" applyFill="1" applyBorder="1"/>
    <xf numFmtId="0" fontId="13" fillId="3" borderId="15" xfId="0" applyFont="1" applyFill="1" applyBorder="1" applyAlignment="1">
      <alignment horizontal="right"/>
    </xf>
    <xf numFmtId="0" fontId="13" fillId="11" borderId="8" xfId="0" applyFont="1" applyFill="1" applyBorder="1" applyAlignment="1">
      <alignment wrapText="1"/>
    </xf>
    <xf numFmtId="0" fontId="13" fillId="12" borderId="22" xfId="0" applyFont="1" applyFill="1" applyBorder="1" applyAlignment="1">
      <alignment wrapText="1"/>
    </xf>
    <xf numFmtId="0" fontId="0" fillId="0" borderId="2" xfId="0" applyBorder="1"/>
    <xf numFmtId="15" fontId="0" fillId="0" borderId="3" xfId="0" applyNumberFormat="1" applyBorder="1" applyAlignment="1">
      <alignment horizontal="right"/>
    </xf>
    <xf numFmtId="15" fontId="0" fillId="0" borderId="3" xfId="0" applyNumberFormat="1" applyFill="1" applyBorder="1" applyAlignment="1">
      <alignment horizontal="right"/>
    </xf>
    <xf numFmtId="0" fontId="0" fillId="0" borderId="5" xfId="0" applyFill="1" applyBorder="1"/>
    <xf numFmtId="0" fontId="0" fillId="0" borderId="24" xfId="0" applyBorder="1" applyAlignment="1">
      <alignment horizontal="right"/>
    </xf>
    <xf numFmtId="0" fontId="0" fillId="0" borderId="5" xfId="0" applyBorder="1" applyAlignment="1">
      <alignment horizontal="left" vertical="center"/>
    </xf>
    <xf numFmtId="165" fontId="0" fillId="0" borderId="35" xfId="0" applyNumberFormat="1" applyBorder="1"/>
    <xf numFmtId="49" fontId="0" fillId="0" borderId="1" xfId="8" applyNumberFormat="1" applyFont="1" applyFill="1" applyBorder="1"/>
    <xf numFmtId="1" fontId="11" fillId="37" borderId="16" xfId="6" applyNumberFormat="1" applyFont="1" applyFill="1" applyBorder="1" applyAlignment="1">
      <alignment vertical="center"/>
    </xf>
    <xf numFmtId="1" fontId="0" fillId="37" borderId="0" xfId="0" applyNumberFormat="1" applyFill="1" applyBorder="1"/>
    <xf numFmtId="1" fontId="10" fillId="37" borderId="35" xfId="6" applyNumberFormat="1" applyFont="1" applyFill="1" applyBorder="1" applyAlignment="1">
      <alignment horizontal="center" vertical="center"/>
    </xf>
    <xf numFmtId="1" fontId="0" fillId="3" borderId="1" xfId="0" quotePrefix="1" applyNumberFormat="1" applyFill="1" applyBorder="1" applyAlignment="1">
      <alignment horizontal="center" textRotation="90" wrapText="1"/>
    </xf>
    <xf numFmtId="1" fontId="0" fillId="0" borderId="1" xfId="0" applyNumberFormat="1" applyBorder="1" applyAlignment="1">
      <alignment horizontal="right"/>
    </xf>
    <xf numFmtId="1" fontId="0" fillId="0" borderId="5" xfId="0" applyNumberFormat="1" applyBorder="1" applyAlignment="1">
      <alignment horizontal="right"/>
    </xf>
    <xf numFmtId="0" fontId="0" fillId="24" borderId="1" xfId="0" applyNumberFormat="1" applyFill="1" applyBorder="1" applyAlignment="1">
      <alignment horizontal="left"/>
    </xf>
    <xf numFmtId="0" fontId="0" fillId="0" borderId="4" xfId="0" applyNumberFormat="1" applyFont="1" applyFill="1" applyBorder="1" applyAlignment="1"/>
    <xf numFmtId="0" fontId="0" fillId="0" borderId="0" xfId="0" applyNumberFormat="1" applyFont="1" applyFill="1" applyBorder="1" applyAlignment="1"/>
    <xf numFmtId="0" fontId="0" fillId="0" borderId="35" xfId="0" applyNumberFormat="1" applyFont="1" applyFill="1" applyBorder="1" applyAlignment="1"/>
    <xf numFmtId="0" fontId="29" fillId="0" borderId="47" xfId="0" applyFont="1" applyFill="1" applyBorder="1" applyAlignment="1">
      <alignment horizontal="left"/>
    </xf>
    <xf numFmtId="14" fontId="0" fillId="10" borderId="0" xfId="0" applyNumberFormat="1" applyFill="1"/>
    <xf numFmtId="0" fontId="0" fillId="0" borderId="1" xfId="0" applyBorder="1" applyAlignment="1">
      <alignment horizontal="left"/>
    </xf>
    <xf numFmtId="1" fontId="0" fillId="0" borderId="1" xfId="0" applyNumberFormat="1" applyFill="1" applyBorder="1"/>
    <xf numFmtId="1" fontId="0" fillId="0" borderId="5" xfId="0" applyNumberFormat="1" applyBorder="1"/>
    <xf numFmtId="0" fontId="46" fillId="42" borderId="49" xfId="5" applyNumberFormat="1" applyFont="1" applyFill="1" applyBorder="1" applyAlignment="1">
      <alignment horizontal="center"/>
    </xf>
    <xf numFmtId="0" fontId="46" fillId="42" borderId="49" xfId="5" applyNumberFormat="1" applyFont="1" applyFill="1" applyBorder="1" applyAlignment="1">
      <alignment horizontal="left" vertical="top" wrapText="1"/>
    </xf>
    <xf numFmtId="1" fontId="46" fillId="42" borderId="49" xfId="8" applyNumberFormat="1" applyFont="1" applyFill="1" applyBorder="1" applyAlignment="1">
      <alignment horizontal="left" vertical="top" wrapText="1"/>
    </xf>
    <xf numFmtId="169" fontId="46" fillId="42" borderId="49" xfId="8" applyNumberFormat="1" applyFont="1" applyFill="1" applyBorder="1" applyAlignment="1">
      <alignment horizontal="left" vertical="top" wrapText="1"/>
    </xf>
    <xf numFmtId="0" fontId="16" fillId="42" borderId="49" xfId="0" applyFont="1" applyFill="1" applyBorder="1" applyAlignment="1">
      <alignment horizontal="left" vertical="top" wrapText="1"/>
    </xf>
    <xf numFmtId="0" fontId="46" fillId="42" borderId="48" xfId="5" applyNumberFormat="1" applyFont="1" applyFill="1" applyBorder="1" applyAlignment="1">
      <alignment horizontal="left" vertical="top" wrapText="1"/>
    </xf>
    <xf numFmtId="49" fontId="0" fillId="2" borderId="48" xfId="0" applyNumberFormat="1" applyFont="1" applyFill="1" applyBorder="1" applyAlignment="1">
      <alignment horizontal="left" vertical="center"/>
    </xf>
    <xf numFmtId="49" fontId="5" fillId="2" borderId="48" xfId="0" applyNumberFormat="1" applyFont="1" applyFill="1" applyBorder="1" applyAlignment="1">
      <alignment horizontal="left" vertical="center"/>
    </xf>
    <xf numFmtId="1" fontId="0" fillId="41" borderId="0" xfId="8" applyNumberFormat="1" applyFont="1" applyFill="1" applyBorder="1" applyAlignment="1">
      <alignment horizontal="left" vertical="center"/>
    </xf>
    <xf numFmtId="169" fontId="0" fillId="41" borderId="0" xfId="8" applyNumberFormat="1" applyFont="1" applyFill="1" applyBorder="1" applyAlignment="1">
      <alignment horizontal="left" vertical="center"/>
    </xf>
    <xf numFmtId="1" fontId="0" fillId="41" borderId="49" xfId="8" applyNumberFormat="1" applyFont="1" applyFill="1" applyBorder="1" applyAlignment="1">
      <alignment horizontal="left" vertical="center"/>
    </xf>
    <xf numFmtId="169" fontId="0" fillId="41" borderId="49" xfId="8" applyNumberFormat="1" applyFont="1" applyFill="1" applyBorder="1" applyAlignment="1">
      <alignment horizontal="left" vertical="center"/>
    </xf>
    <xf numFmtId="49" fontId="0" fillId="41" borderId="49" xfId="0" applyNumberFormat="1" applyFont="1" applyFill="1" applyBorder="1" applyAlignment="1">
      <alignment horizontal="left" vertical="center"/>
    </xf>
    <xf numFmtId="49" fontId="13" fillId="41" borderId="49" xfId="0" applyNumberFormat="1" applyFont="1" applyFill="1" applyBorder="1" applyAlignment="1">
      <alignment horizontal="left" vertical="center" wrapText="1"/>
    </xf>
    <xf numFmtId="49" fontId="0" fillId="41" borderId="49" xfId="0" applyNumberFormat="1" applyFont="1" applyFill="1" applyBorder="1"/>
    <xf numFmtId="15" fontId="0" fillId="41" borderId="49" xfId="0" applyNumberFormat="1" applyFont="1" applyFill="1" applyBorder="1" applyAlignment="1">
      <alignment horizontal="center" vertical="center"/>
    </xf>
    <xf numFmtId="49"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49" xfId="0" applyNumberFormat="1" applyFont="1" applyFill="1" applyBorder="1" applyAlignment="1">
      <alignment horizontal="left" vertical="center"/>
    </xf>
    <xf numFmtId="0" fontId="0" fillId="0" borderId="49" xfId="0" applyFont="1" applyFill="1" applyBorder="1" applyAlignment="1">
      <alignment horizontal="left" vertical="center"/>
    </xf>
    <xf numFmtId="49" fontId="5" fillId="0" borderId="49" xfId="0" applyNumberFormat="1" applyFont="1" applyFill="1" applyBorder="1" applyAlignment="1">
      <alignment horizontal="left" vertical="center"/>
    </xf>
    <xf numFmtId="0" fontId="5" fillId="0" borderId="49" xfId="0" applyFont="1" applyFill="1" applyBorder="1" applyAlignment="1">
      <alignment horizontal="left" vertical="center"/>
    </xf>
    <xf numFmtId="0" fontId="0" fillId="0" borderId="49" xfId="0" applyFont="1" applyFill="1" applyBorder="1"/>
    <xf numFmtId="1" fontId="5" fillId="41" borderId="49" xfId="8" applyNumberFormat="1" applyFont="1" applyFill="1" applyBorder="1" applyAlignment="1">
      <alignment horizontal="left" vertical="center"/>
    </xf>
    <xf numFmtId="169" fontId="5" fillId="41" borderId="49" xfId="8" applyNumberFormat="1" applyFont="1" applyFill="1" applyBorder="1" applyAlignment="1">
      <alignment horizontal="left" vertical="center"/>
    </xf>
    <xf numFmtId="49" fontId="5" fillId="41" borderId="49" xfId="0" applyNumberFormat="1" applyFont="1" applyFill="1" applyBorder="1" applyAlignment="1">
      <alignment horizontal="left" vertical="center"/>
    </xf>
    <xf numFmtId="49" fontId="5" fillId="41" borderId="49" xfId="0" applyNumberFormat="1" applyFont="1" applyFill="1" applyBorder="1" applyAlignment="1">
      <alignment horizontal="left" vertical="center" wrapText="1"/>
    </xf>
    <xf numFmtId="49" fontId="0" fillId="41" borderId="0" xfId="0" applyNumberFormat="1" applyFont="1" applyFill="1" applyBorder="1" applyAlignment="1">
      <alignment horizontal="left" vertical="center"/>
    </xf>
    <xf numFmtId="49" fontId="0" fillId="0" borderId="48" xfId="0" applyNumberFormat="1" applyFont="1" applyBorder="1" applyAlignment="1">
      <alignment horizontal="left" vertical="center"/>
    </xf>
    <xf numFmtId="49" fontId="0" fillId="41" borderId="49" xfId="0" applyNumberFormat="1" applyFont="1" applyFill="1" applyBorder="1" applyAlignment="1">
      <alignment horizontal="left" vertical="center" wrapText="1"/>
    </xf>
    <xf numFmtId="0" fontId="0" fillId="0" borderId="49" xfId="0" applyFont="1" applyFill="1" applyBorder="1" applyAlignment="1">
      <alignment horizontal="left" vertical="top" wrapText="1"/>
    </xf>
    <xf numFmtId="0" fontId="5" fillId="0" borderId="49" xfId="0" applyFont="1" applyFill="1" applyBorder="1" applyAlignment="1">
      <alignment horizontal="left" vertical="top" wrapText="1"/>
    </xf>
    <xf numFmtId="0" fontId="54" fillId="0" borderId="0" xfId="0" applyFont="1" applyFill="1" applyBorder="1" applyAlignment="1">
      <alignment horizontal="left" vertical="center"/>
    </xf>
    <xf numFmtId="0" fontId="64" fillId="0" borderId="0" xfId="0" applyFont="1" applyFill="1" applyBorder="1" applyAlignment="1">
      <alignment horizontal="left" vertical="center"/>
    </xf>
    <xf numFmtId="0" fontId="67" fillId="43" borderId="8" xfId="0" applyFont="1" applyFill="1" applyBorder="1" applyAlignment="1">
      <alignment horizontal="center" vertical="center"/>
    </xf>
    <xf numFmtId="165" fontId="0" fillId="0" borderId="1" xfId="7" applyNumberFormat="1" applyFont="1" applyBorder="1" applyAlignment="1">
      <alignment horizontal="center" vertical="center"/>
    </xf>
    <xf numFmtId="165" fontId="0" fillId="0" borderId="0" xfId="7" applyNumberFormat="1" applyFont="1" applyAlignment="1">
      <alignment horizontal="center" vertical="center"/>
    </xf>
    <xf numFmtId="49" fontId="0" fillId="0" borderId="48" xfId="0" applyNumberFormat="1" applyFont="1" applyFill="1" applyBorder="1" applyAlignment="1">
      <alignment horizontal="left" wrapText="1"/>
    </xf>
    <xf numFmtId="49" fontId="0" fillId="0" borderId="48" xfId="0" applyNumberFormat="1" applyFont="1" applyFill="1" applyBorder="1" applyAlignment="1">
      <alignment horizontal="left" vertical="center"/>
    </xf>
    <xf numFmtId="0" fontId="40" fillId="37" borderId="0" xfId="6" applyFont="1" applyFill="1" applyBorder="1" applyAlignment="1">
      <alignment horizontal="center" vertical="center"/>
    </xf>
    <xf numFmtId="1" fontId="0" fillId="0" borderId="0" xfId="8" applyNumberFormat="1" applyFont="1" applyFill="1" applyBorder="1" applyAlignment="1">
      <alignment horizontal="center"/>
    </xf>
    <xf numFmtId="0" fontId="0" fillId="0" borderId="1" xfId="0" applyBorder="1" applyAlignment="1">
      <alignment wrapText="1"/>
    </xf>
    <xf numFmtId="0" fontId="13" fillId="0" borderId="0" xfId="0" applyFont="1" applyFill="1" applyBorder="1"/>
    <xf numFmtId="165" fontId="0" fillId="2" borderId="2" xfId="7" applyNumberFormat="1" applyFont="1" applyFill="1" applyBorder="1"/>
    <xf numFmtId="165" fontId="0" fillId="2" borderId="1" xfId="0" applyNumberFormat="1" applyFill="1" applyBorder="1"/>
    <xf numFmtId="165" fontId="0" fillId="0" borderId="1" xfId="8" applyNumberFormat="1" applyFont="1" applyBorder="1"/>
    <xf numFmtId="165" fontId="13" fillId="0" borderId="0" xfId="9" applyNumberFormat="1" applyFont="1" applyFill="1" applyBorder="1" applyAlignment="1">
      <alignment horizontal="left"/>
    </xf>
    <xf numFmtId="165" fontId="0" fillId="0" borderId="22" xfId="0" applyNumberFormat="1" applyBorder="1"/>
    <xf numFmtId="0" fontId="0" fillId="0" borderId="1" xfId="0" applyBorder="1" applyAlignment="1">
      <alignment vertical="top" wrapText="1"/>
    </xf>
    <xf numFmtId="0" fontId="68" fillId="0" borderId="0" xfId="0" applyFont="1" applyAlignment="1">
      <alignment horizontal="center" vertical="center" readingOrder="1"/>
    </xf>
    <xf numFmtId="9" fontId="0" fillId="0" borderId="0" xfId="8" applyFont="1" applyFill="1" applyBorder="1" applyAlignment="1">
      <alignment horizontal="center" vertical="center"/>
    </xf>
    <xf numFmtId="0" fontId="40" fillId="37" borderId="0" xfId="6" applyFont="1" applyFill="1" applyBorder="1" applyAlignment="1">
      <alignment horizontal="left" vertical="center"/>
    </xf>
    <xf numFmtId="0" fontId="40" fillId="37" borderId="17" xfId="6" applyFont="1" applyFill="1" applyBorder="1" applyAlignment="1">
      <alignment horizontal="left" vertical="center"/>
    </xf>
    <xf numFmtId="0" fontId="40" fillId="37" borderId="16" xfId="6" applyFont="1" applyFill="1" applyBorder="1" applyAlignment="1">
      <alignment horizontal="left" vertical="center"/>
    </xf>
    <xf numFmtId="0" fontId="40" fillId="37" borderId="16" xfId="6" applyFont="1" applyFill="1" applyBorder="1" applyAlignment="1">
      <alignment horizontal="center" vertical="center"/>
    </xf>
    <xf numFmtId="0" fontId="40" fillId="37" borderId="24" xfId="6" applyFont="1" applyFill="1" applyBorder="1" applyAlignment="1">
      <alignment horizontal="left" vertical="center"/>
    </xf>
    <xf numFmtId="0" fontId="40" fillId="37" borderId="4" xfId="6" applyFont="1" applyFill="1" applyBorder="1" applyAlignment="1">
      <alignment horizontal="left" vertical="center"/>
    </xf>
    <xf numFmtId="0" fontId="40" fillId="37" borderId="30" xfId="6" applyFont="1" applyFill="1" applyBorder="1" applyAlignment="1">
      <alignment horizontal="left" vertical="center"/>
    </xf>
    <xf numFmtId="0" fontId="40" fillId="37" borderId="35" xfId="6" applyFont="1" applyFill="1" applyBorder="1" applyAlignment="1">
      <alignment horizontal="left" vertical="center"/>
    </xf>
    <xf numFmtId="0" fontId="40" fillId="37" borderId="35" xfId="6" applyFont="1" applyFill="1" applyBorder="1" applyAlignment="1">
      <alignment horizontal="center" vertical="center"/>
    </xf>
    <xf numFmtId="0" fontId="40" fillId="37" borderId="15" xfId="6" applyFont="1" applyFill="1" applyBorder="1" applyAlignment="1">
      <alignment horizontal="left" vertical="center"/>
    </xf>
    <xf numFmtId="0" fontId="67" fillId="43" borderId="15" xfId="0" applyFont="1" applyFill="1" applyBorder="1" applyAlignment="1">
      <alignment horizontal="center" vertical="center"/>
    </xf>
    <xf numFmtId="0" fontId="67" fillId="43" borderId="8" xfId="0" applyFont="1" applyFill="1" applyBorder="1" applyAlignment="1">
      <alignment horizontal="center" vertical="center" wrapText="1"/>
    </xf>
    <xf numFmtId="165" fontId="67" fillId="43" borderId="8" xfId="7" applyNumberFormat="1" applyFont="1" applyFill="1" applyBorder="1" applyAlignment="1">
      <alignment horizontal="center" vertical="center" wrapText="1"/>
    </xf>
    <xf numFmtId="0" fontId="32" fillId="43" borderId="8" xfId="0" applyFont="1" applyFill="1" applyBorder="1"/>
    <xf numFmtId="170" fontId="32" fillId="43" borderId="22" xfId="0" applyNumberFormat="1" applyFont="1" applyFill="1" applyBorder="1"/>
    <xf numFmtId="0" fontId="14" fillId="0" borderId="15" xfId="0" applyFont="1" applyBorder="1" applyAlignment="1">
      <alignment vertical="center"/>
    </xf>
    <xf numFmtId="0" fontId="14" fillId="0" borderId="8" xfId="0" applyFont="1" applyBorder="1" applyAlignment="1">
      <alignment vertical="center"/>
    </xf>
    <xf numFmtId="0" fontId="14" fillId="0" borderId="8" xfId="0" applyFont="1" applyBorder="1" applyAlignment="1">
      <alignment horizontal="center" vertical="center"/>
    </xf>
    <xf numFmtId="0" fontId="14" fillId="36" borderId="8" xfId="0" applyFont="1" applyFill="1" applyBorder="1" applyAlignment="1">
      <alignment vertical="center" wrapText="1"/>
    </xf>
    <xf numFmtId="170" fontId="14" fillId="36" borderId="22" xfId="0" applyNumberFormat="1" applyFont="1" applyFill="1" applyBorder="1" applyAlignment="1">
      <alignment vertical="center" wrapText="1"/>
    </xf>
    <xf numFmtId="0" fontId="4" fillId="32" borderId="24" xfId="0" applyFont="1" applyFill="1" applyBorder="1"/>
    <xf numFmtId="0" fontId="54" fillId="32" borderId="5" xfId="0" applyFont="1" applyFill="1" applyBorder="1"/>
    <xf numFmtId="0" fontId="54" fillId="0" borderId="5" xfId="0" applyFont="1" applyBorder="1"/>
    <xf numFmtId="0" fontId="0" fillId="0" borderId="1" xfId="0" pivotButton="1" applyBorder="1" applyAlignment="1">
      <alignment wrapText="1"/>
    </xf>
    <xf numFmtId="3" fontId="0" fillId="0" borderId="1" xfId="0" applyNumberFormat="1" applyBorder="1"/>
    <xf numFmtId="0" fontId="0" fillId="0" borderId="39" xfId="0" pivotButton="1" applyBorder="1" applyAlignment="1">
      <alignment horizontal="center"/>
    </xf>
    <xf numFmtId="0" fontId="17" fillId="38" borderId="11" xfId="0" applyFont="1" applyFill="1" applyBorder="1" applyAlignment="1"/>
    <xf numFmtId="0" fontId="17" fillId="38" borderId="11" xfId="0" applyFont="1" applyFill="1" applyBorder="1" applyAlignment="1">
      <alignment horizontal="left"/>
    </xf>
    <xf numFmtId="0" fontId="17" fillId="38" borderId="11" xfId="0" applyFont="1" applyFill="1" applyBorder="1" applyAlignment="1">
      <alignment horizontal="right" vertical="center"/>
    </xf>
    <xf numFmtId="0" fontId="17" fillId="38" borderId="12" xfId="0" applyFont="1" applyFill="1" applyBorder="1" applyAlignment="1"/>
    <xf numFmtId="168" fontId="0" fillId="38" borderId="41" xfId="0" applyNumberFormat="1" applyFill="1" applyBorder="1" applyAlignment="1"/>
    <xf numFmtId="168" fontId="0" fillId="38" borderId="42" xfId="0" applyNumberFormat="1" applyFill="1" applyBorder="1" applyAlignment="1"/>
    <xf numFmtId="168" fontId="0" fillId="38" borderId="42" xfId="0" applyNumberFormat="1" applyFill="1" applyBorder="1" applyAlignment="1">
      <alignment horizontal="left"/>
    </xf>
    <xf numFmtId="168" fontId="0" fillId="38" borderId="42" xfId="0" applyNumberFormat="1" applyFill="1" applyBorder="1" applyAlignment="1">
      <alignment horizontal="right" vertical="center"/>
    </xf>
    <xf numFmtId="168" fontId="0" fillId="38" borderId="43" xfId="0" applyNumberFormat="1" applyFill="1" applyBorder="1" applyAlignment="1"/>
    <xf numFmtId="0" fontId="0" fillId="0" borderId="40" xfId="0" pivotButton="1" applyBorder="1" applyAlignment="1">
      <alignment horizontal="left"/>
    </xf>
    <xf numFmtId="165" fontId="0" fillId="0" borderId="0" xfId="0" applyNumberFormat="1" applyBorder="1"/>
    <xf numFmtId="0" fontId="0" fillId="0" borderId="11" xfId="0" pivotButton="1" applyBorder="1" applyAlignment="1">
      <alignment horizontal="left"/>
    </xf>
    <xf numFmtId="0" fontId="3" fillId="10" borderId="0" xfId="0" applyFont="1" applyFill="1" applyBorder="1"/>
    <xf numFmtId="3" fontId="3" fillId="10" borderId="0" xfId="0" applyNumberFormat="1" applyFont="1" applyFill="1" applyBorder="1" applyAlignment="1">
      <alignment horizontal="center"/>
    </xf>
    <xf numFmtId="0" fontId="41" fillId="5" borderId="11" xfId="6" applyFont="1" applyFill="1" applyBorder="1" applyAlignment="1">
      <alignment vertical="center"/>
    </xf>
    <xf numFmtId="0" fontId="0" fillId="13" borderId="1" xfId="0" applyFont="1" applyFill="1" applyBorder="1" applyAlignment="1"/>
    <xf numFmtId="3" fontId="71" fillId="10" borderId="1" xfId="0" applyNumberFormat="1" applyFont="1" applyFill="1" applyBorder="1" applyAlignment="1">
      <alignment horizontal="center"/>
    </xf>
    <xf numFmtId="3" fontId="72" fillId="10" borderId="5" xfId="0" applyNumberFormat="1" applyFont="1" applyFill="1" applyBorder="1" applyAlignment="1">
      <alignment horizontal="center"/>
    </xf>
    <xf numFmtId="3" fontId="72" fillId="10" borderId="17" xfId="0" applyNumberFormat="1" applyFont="1" applyFill="1" applyBorder="1" applyAlignment="1">
      <alignment horizontal="center"/>
    </xf>
    <xf numFmtId="0" fontId="3" fillId="0" borderId="15"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19" fillId="10" borderId="3" xfId="0" applyFont="1" applyFill="1" applyBorder="1"/>
    <xf numFmtId="0" fontId="18" fillId="10" borderId="24" xfId="0" applyFont="1" applyFill="1" applyBorder="1"/>
    <xf numFmtId="0" fontId="0" fillId="0" borderId="26" xfId="0" applyBorder="1" applyAlignment="1">
      <alignment horizontal="center" vertical="center" wrapText="1"/>
    </xf>
    <xf numFmtId="0" fontId="0" fillId="0" borderId="38" xfId="0" applyBorder="1" applyAlignment="1">
      <alignment horizontal="center" vertical="center" wrapText="1"/>
    </xf>
    <xf numFmtId="49" fontId="0" fillId="2" borderId="0" xfId="0" applyNumberFormat="1" applyFill="1" applyBorder="1" applyAlignment="1">
      <alignment horizontal="left" vertical="center"/>
    </xf>
    <xf numFmtId="49" fontId="0" fillId="29" borderId="0" xfId="0" applyNumberFormat="1" applyFill="1" applyBorder="1" applyAlignment="1">
      <alignment horizontal="left" vertical="top" wrapText="1"/>
    </xf>
    <xf numFmtId="49" fontId="0" fillId="0" borderId="0" xfId="0" applyNumberFormat="1" applyFill="1" applyBorder="1" applyAlignment="1">
      <alignment vertical="top"/>
    </xf>
    <xf numFmtId="49" fontId="0" fillId="0" borderId="0" xfId="0" applyNumberFormat="1" applyFill="1" applyBorder="1" applyAlignment="1">
      <alignment horizontal="left" vertical="center" wrapText="1"/>
    </xf>
    <xf numFmtId="49" fontId="0" fillId="0" borderId="0" xfId="0" applyNumberFormat="1" applyFill="1" applyBorder="1"/>
    <xf numFmtId="49" fontId="13" fillId="0" borderId="0" xfId="0" applyNumberFormat="1" applyFont="1" applyFill="1" applyBorder="1" applyAlignment="1">
      <alignment vertical="top" wrapText="1"/>
    </xf>
    <xf numFmtId="49" fontId="13" fillId="0" borderId="0" xfId="0" applyNumberFormat="1" applyFont="1" applyFill="1" applyBorder="1" applyAlignment="1">
      <alignment vertical="top"/>
    </xf>
    <xf numFmtId="0" fontId="5" fillId="0" borderId="0" xfId="0" applyNumberFormat="1" applyFont="1" applyFill="1" applyBorder="1" applyAlignment="1">
      <alignment horizontal="left" vertical="center"/>
    </xf>
    <xf numFmtId="49" fontId="13" fillId="0" borderId="0" xfId="0" applyNumberFormat="1" applyFont="1" applyFill="1" applyBorder="1" applyAlignment="1">
      <alignment horizontal="left" vertical="center"/>
    </xf>
    <xf numFmtId="0" fontId="0" fillId="0" borderId="0" xfId="0" applyNumberFormat="1" applyFill="1" applyBorder="1" applyAlignment="1">
      <alignment horizontal="left" vertical="center"/>
    </xf>
    <xf numFmtId="0" fontId="0" fillId="0" borderId="0" xfId="0" applyNumberFormat="1" applyFont="1" applyFill="1" applyBorder="1" applyAlignment="1">
      <alignment horizontal="left" vertical="center"/>
    </xf>
    <xf numFmtId="3" fontId="14" fillId="0" borderId="0" xfId="0" applyNumberFormat="1" applyFont="1" applyFill="1" applyBorder="1" applyAlignment="1">
      <alignment horizontal="left" vertical="center"/>
    </xf>
    <xf numFmtId="49" fontId="0" fillId="2" borderId="0" xfId="0" applyNumberFormat="1" applyFill="1" applyBorder="1" applyAlignment="1">
      <alignment horizontal="left" vertical="center" wrapText="1"/>
    </xf>
    <xf numFmtId="0" fontId="0" fillId="2" borderId="0" xfId="0" applyNumberFormat="1" applyFill="1" applyBorder="1" applyAlignment="1">
      <alignment horizontal="left" vertical="top" wrapText="1"/>
    </xf>
    <xf numFmtId="49" fontId="0" fillId="2" borderId="0" xfId="0" applyNumberFormat="1" applyFill="1" applyBorder="1" applyAlignment="1">
      <alignment horizontal="left" vertical="top" wrapText="1"/>
    </xf>
    <xf numFmtId="0" fontId="0" fillId="0" borderId="0" xfId="0" applyFill="1" applyBorder="1" applyAlignment="1">
      <alignment vertical="top"/>
    </xf>
    <xf numFmtId="9" fontId="0" fillId="0" borderId="0" xfId="8" applyNumberFormat="1" applyFont="1" applyFill="1" applyBorder="1" applyAlignment="1">
      <alignment horizontal="center" vertical="center"/>
    </xf>
    <xf numFmtId="49" fontId="73" fillId="20" borderId="0" xfId="0" applyNumberFormat="1" applyFont="1" applyFill="1" applyBorder="1" applyAlignment="1">
      <alignment horizontal="left" vertical="center"/>
    </xf>
    <xf numFmtId="0" fontId="73" fillId="20" borderId="0" xfId="0" applyFont="1" applyFill="1" applyAlignment="1">
      <alignment vertical="top" wrapText="1"/>
    </xf>
    <xf numFmtId="165" fontId="0" fillId="0" borderId="30" xfId="0" applyNumberFormat="1" applyBorder="1"/>
    <xf numFmtId="165" fontId="0" fillId="0" borderId="16" xfId="0" applyNumberFormat="1" applyBorder="1"/>
    <xf numFmtId="165" fontId="0" fillId="0" borderId="24" xfId="0" applyNumberFormat="1" applyBorder="1"/>
    <xf numFmtId="0" fontId="0" fillId="0" borderId="5" xfId="0" applyBorder="1" applyAlignment="1">
      <alignment horizontal="left"/>
    </xf>
    <xf numFmtId="0" fontId="4" fillId="0" borderId="0" xfId="0" applyFont="1" applyBorder="1"/>
    <xf numFmtId="0" fontId="48" fillId="37" borderId="10" xfId="0" applyFont="1" applyFill="1" applyBorder="1" applyAlignment="1">
      <alignment horizontal="left"/>
    </xf>
    <xf numFmtId="168" fontId="4" fillId="37" borderId="11" xfId="0" applyNumberFormat="1" applyFont="1" applyFill="1" applyBorder="1" applyAlignment="1">
      <alignment horizontal="center" vertical="center"/>
    </xf>
    <xf numFmtId="168" fontId="48" fillId="37" borderId="13" xfId="0" applyNumberFormat="1" applyFont="1" applyFill="1" applyBorder="1" applyAlignment="1">
      <alignment horizontal="left"/>
    </xf>
    <xf numFmtId="0" fontId="4" fillId="37" borderId="0" xfId="0" applyFont="1" applyFill="1" applyBorder="1" applyAlignment="1">
      <alignment horizontal="center" vertical="center"/>
    </xf>
    <xf numFmtId="168" fontId="4" fillId="37" borderId="13" xfId="0" applyNumberFormat="1" applyFont="1" applyFill="1" applyBorder="1" applyAlignment="1">
      <alignment horizontal="center" vertical="center"/>
    </xf>
    <xf numFmtId="168" fontId="4" fillId="37" borderId="0" xfId="0" applyNumberFormat="1" applyFont="1" applyFill="1" applyBorder="1" applyAlignment="1">
      <alignment horizontal="center" vertical="center"/>
    </xf>
    <xf numFmtId="0" fontId="4" fillId="0" borderId="26" xfId="0" pivotButton="1" applyFont="1" applyBorder="1"/>
    <xf numFmtId="0" fontId="4" fillId="0" borderId="28" xfId="0" applyFont="1" applyBorder="1"/>
    <xf numFmtId="0" fontId="4" fillId="37" borderId="13" xfId="0" applyFont="1" applyFill="1" applyBorder="1" applyAlignment="1">
      <alignment horizontal="center" vertical="center"/>
    </xf>
    <xf numFmtId="0" fontId="4" fillId="0" borderId="39" xfId="0" pivotButton="1" applyFont="1" applyBorder="1" applyAlignment="1">
      <alignment horizontal="center"/>
    </xf>
    <xf numFmtId="0" fontId="4" fillId="0" borderId="40" xfId="0" pivotButton="1" applyFont="1" applyBorder="1" applyAlignment="1">
      <alignment horizontal="left"/>
    </xf>
    <xf numFmtId="0" fontId="4" fillId="0" borderId="11" xfId="0" pivotButton="1" applyFont="1" applyBorder="1" applyAlignment="1">
      <alignment horizontal="left"/>
    </xf>
    <xf numFmtId="165" fontId="4" fillId="0" borderId="27" xfId="0" applyNumberFormat="1" applyFont="1" applyBorder="1" applyAlignment="1">
      <alignment horizontal="center"/>
    </xf>
    <xf numFmtId="0" fontId="4" fillId="0" borderId="28" xfId="0" applyFont="1" applyBorder="1" applyAlignment="1">
      <alignment horizontal="center"/>
    </xf>
    <xf numFmtId="0" fontId="4" fillId="0" borderId="25" xfId="0" applyFont="1" applyBorder="1" applyAlignment="1">
      <alignment horizontal="center" vertical="center" wrapText="1"/>
    </xf>
    <xf numFmtId="3" fontId="4" fillId="0" borderId="10" xfId="0" applyNumberFormat="1" applyFont="1" applyBorder="1" applyAlignment="1">
      <alignment horizontal="right" vertical="center"/>
    </xf>
    <xf numFmtId="165" fontId="4" fillId="0" borderId="11" xfId="0" applyNumberFormat="1" applyFont="1" applyBorder="1"/>
    <xf numFmtId="3" fontId="4" fillId="0" borderId="13" xfId="0" applyNumberFormat="1" applyFont="1" applyBorder="1" applyAlignment="1">
      <alignment horizontal="right" vertical="center"/>
    </xf>
    <xf numFmtId="165" fontId="4" fillId="0" borderId="0" xfId="0" applyNumberFormat="1" applyFont="1" applyBorder="1"/>
    <xf numFmtId="0" fontId="4" fillId="0" borderId="0" xfId="0" applyFont="1" applyBorder="1" applyAlignment="1">
      <alignment horizontal="left"/>
    </xf>
    <xf numFmtId="3" fontId="4" fillId="37" borderId="50" xfId="0" applyNumberFormat="1" applyFont="1" applyFill="1" applyBorder="1" applyAlignment="1">
      <alignment horizontal="right" vertical="center"/>
    </xf>
    <xf numFmtId="165" fontId="4" fillId="37" borderId="7" xfId="0" applyNumberFormat="1" applyFont="1" applyFill="1" applyBorder="1" applyAlignment="1">
      <alignment horizontal="right"/>
    </xf>
    <xf numFmtId="0" fontId="4" fillId="0" borderId="0" xfId="0" applyFont="1" applyBorder="1" applyAlignment="1">
      <alignment horizontal="center" vertical="center" wrapText="1"/>
    </xf>
    <xf numFmtId="3" fontId="4" fillId="37" borderId="13" xfId="0" applyNumberFormat="1" applyFont="1" applyFill="1" applyBorder="1" applyAlignment="1">
      <alignment horizontal="right" vertical="center"/>
    </xf>
    <xf numFmtId="165" fontId="4" fillId="37" borderId="0" xfId="0" applyNumberFormat="1" applyFont="1" applyFill="1" applyBorder="1"/>
    <xf numFmtId="165" fontId="4" fillId="0" borderId="41" xfId="0" applyNumberFormat="1" applyFont="1" applyBorder="1" applyAlignment="1">
      <alignment horizontal="right" vertical="center"/>
    </xf>
    <xf numFmtId="165" fontId="4" fillId="0" borderId="42" xfId="0" applyNumberFormat="1" applyFont="1" applyBorder="1"/>
    <xf numFmtId="0" fontId="4" fillId="0" borderId="26" xfId="0" applyFont="1" applyBorder="1" applyAlignment="1">
      <alignment horizontal="right" vertical="center"/>
    </xf>
    <xf numFmtId="168" fontId="4" fillId="37" borderId="52" xfId="0" applyNumberFormat="1" applyFont="1" applyFill="1" applyBorder="1" applyAlignment="1">
      <alignment horizontal="center" vertical="center"/>
    </xf>
    <xf numFmtId="0" fontId="4" fillId="37" borderId="53" xfId="0" applyFont="1" applyFill="1" applyBorder="1" applyAlignment="1">
      <alignment horizontal="center" vertical="center"/>
    </xf>
    <xf numFmtId="168" fontId="4" fillId="37" borderId="53" xfId="0" applyNumberFormat="1" applyFont="1" applyFill="1" applyBorder="1" applyAlignment="1">
      <alignment horizontal="center" vertical="center"/>
    </xf>
    <xf numFmtId="0" fontId="4" fillId="37" borderId="54" xfId="0" applyFont="1" applyFill="1" applyBorder="1" applyAlignment="1">
      <alignment horizontal="center" vertical="center"/>
    </xf>
    <xf numFmtId="0" fontId="3" fillId="0" borderId="22" xfId="0" applyFont="1" applyFill="1" applyBorder="1" applyAlignment="1">
      <alignment horizontal="center" vertical="top" wrapText="1"/>
    </xf>
    <xf numFmtId="0" fontId="40" fillId="37" borderId="0" xfId="6" applyFont="1" applyFill="1" applyBorder="1" applyAlignment="1">
      <alignment horizontal="left" vertical="center"/>
    </xf>
    <xf numFmtId="0" fontId="0" fillId="0" borderId="0" xfId="0" applyBorder="1" applyAlignment="1">
      <alignment horizontal="center"/>
    </xf>
    <xf numFmtId="0" fontId="5" fillId="0" borderId="0" xfId="7" applyNumberFormat="1" applyFont="1" applyFill="1" applyBorder="1" applyAlignment="1">
      <alignment horizontal="left" vertical="center"/>
    </xf>
    <xf numFmtId="0" fontId="5" fillId="0" borderId="0" xfId="0" applyFont="1" applyFill="1" applyBorder="1" applyAlignment="1">
      <alignment horizontal="left" vertical="center"/>
    </xf>
    <xf numFmtId="15" fontId="0" fillId="0" borderId="0" xfId="0" applyNumberFormat="1" applyFill="1" applyBorder="1" applyAlignment="1">
      <alignment horizontal="center" vertical="center"/>
    </xf>
    <xf numFmtId="0" fontId="0" fillId="0" borderId="0" xfId="8" applyNumberFormat="1" applyFont="1" applyFill="1" applyBorder="1" applyAlignment="1">
      <alignment horizontal="left" vertical="center"/>
    </xf>
    <xf numFmtId="0" fontId="4" fillId="0" borderId="0" xfId="0" applyFont="1" applyFill="1" applyBorder="1" applyAlignment="1">
      <alignment horizontal="left" vertical="center"/>
    </xf>
    <xf numFmtId="0" fontId="66" fillId="0" borderId="0" xfId="0" applyFont="1" applyFill="1" applyBorder="1" applyAlignment="1">
      <alignment horizontal="left" vertical="center"/>
    </xf>
    <xf numFmtId="0" fontId="65" fillId="0" borderId="0" xfId="0" applyFont="1" applyFill="1" applyBorder="1" applyAlignment="1">
      <alignment horizontal="left" vertical="center"/>
    </xf>
    <xf numFmtId="169" fontId="2" fillId="0" borderId="0" xfId="8" applyNumberFormat="1" applyFont="1" applyFill="1" applyBorder="1" applyAlignment="1">
      <alignment horizontal="left" vertical="center"/>
    </xf>
    <xf numFmtId="49" fontId="0" fillId="3" borderId="0" xfId="0" applyNumberFormat="1" applyFill="1" applyBorder="1" applyAlignment="1">
      <alignment horizontal="left" vertical="center"/>
    </xf>
    <xf numFmtId="15" fontId="0" fillId="0" borderId="0" xfId="0" applyNumberFormat="1" applyFont="1" applyFill="1" applyBorder="1" applyAlignment="1">
      <alignment horizontal="left" vertical="center" wrapText="1"/>
    </xf>
    <xf numFmtId="49" fontId="0" fillId="0" borderId="0" xfId="0" applyNumberFormat="1" applyFill="1" applyBorder="1" applyAlignment="1">
      <alignment horizontal="center" vertical="center"/>
    </xf>
    <xf numFmtId="49" fontId="0" fillId="0" borderId="0" xfId="0" applyNumberFormat="1" applyFont="1" applyFill="1" applyBorder="1" applyAlignment="1">
      <alignment horizontal="center" vertical="center"/>
    </xf>
    <xf numFmtId="3" fontId="54" fillId="0" borderId="0" xfId="0" applyNumberFormat="1" applyFont="1" applyFill="1" applyBorder="1" applyAlignment="1">
      <alignment horizontal="center" vertical="center"/>
    </xf>
    <xf numFmtId="3" fontId="14" fillId="0" borderId="0" xfId="0" applyNumberFormat="1" applyFont="1" applyFill="1" applyBorder="1" applyAlignment="1">
      <alignment horizontal="center" vertical="center"/>
    </xf>
    <xf numFmtId="49" fontId="73" fillId="20" borderId="0" xfId="0" applyNumberFormat="1" applyFont="1" applyFill="1" applyBorder="1" applyAlignment="1">
      <alignment horizontal="center" vertical="center"/>
    </xf>
    <xf numFmtId="0" fontId="0" fillId="0" borderId="0" xfId="0" applyFill="1" applyBorder="1" applyAlignment="1">
      <alignment horizontal="center"/>
    </xf>
    <xf numFmtId="0" fontId="0" fillId="10" borderId="0" xfId="0" applyFill="1" applyBorder="1" applyAlignment="1">
      <alignment horizontal="center"/>
    </xf>
    <xf numFmtId="0" fontId="6" fillId="29" borderId="9" xfId="0" applyFont="1" applyFill="1" applyBorder="1" applyAlignment="1">
      <alignment horizontal="center" vertical="center" wrapText="1"/>
    </xf>
    <xf numFmtId="16" fontId="6" fillId="35" borderId="9" xfId="0" quotePrefix="1" applyNumberFormat="1" applyFont="1" applyFill="1" applyBorder="1" applyAlignment="1">
      <alignment horizontal="center" vertical="center" wrapText="1"/>
    </xf>
    <xf numFmtId="0" fontId="6" fillId="31" borderId="9" xfId="0" quotePrefix="1" applyFont="1" applyFill="1" applyBorder="1" applyAlignment="1">
      <alignment horizontal="center" vertical="center" wrapText="1"/>
    </xf>
    <xf numFmtId="0" fontId="6" fillId="30" borderId="9" xfId="0" applyFont="1" applyFill="1" applyBorder="1" applyAlignment="1">
      <alignment horizontal="center" vertical="center" wrapText="1"/>
    </xf>
    <xf numFmtId="0" fontId="4" fillId="0" borderId="12" xfId="0" applyNumberFormat="1" applyFont="1" applyBorder="1" applyAlignment="1">
      <alignment horizontal="center"/>
    </xf>
    <xf numFmtId="0" fontId="4" fillId="0" borderId="14" xfId="0" applyNumberFormat="1" applyFont="1" applyBorder="1" applyAlignment="1">
      <alignment horizontal="center"/>
    </xf>
    <xf numFmtId="0" fontId="4" fillId="37" borderId="14" xfId="0" applyNumberFormat="1" applyFont="1" applyFill="1" applyBorder="1" applyAlignment="1">
      <alignment horizontal="center"/>
    </xf>
    <xf numFmtId="0" fontId="4" fillId="37" borderId="51" xfId="0" applyNumberFormat="1" applyFont="1" applyFill="1" applyBorder="1" applyAlignment="1">
      <alignment horizontal="center"/>
    </xf>
    <xf numFmtId="165" fontId="4" fillId="0" borderId="43" xfId="0" applyNumberFormat="1" applyFont="1" applyBorder="1" applyAlignment="1">
      <alignment horizontal="center"/>
    </xf>
    <xf numFmtId="0" fontId="0" fillId="0" borderId="14" xfId="0" applyNumberFormat="1" applyBorder="1" applyAlignment="1">
      <alignment horizontal="center"/>
    </xf>
    <xf numFmtId="3" fontId="0" fillId="0" borderId="0" xfId="0" applyNumberFormat="1" applyBorder="1" applyAlignment="1">
      <alignment horizontal="center" vertical="center"/>
    </xf>
    <xf numFmtId="0" fontId="0" fillId="0" borderId="0" xfId="0" applyNumberFormat="1" applyBorder="1" applyAlignment="1">
      <alignment horizontal="center"/>
    </xf>
    <xf numFmtId="9" fontId="0" fillId="0" borderId="14" xfId="0" applyNumberFormat="1" applyBorder="1" applyAlignment="1">
      <alignment horizontal="center"/>
    </xf>
    <xf numFmtId="3" fontId="0" fillId="0" borderId="42" xfId="0" applyNumberFormat="1" applyBorder="1" applyAlignment="1">
      <alignment horizontal="center" vertical="center"/>
    </xf>
    <xf numFmtId="0" fontId="0" fillId="0" borderId="42" xfId="0" applyNumberFormat="1" applyBorder="1" applyAlignment="1">
      <alignment horizontal="center"/>
    </xf>
    <xf numFmtId="0" fontId="55" fillId="37" borderId="43" xfId="0" applyNumberFormat="1" applyFont="1" applyFill="1" applyBorder="1" applyAlignment="1">
      <alignment horizontal="center"/>
    </xf>
    <xf numFmtId="0" fontId="0" fillId="0" borderId="0" xfId="0" applyNumberFormat="1" applyFont="1" applyBorder="1" applyAlignment="1">
      <alignment horizontal="center"/>
    </xf>
    <xf numFmtId="0" fontId="0" fillId="0" borderId="30" xfId="0" applyNumberFormat="1" applyFont="1" applyBorder="1" applyAlignment="1">
      <alignment horizontal="center"/>
    </xf>
    <xf numFmtId="0" fontId="0" fillId="0" borderId="35" xfId="0" applyNumberFormat="1" applyFont="1" applyBorder="1" applyAlignment="1">
      <alignment horizontal="center"/>
    </xf>
    <xf numFmtId="0" fontId="0" fillId="0" borderId="15" xfId="0" applyNumberFormat="1" applyFont="1" applyBorder="1" applyAlignment="1">
      <alignment horizontal="center"/>
    </xf>
    <xf numFmtId="0" fontId="40" fillId="37" borderId="0" xfId="6" applyFont="1" applyFill="1" applyBorder="1" applyAlignment="1">
      <alignment horizontal="left" vertical="center"/>
    </xf>
    <xf numFmtId="0" fontId="0" fillId="0" borderId="0" xfId="0" applyBorder="1" applyAlignment="1">
      <alignment horizontal="left"/>
    </xf>
    <xf numFmtId="0" fontId="13" fillId="0" borderId="0" xfId="0" applyNumberFormat="1" applyFont="1" applyFill="1" applyBorder="1" applyAlignment="1">
      <alignment horizontal="left" vertical="center"/>
    </xf>
    <xf numFmtId="0" fontId="7" fillId="0" borderId="1" xfId="5" applyFont="1" applyFill="1" applyBorder="1" applyAlignment="1">
      <alignment horizontal="left" vertical="center" wrapText="1"/>
    </xf>
    <xf numFmtId="0" fontId="7" fillId="0" borderId="1" xfId="5" applyFont="1" applyFill="1" applyBorder="1" applyAlignment="1">
      <alignment horizontal="center" vertical="center"/>
    </xf>
    <xf numFmtId="1" fontId="7" fillId="0" borderId="1" xfId="8" applyNumberFormat="1" applyFont="1" applyFill="1" applyBorder="1" applyAlignment="1">
      <alignment horizontal="left" vertical="center" wrapText="1"/>
    </xf>
    <xf numFmtId="1" fontId="7" fillId="0" borderId="1" xfId="8" applyNumberFormat="1" applyFont="1" applyFill="1" applyBorder="1" applyAlignment="1">
      <alignment horizontal="center" vertical="center" wrapText="1"/>
    </xf>
    <xf numFmtId="0" fontId="0" fillId="0" borderId="1" xfId="0" applyFill="1" applyBorder="1" applyAlignment="1">
      <alignment horizontal="left" vertical="center" wrapText="1"/>
    </xf>
    <xf numFmtId="0" fontId="7" fillId="0" borderId="1" xfId="5" applyFont="1" applyFill="1" applyBorder="1" applyAlignment="1">
      <alignment horizontal="center" vertical="center" wrapText="1"/>
    </xf>
    <xf numFmtId="0" fontId="46" fillId="0" borderId="1" xfId="5" applyNumberFormat="1" applyFont="1" applyFill="1" applyBorder="1" applyAlignment="1">
      <alignment horizontal="left" vertical="center" wrapText="1"/>
    </xf>
    <xf numFmtId="9" fontId="56" fillId="0" borderId="1" xfId="8" applyFont="1" applyFill="1" applyBorder="1" applyAlignment="1">
      <alignment horizontal="left" vertical="center" wrapText="1"/>
    </xf>
    <xf numFmtId="0" fontId="0" fillId="0" borderId="0" xfId="0" applyFill="1" applyBorder="1" applyAlignment="1">
      <alignment horizontal="left" vertical="center" wrapText="1"/>
    </xf>
    <xf numFmtId="0" fontId="5" fillId="0" borderId="0" xfId="0" applyFont="1" applyFill="1" applyBorder="1" applyAlignment="1">
      <alignment horizontal="left" vertical="center" wrapText="1"/>
    </xf>
    <xf numFmtId="0" fontId="17" fillId="37" borderId="0" xfId="0" applyFont="1" applyFill="1" applyBorder="1" applyAlignment="1">
      <alignment horizontal="left"/>
    </xf>
    <xf numFmtId="168" fontId="3" fillId="37" borderId="0" xfId="0" applyNumberFormat="1" applyFont="1" applyFill="1" applyBorder="1" applyAlignment="1">
      <alignment horizontal="left"/>
    </xf>
    <xf numFmtId="168" fontId="18" fillId="10" borderId="0" xfId="0" applyNumberFormat="1" applyFont="1" applyFill="1" applyBorder="1" applyAlignment="1">
      <alignment horizontal="left"/>
    </xf>
    <xf numFmtId="168" fontId="19" fillId="10" borderId="0" xfId="0" applyNumberFormat="1" applyFont="1" applyFill="1" applyBorder="1" applyAlignment="1">
      <alignment horizontal="left"/>
    </xf>
    <xf numFmtId="0" fontId="0" fillId="0" borderId="26" xfId="0" pivotButton="1" applyBorder="1"/>
    <xf numFmtId="0" fontId="0" fillId="0" borderId="28" xfId="0" applyBorder="1"/>
    <xf numFmtId="0" fontId="0" fillId="0" borderId="28" xfId="0" applyBorder="1" applyAlignment="1">
      <alignment horizontal="center"/>
    </xf>
    <xf numFmtId="0" fontId="0" fillId="0" borderId="44" xfId="0" applyBorder="1" applyAlignment="1">
      <alignment horizontal="center" vertical="center" wrapText="1"/>
    </xf>
    <xf numFmtId="0" fontId="0" fillId="0" borderId="10" xfId="0" applyNumberFormat="1" applyBorder="1" applyAlignment="1">
      <alignment horizontal="center"/>
    </xf>
    <xf numFmtId="3" fontId="0" fillId="0" borderId="11" xfId="0" applyNumberFormat="1" applyBorder="1" applyAlignment="1">
      <alignment horizontal="center" vertical="center"/>
    </xf>
    <xf numFmtId="0" fontId="0" fillId="0" borderId="11" xfId="0" applyNumberFormat="1" applyBorder="1" applyAlignment="1">
      <alignment horizontal="center"/>
    </xf>
    <xf numFmtId="9" fontId="0" fillId="0" borderId="12" xfId="0" applyNumberFormat="1" applyBorder="1" applyAlignment="1">
      <alignment horizontal="center"/>
    </xf>
    <xf numFmtId="0" fontId="0" fillId="0" borderId="13" xfId="0" applyNumberFormat="1" applyBorder="1" applyAlignment="1">
      <alignment horizontal="center"/>
    </xf>
    <xf numFmtId="0" fontId="0" fillId="0" borderId="45" xfId="0" applyNumberFormat="1" applyBorder="1" applyAlignment="1">
      <alignment horizontal="center"/>
    </xf>
    <xf numFmtId="3" fontId="0" fillId="0" borderId="35" xfId="0" applyNumberFormat="1" applyBorder="1" applyAlignment="1">
      <alignment horizontal="center" vertical="center"/>
    </xf>
    <xf numFmtId="0" fontId="0" fillId="0" borderId="35" xfId="0" applyNumberFormat="1" applyBorder="1" applyAlignment="1">
      <alignment horizontal="center"/>
    </xf>
    <xf numFmtId="9" fontId="0" fillId="0" borderId="46" xfId="0" applyNumberFormat="1" applyBorder="1" applyAlignment="1">
      <alignment horizontal="center"/>
    </xf>
    <xf numFmtId="0" fontId="0" fillId="37" borderId="45" xfId="0" applyNumberFormat="1" applyFill="1" applyBorder="1" applyAlignment="1">
      <alignment horizontal="center"/>
    </xf>
    <xf numFmtId="3" fontId="0" fillId="37" borderId="35" xfId="0" applyNumberFormat="1" applyFill="1" applyBorder="1" applyAlignment="1">
      <alignment horizontal="center" vertical="center"/>
    </xf>
    <xf numFmtId="0" fontId="0" fillId="37" borderId="35" xfId="0" applyNumberFormat="1" applyFill="1" applyBorder="1" applyAlignment="1">
      <alignment horizontal="center"/>
    </xf>
    <xf numFmtId="0" fontId="55" fillId="37" borderId="46" xfId="0" applyNumberFormat="1" applyFont="1" applyFill="1" applyBorder="1" applyAlignment="1">
      <alignment horizontal="center"/>
    </xf>
    <xf numFmtId="0" fontId="0" fillId="0" borderId="46" xfId="0" applyNumberFormat="1" applyBorder="1" applyAlignment="1">
      <alignment horizontal="center"/>
    </xf>
    <xf numFmtId="0" fontId="0" fillId="0" borderId="41" xfId="0" applyNumberFormat="1" applyBorder="1" applyAlignment="1">
      <alignment horizontal="center"/>
    </xf>
    <xf numFmtId="0" fontId="0" fillId="0" borderId="26" xfId="0" applyBorder="1" applyAlignment="1">
      <alignment horizontal="center"/>
    </xf>
    <xf numFmtId="0" fontId="0" fillId="0" borderId="27" xfId="0" applyBorder="1" applyAlignment="1">
      <alignment horizontal="right" vertical="center"/>
    </xf>
    <xf numFmtId="0" fontId="0" fillId="0" borderId="27" xfId="0" applyBorder="1" applyAlignment="1">
      <alignment horizontal="center"/>
    </xf>
    <xf numFmtId="0" fontId="0" fillId="0" borderId="9" xfId="0" applyBorder="1" applyAlignment="1">
      <alignment horizontal="right"/>
    </xf>
    <xf numFmtId="0" fontId="0" fillId="0" borderId="7" xfId="0" applyBorder="1"/>
    <xf numFmtId="0" fontId="0" fillId="0" borderId="0" xfId="0"/>
    <xf numFmtId="0" fontId="0" fillId="0" borderId="1" xfId="0" applyBorder="1"/>
    <xf numFmtId="3" fontId="0" fillId="0" borderId="0" xfId="0" applyNumberFormat="1" applyBorder="1"/>
    <xf numFmtId="0" fontId="0" fillId="0" borderId="0" xfId="0" applyNumberFormat="1" applyAlignment="1">
      <alignment textRotation="90"/>
    </xf>
    <xf numFmtId="165" fontId="0" fillId="21" borderId="0" xfId="0" applyNumberFormat="1" applyFont="1" applyFill="1"/>
    <xf numFmtId="0" fontId="0" fillId="0" borderId="15" xfId="0" applyBorder="1"/>
    <xf numFmtId="0" fontId="0" fillId="0" borderId="25" xfId="0" applyBorder="1" applyAlignment="1">
      <alignment horizontal="center" vertical="center"/>
    </xf>
    <xf numFmtId="0" fontId="0" fillId="0" borderId="28" xfId="0" applyBorder="1" applyAlignment="1">
      <alignment horizontal="center" vertical="center"/>
    </xf>
    <xf numFmtId="166" fontId="42" fillId="0" borderId="0" xfId="6" applyNumberFormat="1" applyFont="1" applyFill="1" applyBorder="1" applyAlignment="1">
      <alignment horizontal="left" vertical="center"/>
    </xf>
    <xf numFmtId="0" fontId="41" fillId="0" borderId="0" xfId="6" applyFont="1" applyFill="1" applyBorder="1" applyAlignment="1">
      <alignment vertical="center"/>
    </xf>
    <xf numFmtId="0" fontId="18" fillId="10" borderId="0" xfId="0" applyFont="1" applyFill="1"/>
    <xf numFmtId="0" fontId="18" fillId="10" borderId="0" xfId="0" applyFont="1" applyFill="1" applyAlignment="1">
      <alignment horizontal="left"/>
    </xf>
    <xf numFmtId="0" fontId="18" fillId="0" borderId="22" xfId="0" applyNumberFormat="1" applyFont="1" applyFill="1" applyBorder="1" applyAlignment="1"/>
    <xf numFmtId="0" fontId="75" fillId="0" borderId="1" xfId="0" applyFont="1" applyBorder="1"/>
    <xf numFmtId="165" fontId="75" fillId="0" borderId="1" xfId="7" applyNumberFormat="1" applyFont="1" applyBorder="1"/>
    <xf numFmtId="49" fontId="75" fillId="32" borderId="3" xfId="0" applyNumberFormat="1" applyFont="1" applyFill="1" applyBorder="1"/>
    <xf numFmtId="49" fontId="76" fillId="0" borderId="1" xfId="0" applyNumberFormat="1" applyFont="1" applyBorder="1"/>
    <xf numFmtId="49" fontId="75" fillId="0" borderId="1" xfId="0" applyNumberFormat="1" applyFont="1" applyBorder="1"/>
    <xf numFmtId="49" fontId="77" fillId="36" borderId="1" xfId="0" applyNumberFormat="1" applyFont="1" applyFill="1" applyBorder="1" applyAlignment="1">
      <alignment vertical="center" wrapText="1"/>
    </xf>
    <xf numFmtId="17" fontId="77" fillId="36" borderId="1" xfId="0" applyNumberFormat="1" applyFont="1" applyFill="1" applyBorder="1" applyAlignment="1">
      <alignment vertical="center" wrapText="1"/>
    </xf>
    <xf numFmtId="49" fontId="77" fillId="0" borderId="1" xfId="0" applyNumberFormat="1" applyFont="1" applyFill="1" applyBorder="1" applyAlignment="1">
      <alignment vertical="center" wrapText="1"/>
    </xf>
    <xf numFmtId="49" fontId="75" fillId="32" borderId="24" xfId="0" applyNumberFormat="1" applyFont="1" applyFill="1" applyBorder="1"/>
    <xf numFmtId="49" fontId="76" fillId="0" borderId="5" xfId="0" applyNumberFormat="1" applyFont="1" applyBorder="1"/>
    <xf numFmtId="49" fontId="75" fillId="0" borderId="5" xfId="0" applyNumberFormat="1" applyFont="1" applyBorder="1"/>
    <xf numFmtId="49" fontId="77" fillId="36" borderId="5" xfId="0" applyNumberFormat="1" applyFont="1" applyFill="1" applyBorder="1" applyAlignment="1">
      <alignment vertical="center" wrapText="1"/>
    </xf>
    <xf numFmtId="49" fontId="77" fillId="0" borderId="5" xfId="0" applyNumberFormat="1" applyFont="1" applyFill="1" applyBorder="1" applyAlignment="1">
      <alignment vertical="center" wrapText="1"/>
    </xf>
    <xf numFmtId="165" fontId="75" fillId="0" borderId="5" xfId="7" applyNumberFormat="1" applyFont="1" applyBorder="1"/>
    <xf numFmtId="0" fontId="4" fillId="0" borderId="0" xfId="0" applyFont="1" applyFill="1"/>
    <xf numFmtId="170" fontId="54" fillId="44" borderId="2" xfId="0" applyNumberFormat="1" applyFont="1" applyFill="1" applyBorder="1"/>
    <xf numFmtId="170" fontId="4" fillId="44" borderId="2" xfId="0" applyNumberFormat="1" applyFont="1" applyFill="1" applyBorder="1"/>
    <xf numFmtId="170" fontId="63" fillId="44" borderId="2" xfId="0" applyNumberFormat="1" applyFont="1" applyFill="1" applyBorder="1"/>
    <xf numFmtId="170" fontId="76" fillId="44" borderId="2" xfId="0" applyNumberFormat="1" applyFont="1" applyFill="1" applyBorder="1"/>
    <xf numFmtId="0" fontId="73" fillId="0" borderId="0" xfId="0" applyFont="1"/>
    <xf numFmtId="165" fontId="0" fillId="0" borderId="0" xfId="7" applyNumberFormat="1" applyFont="1" applyFill="1" applyBorder="1" applyAlignment="1">
      <alignment horizontal="right" vertical="center"/>
    </xf>
    <xf numFmtId="0" fontId="0" fillId="0" borderId="0" xfId="0" applyFill="1" applyBorder="1" applyAlignment="1">
      <alignment horizontal="right"/>
    </xf>
    <xf numFmtId="1" fontId="0" fillId="0" borderId="0" xfId="8" applyNumberFormat="1" applyFont="1" applyFill="1" applyBorder="1" applyAlignment="1">
      <alignment vertical="center"/>
    </xf>
    <xf numFmtId="0" fontId="0" fillId="0" borderId="0" xfId="0" applyFill="1" applyBorder="1" applyAlignment="1"/>
    <xf numFmtId="1" fontId="74" fillId="2" borderId="0" xfId="8" applyNumberFormat="1" applyFont="1" applyFill="1" applyBorder="1" applyAlignment="1">
      <alignment vertical="center"/>
    </xf>
    <xf numFmtId="1" fontId="0" fillId="2" borderId="0" xfId="8" applyNumberFormat="1" applyFont="1" applyFill="1" applyBorder="1" applyAlignment="1">
      <alignment vertical="center"/>
    </xf>
    <xf numFmtId="1" fontId="73" fillId="2" borderId="0" xfId="8" applyNumberFormat="1" applyFont="1" applyFill="1" applyBorder="1" applyAlignment="1">
      <alignment vertical="center"/>
    </xf>
    <xf numFmtId="165" fontId="74" fillId="2" borderId="0" xfId="7" applyNumberFormat="1" applyFont="1" applyFill="1" applyBorder="1" applyAlignment="1">
      <alignment horizontal="right" vertical="center"/>
    </xf>
    <xf numFmtId="165" fontId="0" fillId="2" borderId="0" xfId="7" applyNumberFormat="1" applyFont="1" applyFill="1" applyBorder="1" applyAlignment="1">
      <alignment horizontal="right" vertical="center"/>
    </xf>
    <xf numFmtId="0" fontId="40" fillId="37" borderId="16" xfId="6" applyFont="1" applyFill="1" applyBorder="1" applyAlignment="1">
      <alignment horizontal="right" vertical="center"/>
    </xf>
    <xf numFmtId="0" fontId="40" fillId="37" borderId="0" xfId="6" applyFont="1" applyFill="1" applyBorder="1" applyAlignment="1">
      <alignment horizontal="right" vertical="center"/>
    </xf>
    <xf numFmtId="0" fontId="40" fillId="37" borderId="35" xfId="6" applyFont="1" applyFill="1" applyBorder="1" applyAlignment="1">
      <alignment horizontal="right" vertical="center"/>
    </xf>
    <xf numFmtId="169" fontId="7" fillId="0" borderId="1"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center"/>
    </xf>
    <xf numFmtId="169" fontId="13" fillId="0" borderId="0"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top"/>
    </xf>
    <xf numFmtId="169" fontId="0" fillId="0" borderId="0" xfId="8" applyNumberFormat="1" applyFont="1" applyFill="1" applyBorder="1" applyAlignment="1">
      <alignment horizontal="right" vertical="center"/>
    </xf>
    <xf numFmtId="169" fontId="5" fillId="0" borderId="0" xfId="8" applyNumberFormat="1" applyFont="1" applyFill="1" applyBorder="1" applyAlignment="1">
      <alignment horizontal="right" vertical="center"/>
    </xf>
    <xf numFmtId="169" fontId="0" fillId="0" borderId="0" xfId="8" applyNumberFormat="1" applyFont="1" applyFill="1" applyBorder="1" applyAlignment="1">
      <alignment horizontal="right"/>
    </xf>
    <xf numFmtId="15" fontId="0" fillId="0" borderId="5" xfId="0" applyNumberFormat="1" applyBorder="1"/>
    <xf numFmtId="0" fontId="0" fillId="0" borderId="5" xfId="0" applyFont="1" applyFill="1" applyBorder="1"/>
    <xf numFmtId="0" fontId="0" fillId="0" borderId="5" xfId="0" applyFont="1" applyBorder="1"/>
    <xf numFmtId="0" fontId="0" fillId="24" borderId="5" xfId="0" applyNumberFormat="1" applyFill="1" applyBorder="1" applyAlignment="1">
      <alignment horizontal="right"/>
    </xf>
    <xf numFmtId="0" fontId="0" fillId="24" borderId="5" xfId="0" applyFill="1" applyBorder="1" applyAlignment="1">
      <alignment horizontal="right"/>
    </xf>
    <xf numFmtId="0" fontId="0" fillId="24" borderId="5" xfId="0" applyNumberFormat="1" applyFill="1" applyBorder="1" applyAlignment="1">
      <alignment horizontal="left"/>
    </xf>
    <xf numFmtId="0" fontId="0" fillId="0" borderId="9" xfId="0" applyBorder="1" applyAlignment="1">
      <alignment horizontal="left" indent="1"/>
    </xf>
    <xf numFmtId="0" fontId="0" fillId="0" borderId="8" xfId="0" applyBorder="1" applyAlignment="1">
      <alignment horizontal="left" indent="1"/>
    </xf>
    <xf numFmtId="0" fontId="0" fillId="0" borderId="5" xfId="0" applyBorder="1" applyAlignment="1">
      <alignment horizontal="left" indent="1"/>
    </xf>
    <xf numFmtId="0" fontId="0" fillId="0" borderId="9" xfId="0" applyBorder="1"/>
    <xf numFmtId="0" fontId="0" fillId="0" borderId="15" xfId="0" applyBorder="1" applyAlignment="1">
      <alignment horizontal="right"/>
    </xf>
    <xf numFmtId="0" fontId="0" fillId="0" borderId="30" xfId="0" applyBorder="1" applyAlignment="1">
      <alignment horizontal="right"/>
    </xf>
    <xf numFmtId="0" fontId="0" fillId="0" borderId="1" xfId="0" applyFont="1" applyFill="1" applyBorder="1" applyAlignment="1"/>
    <xf numFmtId="0" fontId="0" fillId="24" borderId="1" xfId="0" quotePrefix="1" applyNumberFormat="1" applyFill="1" applyBorder="1" applyAlignment="1">
      <alignment horizontal="right"/>
    </xf>
    <xf numFmtId="0" fontId="0" fillId="24" borderId="1" xfId="0" quotePrefix="1" applyFill="1" applyBorder="1" applyAlignment="1">
      <alignment horizontal="right"/>
    </xf>
    <xf numFmtId="1" fontId="3" fillId="0" borderId="1" xfId="0" applyNumberFormat="1" applyFont="1" applyFill="1" applyBorder="1" applyAlignment="1"/>
    <xf numFmtId="1" fontId="0" fillId="0" borderId="5" xfId="0" applyNumberFormat="1" applyFill="1" applyBorder="1" applyAlignment="1"/>
    <xf numFmtId="0" fontId="0" fillId="0" borderId="1" xfId="0" applyFill="1" applyBorder="1" applyAlignment="1"/>
    <xf numFmtId="0" fontId="0" fillId="0" borderId="1" xfId="0" quotePrefix="1" applyFill="1" applyBorder="1" applyAlignment="1">
      <alignment horizontal="center" textRotation="90" wrapText="1"/>
    </xf>
    <xf numFmtId="0" fontId="0" fillId="0" borderId="1" xfId="0" quotePrefix="1" applyFill="1" applyBorder="1" applyAlignment="1">
      <alignment horizontal="right"/>
    </xf>
    <xf numFmtId="0" fontId="0" fillId="0" borderId="5" xfId="0" quotePrefix="1" applyFill="1" applyBorder="1" applyAlignment="1">
      <alignment horizontal="right"/>
    </xf>
    <xf numFmtId="1" fontId="0" fillId="0" borderId="5" xfId="0" quotePrefix="1" applyNumberFormat="1" applyFill="1" applyBorder="1" applyAlignment="1">
      <alignment horizontal="right"/>
    </xf>
    <xf numFmtId="0" fontId="53" fillId="37" borderId="0" xfId="0" applyFont="1" applyFill="1" applyBorder="1" applyAlignment="1"/>
    <xf numFmtId="15" fontId="0" fillId="0" borderId="1" xfId="0" applyNumberFormat="1" applyBorder="1"/>
    <xf numFmtId="0" fontId="53" fillId="11" borderId="0" xfId="0" applyFont="1" applyFill="1" applyBorder="1" applyAlignment="1"/>
    <xf numFmtId="0" fontId="0" fillId="0" borderId="0" xfId="0" applyAlignment="1">
      <alignment vertical="center" wrapText="1"/>
    </xf>
    <xf numFmtId="0" fontId="0" fillId="24" borderId="8" xfId="0" applyFill="1" applyBorder="1" applyAlignment="1">
      <alignment horizontal="center" textRotation="90" wrapText="1"/>
    </xf>
    <xf numFmtId="0" fontId="0" fillId="24" borderId="1" xfId="0" applyNumberFormat="1" applyFill="1" applyBorder="1" applyAlignment="1">
      <alignment horizontal="right" vertical="top"/>
    </xf>
    <xf numFmtId="0" fontId="0" fillId="24" borderId="1" xfId="0" applyNumberFormat="1" applyFill="1" applyBorder="1" applyAlignment="1">
      <alignment horizontal="left" vertical="top" wrapText="1"/>
    </xf>
    <xf numFmtId="0" fontId="0" fillId="0" borderId="28" xfId="0" applyBorder="1" applyAlignment="1">
      <alignment horizontal="center" vertical="center" wrapText="1"/>
    </xf>
    <xf numFmtId="165" fontId="0" fillId="0" borderId="0" xfId="0" applyNumberFormat="1" applyFill="1" applyBorder="1"/>
    <xf numFmtId="0" fontId="1" fillId="0" borderId="0" xfId="5"/>
    <xf numFmtId="0" fontId="1" fillId="0" borderId="1" xfId="5" applyBorder="1"/>
    <xf numFmtId="0" fontId="1" fillId="0" borderId="1" xfId="5" quotePrefix="1" applyBorder="1"/>
    <xf numFmtId="1" fontId="1" fillId="0" borderId="1" xfId="5" applyNumberFormat="1" applyBorder="1"/>
    <xf numFmtId="1" fontId="1" fillId="0" borderId="5" xfId="5" applyNumberFormat="1" applyBorder="1"/>
    <xf numFmtId="15" fontId="1" fillId="0" borderId="1" xfId="5" applyNumberFormat="1" applyBorder="1"/>
    <xf numFmtId="0" fontId="0" fillId="0" borderId="1" xfId="5" applyFont="1" applyFill="1" applyBorder="1"/>
    <xf numFmtId="0" fontId="0" fillId="0" borderId="1" xfId="5" applyFont="1" applyBorder="1"/>
    <xf numFmtId="0" fontId="1" fillId="0" borderId="1" xfId="5" quotePrefix="1" applyBorder="1" applyAlignment="1">
      <alignment horizontal="right"/>
    </xf>
    <xf numFmtId="0" fontId="1" fillId="0" borderId="5" xfId="5" quotePrefix="1" applyBorder="1" applyAlignment="1">
      <alignment horizontal="right"/>
    </xf>
    <xf numFmtId="1" fontId="1" fillId="0" borderId="5" xfId="5" quotePrefix="1" applyNumberFormat="1" applyBorder="1" applyAlignment="1">
      <alignment horizontal="right"/>
    </xf>
    <xf numFmtId="0" fontId="1" fillId="24" borderId="1" xfId="5" quotePrefix="1" applyNumberFormat="1" applyFill="1" applyBorder="1" applyAlignment="1">
      <alignment horizontal="right"/>
    </xf>
    <xf numFmtId="0" fontId="1" fillId="24" borderId="1" xfId="5" quotePrefix="1" applyFill="1" applyBorder="1" applyAlignment="1">
      <alignment horizontal="right"/>
    </xf>
    <xf numFmtId="0" fontId="1" fillId="24" borderId="1" xfId="5" applyNumberFormat="1" applyFill="1" applyBorder="1" applyAlignment="1">
      <alignment horizontal="right"/>
    </xf>
    <xf numFmtId="0" fontId="1" fillId="24" borderId="1" xfId="5" applyNumberFormat="1" applyFill="1" applyBorder="1" applyAlignment="1">
      <alignment horizontal="left"/>
    </xf>
    <xf numFmtId="165" fontId="1" fillId="0" borderId="5" xfId="7" quotePrefix="1" applyNumberFormat="1" applyFont="1" applyBorder="1" applyAlignment="1">
      <alignment horizontal="right"/>
    </xf>
    <xf numFmtId="165" fontId="0" fillId="0" borderId="13" xfId="0" applyNumberFormat="1" applyBorder="1"/>
    <xf numFmtId="165" fontId="2" fillId="0" borderId="13" xfId="7" applyNumberFormat="1" applyFont="1" applyFill="1" applyBorder="1"/>
    <xf numFmtId="0" fontId="0" fillId="0" borderId="0" xfId="0" applyFill="1" applyAlignment="1">
      <alignment textRotation="90"/>
    </xf>
    <xf numFmtId="0" fontId="0" fillId="0" borderId="26" xfId="0" applyBorder="1" applyAlignment="1">
      <alignment horizontal="center" vertical="center" wrapText="1"/>
    </xf>
    <xf numFmtId="0" fontId="0" fillId="0" borderId="0" xfId="0" applyNumberFormat="1" applyFill="1" applyAlignment="1">
      <alignment textRotation="90"/>
    </xf>
    <xf numFmtId="165" fontId="0" fillId="0" borderId="10" xfId="7" applyNumberFormat="1" applyFont="1" applyFill="1" applyBorder="1"/>
    <xf numFmtId="0" fontId="14" fillId="11" borderId="1" xfId="0" applyFont="1" applyFill="1" applyBorder="1" applyAlignment="1">
      <alignment horizontal="center" vertical="center" wrapText="1"/>
    </xf>
    <xf numFmtId="0" fontId="3" fillId="0" borderId="1" xfId="0" applyFont="1" applyBorder="1"/>
    <xf numFmtId="49" fontId="0" fillId="0" borderId="0" xfId="0" applyNumberFormat="1" applyFill="1" applyBorder="1" applyAlignment="1">
      <alignment horizontal="left" vertical="top" wrapText="1"/>
    </xf>
    <xf numFmtId="0" fontId="78" fillId="0" borderId="1" xfId="0" applyFont="1" applyFill="1" applyBorder="1" applyAlignment="1"/>
    <xf numFmtId="0" fontId="0" fillId="0" borderId="1" xfId="0" quotePrefix="1" applyNumberFormat="1" applyFill="1" applyBorder="1" applyAlignment="1">
      <alignment horizontal="right"/>
    </xf>
    <xf numFmtId="0" fontId="0" fillId="0" borderId="1" xfId="0" applyNumberFormat="1" applyFill="1" applyBorder="1" applyAlignment="1">
      <alignment horizontal="right"/>
    </xf>
    <xf numFmtId="0" fontId="0" fillId="0" borderId="1" xfId="0" applyNumberFormat="1" applyFill="1" applyBorder="1" applyAlignment="1">
      <alignment horizontal="left"/>
    </xf>
    <xf numFmtId="0" fontId="0" fillId="0" borderId="1" xfId="0" applyNumberFormat="1" applyFill="1" applyBorder="1" applyAlignment="1">
      <alignment horizontal="left" vertical="top" wrapText="1"/>
    </xf>
    <xf numFmtId="0" fontId="40" fillId="11" borderId="0" xfId="6" applyFont="1" applyFill="1" applyBorder="1" applyAlignment="1">
      <alignment horizontal="left" vertical="center"/>
    </xf>
    <xf numFmtId="0" fontId="52" fillId="37" borderId="0" xfId="0" applyFont="1" applyFill="1" applyBorder="1"/>
    <xf numFmtId="168" fontId="40" fillId="11" borderId="4" xfId="6" applyNumberFormat="1" applyFont="1" applyFill="1" applyBorder="1" applyAlignment="1">
      <alignment horizontal="left" vertical="center"/>
    </xf>
    <xf numFmtId="0" fontId="11" fillId="11" borderId="16" xfId="6" applyFont="1" applyFill="1" applyBorder="1" applyAlignment="1">
      <alignment horizontal="center" vertical="center"/>
    </xf>
    <xf numFmtId="9" fontId="52" fillId="37" borderId="16" xfId="8" applyFont="1" applyFill="1" applyBorder="1"/>
    <xf numFmtId="9" fontId="52" fillId="37" borderId="0" xfId="8" applyFont="1" applyFill="1" applyBorder="1"/>
    <xf numFmtId="0" fontId="0" fillId="37" borderId="7" xfId="0" applyFill="1" applyBorder="1"/>
    <xf numFmtId="0" fontId="0" fillId="0" borderId="22" xfId="0" applyNumberFormat="1" applyFill="1" applyBorder="1"/>
    <xf numFmtId="0" fontId="45" fillId="46" borderId="22" xfId="0" applyFont="1" applyFill="1" applyBorder="1" applyAlignment="1">
      <alignment horizontal="center" vertical="center" wrapText="1"/>
    </xf>
    <xf numFmtId="0" fontId="0" fillId="10" borderId="0" xfId="0" applyNumberFormat="1" applyFill="1" applyBorder="1"/>
    <xf numFmtId="0" fontId="0" fillId="37" borderId="3" xfId="0" applyFill="1" applyBorder="1"/>
    <xf numFmtId="0" fontId="0" fillId="0" borderId="22" xfId="0" applyNumberFormat="1" applyFont="1" applyFill="1" applyBorder="1"/>
    <xf numFmtId="3" fontId="4" fillId="0" borderId="1" xfId="0" applyNumberFormat="1" applyFont="1" applyBorder="1" applyAlignment="1">
      <alignment horizontal="center" vertical="center"/>
    </xf>
    <xf numFmtId="0" fontId="48" fillId="0" borderId="0" xfId="0" applyFont="1" applyBorder="1" applyAlignment="1">
      <alignment horizontal="center" vertical="center"/>
    </xf>
    <xf numFmtId="0" fontId="48" fillId="0" borderId="0" xfId="0" applyFont="1" applyBorder="1" applyAlignment="1">
      <alignment vertical="center"/>
    </xf>
    <xf numFmtId="3" fontId="48" fillId="0" borderId="0" xfId="0" applyNumberFormat="1" applyFont="1" applyBorder="1" applyAlignment="1">
      <alignment horizontal="center" vertical="center"/>
    </xf>
    <xf numFmtId="0" fontId="4" fillId="5" borderId="1" xfId="0" applyFont="1" applyFill="1" applyBorder="1" applyAlignment="1">
      <alignment horizontal="center" vertical="center"/>
    </xf>
    <xf numFmtId="0" fontId="79" fillId="6" borderId="8" xfId="0" applyFont="1" applyFill="1" applyBorder="1" applyAlignment="1">
      <alignment horizontal="center" vertical="center" wrapText="1"/>
    </xf>
    <xf numFmtId="0" fontId="45" fillId="5" borderId="22" xfId="0" applyFont="1" applyFill="1" applyBorder="1" applyAlignment="1">
      <alignment horizontal="center" vertical="center" wrapText="1"/>
    </xf>
    <xf numFmtId="0" fontId="0" fillId="0" borderId="2" xfId="0" applyFont="1" applyBorder="1"/>
    <xf numFmtId="0" fontId="13" fillId="11" borderId="8" xfId="0" applyFont="1" applyFill="1" applyBorder="1" applyAlignment="1">
      <alignment vertical="center" wrapText="1"/>
    </xf>
    <xf numFmtId="0" fontId="79" fillId="18" borderId="8" xfId="0" applyFont="1" applyFill="1" applyBorder="1" applyAlignment="1">
      <alignment horizontal="center" vertical="center" wrapText="1"/>
    </xf>
    <xf numFmtId="0" fontId="13" fillId="47" borderId="8" xfId="0" applyFont="1" applyFill="1" applyBorder="1" applyAlignment="1">
      <alignment wrapText="1"/>
    </xf>
    <xf numFmtId="0" fontId="0" fillId="10" borderId="0" xfId="0" applyFill="1" applyBorder="1" applyAlignment="1">
      <alignment wrapText="1"/>
    </xf>
    <xf numFmtId="1" fontId="0" fillId="0" borderId="1" xfId="0" applyNumberFormat="1" applyFill="1" applyBorder="1" applyAlignment="1">
      <alignment horizontal="right"/>
    </xf>
    <xf numFmtId="15" fontId="0" fillId="0" borderId="3" xfId="0" applyNumberFormat="1" applyBorder="1" applyAlignment="1">
      <alignment horizontal="right"/>
    </xf>
    <xf numFmtId="49" fontId="0" fillId="0" borderId="1" xfId="0" applyNumberFormat="1" applyBorder="1" applyAlignment="1">
      <alignment horizontal="right"/>
    </xf>
    <xf numFmtId="49" fontId="5" fillId="0" borderId="0" xfId="0" applyNumberFormat="1" applyFont="1" applyFill="1" applyBorder="1" applyAlignment="1">
      <alignment horizontal="left" vertical="center"/>
    </xf>
    <xf numFmtId="0" fontId="0" fillId="0" borderId="0" xfId="0" applyNumberFormat="1" applyFill="1" applyBorder="1" applyAlignment="1">
      <alignment horizontal="left" vertical="top" wrapText="1"/>
    </xf>
    <xf numFmtId="43" fontId="0" fillId="10" borderId="4" xfId="7" applyFont="1" applyFill="1" applyBorder="1"/>
    <xf numFmtId="43" fontId="0" fillId="10" borderId="0" xfId="7" applyFont="1" applyFill="1" applyBorder="1"/>
    <xf numFmtId="0" fontId="3" fillId="32" borderId="1" xfId="0" applyFont="1" applyFill="1" applyBorder="1"/>
    <xf numFmtId="0" fontId="14" fillId="6" borderId="1" xfId="0" applyFont="1" applyFill="1" applyBorder="1" applyAlignment="1">
      <alignment horizontal="center" vertical="center" wrapText="1"/>
    </xf>
    <xf numFmtId="0" fontId="14" fillId="48" borderId="1" xfId="0" applyFont="1" applyFill="1" applyBorder="1" applyAlignment="1">
      <alignment horizontal="center" vertical="center" wrapText="1"/>
    </xf>
    <xf numFmtId="0" fontId="14" fillId="8" borderId="1" xfId="0" applyFont="1" applyFill="1" applyBorder="1" applyAlignment="1">
      <alignment horizontal="center" vertical="center" wrapText="1"/>
    </xf>
    <xf numFmtId="172" fontId="0" fillId="0" borderId="0" xfId="0" applyNumberFormat="1" applyFill="1" applyBorder="1" applyAlignment="1">
      <alignment horizontal="center" vertical="center"/>
    </xf>
    <xf numFmtId="0" fontId="0" fillId="0" borderId="0" xfId="0" applyBorder="1" applyAlignment="1">
      <alignment horizontal="left"/>
    </xf>
    <xf numFmtId="0" fontId="18" fillId="0" borderId="0" xfId="0" applyFont="1"/>
    <xf numFmtId="9" fontId="0" fillId="0" borderId="1" xfId="8" applyFont="1" applyBorder="1"/>
    <xf numFmtId="0" fontId="14" fillId="49" borderId="1" xfId="0" applyFont="1" applyFill="1" applyBorder="1" applyAlignment="1">
      <alignment horizontal="center" vertical="center" wrapText="1"/>
    </xf>
    <xf numFmtId="0" fontId="40" fillId="11" borderId="0" xfId="6" applyFont="1" applyFill="1" applyBorder="1" applyAlignment="1">
      <alignment horizontal="left" vertical="center"/>
    </xf>
    <xf numFmtId="166" fontId="42" fillId="11" borderId="0" xfId="6" applyNumberFormat="1" applyFont="1" applyFill="1" applyBorder="1" applyAlignment="1">
      <alignment horizontal="left" vertical="center"/>
    </xf>
    <xf numFmtId="49" fontId="0" fillId="0" borderId="1" xfId="0" applyNumberFormat="1" applyFill="1" applyBorder="1" applyAlignment="1">
      <alignment horizontal="right"/>
    </xf>
    <xf numFmtId="0" fontId="13" fillId="30" borderId="8" xfId="0" applyFont="1" applyFill="1" applyBorder="1" applyAlignment="1">
      <alignment vertical="center" wrapText="1"/>
    </xf>
    <xf numFmtId="15" fontId="0" fillId="0" borderId="3" xfId="0" applyNumberFormat="1" applyFill="1" applyBorder="1" applyAlignment="1">
      <alignment horizontal="right"/>
    </xf>
    <xf numFmtId="0" fontId="0" fillId="0" borderId="0" xfId="0" applyNumberFormat="1" applyFill="1" applyBorder="1"/>
    <xf numFmtId="167" fontId="3" fillId="0" borderId="1" xfId="7" applyNumberFormat="1" applyFont="1" applyBorder="1"/>
    <xf numFmtId="0" fontId="11" fillId="11" borderId="30" xfId="6" applyFont="1" applyFill="1" applyBorder="1" applyAlignment="1">
      <alignment horizontal="center" vertical="center"/>
    </xf>
    <xf numFmtId="0" fontId="81" fillId="0" borderId="1" xfId="0" applyFont="1" applyFill="1" applyBorder="1" applyAlignment="1">
      <alignment horizontal="center"/>
    </xf>
    <xf numFmtId="0" fontId="51" fillId="0" borderId="1" xfId="0" applyFont="1" applyFill="1" applyBorder="1" applyAlignment="1">
      <alignment horizontal="center" vertical="center"/>
    </xf>
    <xf numFmtId="0" fontId="51" fillId="0" borderId="8" xfId="0" applyFont="1" applyFill="1" applyBorder="1" applyAlignment="1">
      <alignment horizontal="center" vertical="center"/>
    </xf>
    <xf numFmtId="0" fontId="38" fillId="0" borderId="1" xfId="0" applyFont="1" applyFill="1" applyBorder="1" applyAlignment="1">
      <alignment horizontal="center" vertical="center"/>
    </xf>
    <xf numFmtId="0" fontId="38" fillId="0" borderId="8" xfId="0" applyFont="1" applyFill="1" applyBorder="1" applyAlignment="1">
      <alignment horizontal="center" vertical="center"/>
    </xf>
    <xf numFmtId="0" fontId="38" fillId="0" borderId="1" xfId="0" quotePrefix="1" applyFont="1" applyFill="1" applyBorder="1" applyAlignment="1">
      <alignment horizontal="center"/>
    </xf>
    <xf numFmtId="1" fontId="38" fillId="0" borderId="1" xfId="0" quotePrefix="1" applyNumberFormat="1" applyFont="1" applyFill="1" applyBorder="1" applyAlignment="1">
      <alignment horizontal="center"/>
    </xf>
    <xf numFmtId="0" fontId="0" fillId="0" borderId="5" xfId="0" applyBorder="1" applyAlignment="1"/>
    <xf numFmtId="0" fontId="51" fillId="0" borderId="8" xfId="0" applyFont="1" applyFill="1" applyBorder="1" applyAlignment="1">
      <alignment horizontal="center" vertical="center" wrapText="1"/>
    </xf>
    <xf numFmtId="0" fontId="51" fillId="0" borderId="1" xfId="0" applyFont="1" applyFill="1" applyBorder="1" applyAlignment="1">
      <alignment horizontal="center" vertical="center" wrapText="1"/>
    </xf>
    <xf numFmtId="0" fontId="13" fillId="15" borderId="1" xfId="0" applyFont="1" applyFill="1" applyBorder="1" applyAlignment="1">
      <alignment horizontal="center" vertical="center" wrapText="1"/>
    </xf>
    <xf numFmtId="0" fontId="13" fillId="15" borderId="1" xfId="0" applyFont="1" applyFill="1" applyBorder="1" applyAlignment="1">
      <alignment horizontal="right" vertical="center" wrapText="1"/>
    </xf>
    <xf numFmtId="0" fontId="13" fillId="50" borderId="5" xfId="0" quotePrefix="1" applyFont="1" applyFill="1" applyBorder="1" applyAlignment="1">
      <alignment horizontal="right"/>
    </xf>
    <xf numFmtId="0" fontId="2" fillId="0" borderId="5" xfId="0" quotePrefix="1" applyFont="1" applyFill="1" applyBorder="1" applyAlignment="1">
      <alignment horizontal="right"/>
    </xf>
    <xf numFmtId="0" fontId="82" fillId="0" borderId="5" xfId="5" quotePrefix="1" applyFont="1" applyBorder="1" applyAlignment="1">
      <alignment horizontal="right"/>
    </xf>
    <xf numFmtId="165" fontId="82" fillId="0" borderId="5" xfId="7" quotePrefix="1" applyNumberFormat="1" applyFont="1" applyBorder="1" applyAlignment="1">
      <alignment horizontal="right"/>
    </xf>
    <xf numFmtId="0" fontId="83" fillId="0" borderId="1" xfId="0" quotePrefix="1" applyFont="1" applyFill="1" applyBorder="1" applyAlignment="1">
      <alignment horizontal="center" wrapText="1"/>
    </xf>
    <xf numFmtId="1" fontId="83" fillId="0" borderId="1" xfId="0" quotePrefix="1" applyNumberFormat="1" applyFont="1" applyFill="1" applyBorder="1" applyAlignment="1">
      <alignment horizontal="center" wrapText="1"/>
    </xf>
    <xf numFmtId="0" fontId="1" fillId="0" borderId="1" xfId="5" quotePrefix="1" applyFont="1" applyBorder="1" applyAlignment="1"/>
    <xf numFmtId="0" fontId="1" fillId="0" borderId="1" xfId="5" quotePrefix="1" applyFont="1" applyBorder="1" applyAlignment="1">
      <alignment horizontal="center"/>
    </xf>
    <xf numFmtId="0" fontId="51" fillId="0" borderId="1" xfId="0" quotePrefix="1" applyFont="1" applyFill="1" applyBorder="1" applyAlignment="1">
      <alignment horizontal="center" wrapText="1"/>
    </xf>
    <xf numFmtId="0" fontId="51" fillId="15" borderId="8" xfId="0" applyFont="1" applyFill="1" applyBorder="1" applyAlignment="1">
      <alignment horizontal="center" vertical="center" wrapText="1"/>
    </xf>
    <xf numFmtId="1" fontId="51" fillId="0" borderId="1" xfId="0" quotePrefix="1" applyNumberFormat="1" applyFont="1" applyFill="1" applyBorder="1" applyAlignment="1">
      <alignment horizontal="center" wrapText="1"/>
    </xf>
    <xf numFmtId="0" fontId="0" fillId="0" borderId="1" xfId="0" applyFont="1" applyBorder="1" applyAlignment="1">
      <alignment horizontal="left"/>
    </xf>
    <xf numFmtId="0" fontId="16" fillId="51" borderId="1" xfId="0" applyFont="1" applyFill="1" applyBorder="1"/>
    <xf numFmtId="0" fontId="0" fillId="51" borderId="1" xfId="0" applyFill="1" applyBorder="1" applyAlignment="1">
      <alignment horizontal="left"/>
    </xf>
    <xf numFmtId="0" fontId="0" fillId="52" borderId="0" xfId="0" applyFill="1"/>
    <xf numFmtId="0" fontId="16" fillId="51" borderId="1" xfId="0" applyFont="1" applyFill="1" applyBorder="1" applyAlignment="1">
      <alignment horizontal="left"/>
    </xf>
    <xf numFmtId="0" fontId="11" fillId="46" borderId="16" xfId="6" applyFont="1" applyFill="1" applyBorder="1" applyAlignment="1">
      <alignment vertical="center"/>
    </xf>
    <xf numFmtId="0" fontId="11" fillId="46" borderId="0" xfId="6" applyFont="1" applyFill="1" applyBorder="1" applyAlignment="1">
      <alignment vertical="center"/>
    </xf>
    <xf numFmtId="166" fontId="42" fillId="46" borderId="35" xfId="6" applyNumberFormat="1" applyFont="1" applyFill="1" applyBorder="1" applyAlignment="1">
      <alignment vertical="center"/>
    </xf>
    <xf numFmtId="0" fontId="41" fillId="46" borderId="35" xfId="6" applyFont="1" applyFill="1" applyBorder="1" applyAlignment="1">
      <alignment vertical="center"/>
    </xf>
    <xf numFmtId="0" fontId="11" fillId="46" borderId="35" xfId="6" applyFont="1" applyFill="1" applyBorder="1" applyAlignment="1">
      <alignment vertical="center"/>
    </xf>
    <xf numFmtId="0" fontId="11" fillId="46" borderId="17" xfId="6" applyFont="1" applyFill="1" applyBorder="1" applyAlignment="1">
      <alignment vertical="center"/>
    </xf>
    <xf numFmtId="0" fontId="0" fillId="46" borderId="24" xfId="0" applyFill="1" applyBorder="1"/>
    <xf numFmtId="0" fontId="0" fillId="46" borderId="30" xfId="0" applyFill="1" applyBorder="1"/>
    <xf numFmtId="0" fontId="0" fillId="46" borderId="15" xfId="0" applyFill="1" applyBorder="1"/>
    <xf numFmtId="15" fontId="42" fillId="46" borderId="35" xfId="6" applyNumberFormat="1" applyFont="1" applyFill="1" applyBorder="1" applyAlignment="1">
      <alignment vertical="center"/>
    </xf>
    <xf numFmtId="0" fontId="29" fillId="0" borderId="0" xfId="0" applyFont="1" applyFill="1" applyBorder="1" applyAlignment="1">
      <alignment horizontal="left"/>
    </xf>
    <xf numFmtId="165" fontId="27" fillId="0" borderId="0" xfId="10" applyNumberFormat="1" applyFont="1" applyFill="1" applyBorder="1" applyAlignment="1">
      <alignment horizontal="left"/>
    </xf>
    <xf numFmtId="165" fontId="23" fillId="0" borderId="0" xfId="10" applyNumberFormat="1" applyFont="1" applyFill="1" applyBorder="1"/>
    <xf numFmtId="9" fontId="23" fillId="0" borderId="0" xfId="8" applyFont="1" applyFill="1" applyBorder="1"/>
    <xf numFmtId="9" fontId="26" fillId="0" borderId="0" xfId="8" applyFont="1" applyFill="1" applyBorder="1" applyAlignment="1">
      <alignment horizontal="right" vertical="center" wrapText="1"/>
    </xf>
    <xf numFmtId="165" fontId="23" fillId="0" borderId="0" xfId="0" applyNumberFormat="1" applyFont="1" applyFill="1" applyBorder="1"/>
    <xf numFmtId="9" fontId="28" fillId="10" borderId="14" xfId="8" applyFont="1" applyFill="1" applyBorder="1"/>
    <xf numFmtId="0" fontId="29" fillId="0" borderId="23" xfId="0" applyFont="1" applyFill="1" applyBorder="1" applyAlignment="1">
      <alignment horizontal="left"/>
    </xf>
    <xf numFmtId="0" fontId="25" fillId="22" borderId="39" xfId="0" applyFont="1" applyFill="1" applyBorder="1" applyAlignment="1">
      <alignment horizontal="center" vertical="center" wrapText="1"/>
    </xf>
    <xf numFmtId="0" fontId="25" fillId="17" borderId="40" xfId="0" applyFont="1" applyFill="1" applyBorder="1" applyAlignment="1">
      <alignment horizontal="center" vertical="center" wrapText="1"/>
    </xf>
    <xf numFmtId="0" fontId="4" fillId="10" borderId="0" xfId="0" applyFont="1" applyFill="1" applyBorder="1"/>
    <xf numFmtId="9" fontId="25" fillId="23" borderId="40" xfId="8" applyFont="1" applyFill="1" applyBorder="1" applyAlignment="1">
      <alignment horizontal="center" vertical="center" wrapText="1"/>
    </xf>
    <xf numFmtId="0" fontId="3" fillId="10" borderId="0" xfId="0" applyFont="1" applyFill="1" applyBorder="1" applyAlignment="1">
      <alignment horizontal="center" vertical="center" wrapText="1"/>
    </xf>
    <xf numFmtId="9" fontId="0" fillId="10" borderId="0" xfId="8" applyFont="1" applyFill="1" applyBorder="1"/>
    <xf numFmtId="0" fontId="84" fillId="0" borderId="0" xfId="0" applyFont="1"/>
    <xf numFmtId="0" fontId="0" fillId="21" borderId="0" xfId="0" applyFill="1" applyBorder="1"/>
    <xf numFmtId="0" fontId="55" fillId="37" borderId="14" xfId="0" applyFont="1" applyFill="1" applyBorder="1"/>
    <xf numFmtId="0" fontId="41" fillId="37" borderId="11" xfId="6" applyFont="1" applyFill="1" applyBorder="1" applyAlignment="1">
      <alignment vertical="center"/>
    </xf>
    <xf numFmtId="0" fontId="24" fillId="37" borderId="11" xfId="0" applyFont="1" applyFill="1" applyBorder="1" applyAlignment="1"/>
    <xf numFmtId="0" fontId="0" fillId="10" borderId="4" xfId="0" applyFont="1" applyFill="1" applyBorder="1"/>
    <xf numFmtId="0" fontId="0" fillId="10" borderId="59" xfId="0" applyFill="1" applyBorder="1"/>
    <xf numFmtId="0" fontId="3" fillId="29" borderId="61" xfId="0" applyFont="1" applyFill="1" applyBorder="1" applyAlignment="1">
      <alignment horizontal="center" vertical="center" wrapText="1"/>
    </xf>
    <xf numFmtId="0" fontId="25" fillId="29" borderId="40" xfId="0" applyFont="1" applyFill="1" applyBorder="1" applyAlignment="1">
      <alignment horizontal="center" vertical="center" wrapText="1"/>
    </xf>
    <xf numFmtId="0" fontId="0" fillId="11" borderId="1" xfId="0" applyFill="1" applyBorder="1"/>
    <xf numFmtId="0" fontId="0" fillId="11" borderId="1" xfId="0" applyFill="1" applyBorder="1" applyAlignment="1">
      <alignment horizontal="left"/>
    </xf>
    <xf numFmtId="0" fontId="73" fillId="54" borderId="8" xfId="20" applyBorder="1" applyAlignment="1">
      <alignment horizontal="center" vertical="center" wrapText="1"/>
    </xf>
    <xf numFmtId="0" fontId="73" fillId="54" borderId="1" xfId="20" applyBorder="1" applyAlignment="1">
      <alignment horizontal="center" vertical="center" wrapText="1"/>
    </xf>
    <xf numFmtId="0" fontId="13" fillId="54" borderId="1" xfId="20" applyFont="1" applyBorder="1" applyAlignment="1">
      <alignment horizontal="center" vertical="center" wrapText="1"/>
    </xf>
    <xf numFmtId="165" fontId="4" fillId="11" borderId="1" xfId="7" quotePrefix="1" applyNumberFormat="1" applyFont="1" applyFill="1" applyBorder="1"/>
    <xf numFmtId="0" fontId="14" fillId="47" borderId="1" xfId="0" applyFont="1" applyFill="1" applyBorder="1"/>
    <xf numFmtId="165" fontId="14" fillId="47" borderId="1" xfId="7" applyNumberFormat="1" applyFont="1" applyFill="1" applyBorder="1"/>
    <xf numFmtId="0" fontId="37" fillId="11" borderId="1" xfId="0" applyFont="1" applyFill="1" applyBorder="1"/>
    <xf numFmtId="0" fontId="0" fillId="11" borderId="1" xfId="0" applyNumberFormat="1" applyFill="1" applyBorder="1"/>
    <xf numFmtId="0" fontId="3" fillId="0" borderId="22" xfId="0" applyFont="1" applyBorder="1" applyAlignment="1">
      <alignment horizontal="left"/>
    </xf>
    <xf numFmtId="0" fontId="0" fillId="51" borderId="2" xfId="0" applyFill="1" applyBorder="1" applyAlignment="1">
      <alignment horizontal="left"/>
    </xf>
    <xf numFmtId="9" fontId="85" fillId="17" borderId="8" xfId="8" applyFont="1" applyFill="1" applyBorder="1" applyAlignment="1">
      <alignment horizontal="right" vertical="center" wrapText="1"/>
    </xf>
    <xf numFmtId="9" fontId="3" fillId="29" borderId="58" xfId="8" applyFont="1" applyFill="1" applyBorder="1"/>
    <xf numFmtId="165" fontId="29" fillId="0" borderId="8" xfId="10" applyNumberFormat="1" applyFont="1" applyFill="1" applyBorder="1" applyAlignment="1">
      <alignment horizontal="left"/>
    </xf>
    <xf numFmtId="165" fontId="86" fillId="0" borderId="8" xfId="10" applyNumberFormat="1" applyFont="1" applyBorder="1"/>
    <xf numFmtId="9" fontId="86" fillId="17" borderId="8" xfId="8" applyFont="1" applyFill="1" applyBorder="1"/>
    <xf numFmtId="165" fontId="86" fillId="0" borderId="8" xfId="10" applyNumberFormat="1" applyFont="1" applyFill="1" applyBorder="1"/>
    <xf numFmtId="1" fontId="86" fillId="23" borderId="8" xfId="8" applyNumberFormat="1" applyFont="1" applyFill="1" applyBorder="1"/>
    <xf numFmtId="9" fontId="86" fillId="29" borderId="8" xfId="8" applyFont="1" applyFill="1" applyBorder="1"/>
    <xf numFmtId="165" fontId="29" fillId="0" borderId="1" xfId="10" applyNumberFormat="1" applyFont="1" applyFill="1" applyBorder="1" applyAlignment="1">
      <alignment horizontal="left"/>
    </xf>
    <xf numFmtId="165" fontId="86" fillId="0" borderId="1" xfId="10" applyNumberFormat="1" applyFont="1" applyBorder="1"/>
    <xf numFmtId="9" fontId="86" fillId="17" borderId="1" xfId="8" applyFont="1" applyFill="1" applyBorder="1"/>
    <xf numFmtId="165" fontId="86" fillId="0" borderId="1" xfId="10" applyNumberFormat="1" applyFont="1" applyFill="1" applyBorder="1"/>
    <xf numFmtId="1" fontId="86" fillId="23" borderId="1" xfId="8" applyNumberFormat="1" applyFont="1" applyFill="1" applyBorder="1"/>
    <xf numFmtId="9" fontId="86" fillId="29" borderId="1" xfId="8" applyFont="1" applyFill="1" applyBorder="1"/>
    <xf numFmtId="165" fontId="86" fillId="0" borderId="5" xfId="10" applyNumberFormat="1" applyFont="1" applyBorder="1"/>
    <xf numFmtId="165" fontId="86" fillId="0" borderId="8" xfId="8" applyNumberFormat="1" applyFont="1" applyFill="1" applyBorder="1"/>
    <xf numFmtId="165" fontId="86" fillId="0" borderId="1" xfId="8" applyNumberFormat="1" applyFont="1" applyFill="1" applyBorder="1"/>
    <xf numFmtId="9" fontId="37" fillId="10" borderId="30" xfId="8" applyFont="1" applyFill="1" applyBorder="1" applyAlignment="1">
      <alignment horizontal="right"/>
    </xf>
    <xf numFmtId="9" fontId="39" fillId="10" borderId="30" xfId="8" applyFont="1" applyFill="1" applyBorder="1" applyAlignment="1">
      <alignment horizontal="right"/>
    </xf>
    <xf numFmtId="0" fontId="0" fillId="10" borderId="22" xfId="0" applyFill="1" applyBorder="1"/>
    <xf numFmtId="0" fontId="39" fillId="47" borderId="30" xfId="0" applyFont="1" applyFill="1" applyBorder="1" applyAlignment="1">
      <alignment horizontal="center"/>
    </xf>
    <xf numFmtId="0" fontId="20" fillId="47" borderId="30" xfId="0" applyFont="1" applyFill="1" applyBorder="1" applyAlignment="1">
      <alignment horizontal="center" vertical="center" wrapText="1"/>
    </xf>
    <xf numFmtId="165" fontId="45" fillId="47" borderId="1" xfId="7" applyNumberFormat="1" applyFont="1" applyFill="1" applyBorder="1"/>
    <xf numFmtId="0" fontId="34" fillId="47" borderId="1" xfId="0" applyFont="1" applyFill="1" applyBorder="1"/>
    <xf numFmtId="165" fontId="4" fillId="0" borderId="1" xfId="7" applyNumberFormat="1" applyFont="1" applyFill="1" applyBorder="1"/>
    <xf numFmtId="0" fontId="0" fillId="0" borderId="1" xfId="0" pivotButton="1" applyFont="1" applyBorder="1" applyAlignment="1">
      <alignment wrapText="1"/>
    </xf>
    <xf numFmtId="0" fontId="0" fillId="0" borderId="1" xfId="0" applyFont="1" applyBorder="1" applyAlignment="1">
      <alignment wrapText="1"/>
    </xf>
    <xf numFmtId="3" fontId="0" fillId="0" borderId="1" xfId="0" applyNumberFormat="1" applyFont="1" applyBorder="1"/>
    <xf numFmtId="0" fontId="0" fillId="0" borderId="1" xfId="0" applyNumberFormat="1" applyFont="1" applyBorder="1"/>
    <xf numFmtId="0" fontId="0" fillId="0" borderId="1" xfId="0" pivotButton="1" applyFont="1" applyBorder="1"/>
    <xf numFmtId="49" fontId="0" fillId="0" borderId="0" xfId="0" applyNumberFormat="1" applyFont="1" applyFill="1" applyBorder="1"/>
    <xf numFmtId="1" fontId="0" fillId="0" borderId="0" xfId="0" applyNumberFormat="1" applyFont="1" applyFill="1" applyBorder="1"/>
    <xf numFmtId="0" fontId="0" fillId="0" borderId="0" xfId="0" applyNumberFormat="1" applyFont="1" applyFill="1" applyBorder="1"/>
    <xf numFmtId="1" fontId="0" fillId="0" borderId="0" xfId="0" applyNumberFormat="1" applyFont="1" applyFill="1" applyBorder="1" applyAlignment="1">
      <alignment horizontal="right"/>
    </xf>
    <xf numFmtId="0" fontId="0" fillId="0" borderId="0" xfId="0" applyNumberFormat="1" applyFont="1" applyFill="1" applyBorder="1" applyAlignment="1">
      <alignment horizontal="right"/>
    </xf>
    <xf numFmtId="3" fontId="71" fillId="10" borderId="2" xfId="0" applyNumberFormat="1" applyFont="1" applyFill="1" applyBorder="1" applyAlignment="1">
      <alignment horizontal="center"/>
    </xf>
    <xf numFmtId="0" fontId="87" fillId="0" borderId="0" xfId="0" applyFont="1"/>
    <xf numFmtId="0" fontId="13" fillId="0" borderId="30" xfId="0" applyFont="1" applyFill="1" applyBorder="1" applyAlignment="1">
      <alignment horizontal="right"/>
    </xf>
    <xf numFmtId="9" fontId="48" fillId="10" borderId="0" xfId="8" applyFont="1" applyFill="1" applyBorder="1" applyAlignment="1">
      <alignment horizontal="right"/>
    </xf>
    <xf numFmtId="0" fontId="4" fillId="47" borderId="4" xfId="0" applyFont="1" applyFill="1" applyBorder="1" applyAlignment="1">
      <alignment horizontal="center" vertical="center" wrapText="1"/>
    </xf>
    <xf numFmtId="9" fontId="4" fillId="10" borderId="0" xfId="8" applyFont="1" applyFill="1" applyBorder="1" applyAlignment="1">
      <alignment horizontal="right"/>
    </xf>
    <xf numFmtId="0" fontId="73" fillId="51" borderId="1" xfId="0" applyFont="1" applyFill="1" applyBorder="1" applyAlignment="1">
      <alignment vertical="center"/>
    </xf>
    <xf numFmtId="0" fontId="0" fillId="0" borderId="0" xfId="0" applyFill="1" applyBorder="1" applyAlignment="1">
      <alignment vertical="center"/>
    </xf>
    <xf numFmtId="0" fontId="0" fillId="0" borderId="0" xfId="0" applyAlignment="1">
      <alignment vertical="center"/>
    </xf>
    <xf numFmtId="165" fontId="0" fillId="37" borderId="0" xfId="0" applyNumberFormat="1" applyFill="1" applyBorder="1"/>
    <xf numFmtId="165" fontId="0" fillId="37" borderId="7" xfId="0" applyNumberFormat="1" applyFill="1" applyBorder="1" applyAlignment="1">
      <alignment horizontal="right"/>
    </xf>
    <xf numFmtId="1" fontId="4" fillId="0" borderId="1" xfId="0" applyNumberFormat="1" applyFont="1" applyBorder="1"/>
    <xf numFmtId="1" fontId="0" fillId="0" borderId="8" xfId="0" applyNumberFormat="1" applyBorder="1" applyAlignment="1">
      <alignment horizontal="right"/>
    </xf>
    <xf numFmtId="1" fontId="13" fillId="0" borderId="0" xfId="0" applyNumberFormat="1" applyFont="1"/>
    <xf numFmtId="1" fontId="0" fillId="0" borderId="3" xfId="0" applyNumberFormat="1" applyBorder="1" applyAlignment="1">
      <alignment horizontal="right"/>
    </xf>
    <xf numFmtId="165" fontId="60" fillId="0" borderId="1" xfId="7" applyNumberFormat="1" applyFont="1" applyFill="1" applyBorder="1"/>
    <xf numFmtId="0" fontId="0" fillId="0" borderId="1" xfId="0" quotePrefix="1" applyFill="1" applyBorder="1" applyAlignment="1">
      <alignment horizontal="center" wrapText="1"/>
    </xf>
    <xf numFmtId="0" fontId="0" fillId="0" borderId="5" xfId="0" quotePrefix="1" applyFill="1" applyBorder="1" applyAlignment="1">
      <alignment horizontal="center" textRotation="90" wrapText="1"/>
    </xf>
    <xf numFmtId="0" fontId="0" fillId="51" borderId="1" xfId="0" applyFill="1" applyBorder="1"/>
    <xf numFmtId="0" fontId="0" fillId="51" borderId="0" xfId="0" applyFill="1" applyAlignment="1">
      <alignment horizontal="left"/>
    </xf>
    <xf numFmtId="0" fontId="88" fillId="0" borderId="1" xfId="0" applyFont="1" applyFill="1" applyBorder="1" applyAlignment="1"/>
    <xf numFmtId="0" fontId="0" fillId="0" borderId="17" xfId="0" applyNumberFormat="1" applyFont="1" applyFill="1" applyBorder="1" applyAlignment="1"/>
    <xf numFmtId="0" fontId="0" fillId="0" borderId="16" xfId="0" applyNumberFormat="1" applyFont="1" applyFill="1" applyBorder="1" applyAlignment="1"/>
    <xf numFmtId="0" fontId="0" fillId="0" borderId="24" xfId="0" applyNumberFormat="1" applyFont="1" applyFill="1" applyBorder="1" applyAlignment="1"/>
    <xf numFmtId="0" fontId="0" fillId="0" borderId="30" xfId="0" applyNumberFormat="1" applyFont="1" applyFill="1" applyBorder="1" applyAlignment="1"/>
    <xf numFmtId="0" fontId="0" fillId="0" borderId="22" xfId="0" applyNumberFormat="1" applyFont="1" applyFill="1" applyBorder="1" applyAlignment="1"/>
    <xf numFmtId="0" fontId="0" fillId="0" borderId="15" xfId="0" applyNumberFormat="1" applyFont="1" applyFill="1" applyBorder="1" applyAlignment="1"/>
    <xf numFmtId="0" fontId="0" fillId="10" borderId="1" xfId="0" applyNumberFormat="1" applyFont="1" applyFill="1" applyBorder="1" applyAlignment="1"/>
    <xf numFmtId="0" fontId="73" fillId="54" borderId="1" xfId="0" applyNumberFormat="1" applyFont="1" applyFill="1" applyBorder="1"/>
    <xf numFmtId="0" fontId="13" fillId="54" borderId="0" xfId="0" applyNumberFormat="1" applyFont="1" applyFill="1" applyBorder="1" applyAlignment="1" applyProtection="1"/>
    <xf numFmtId="0" fontId="13" fillId="54" borderId="1" xfId="0" applyFont="1" applyFill="1" applyBorder="1" applyAlignment="1">
      <alignment horizontal="left"/>
    </xf>
    <xf numFmtId="0" fontId="13" fillId="53" borderId="1" xfId="0" applyNumberFormat="1" applyFont="1" applyFill="1" applyBorder="1"/>
    <xf numFmtId="0" fontId="13" fillId="53" borderId="1" xfId="0" applyFont="1" applyFill="1" applyBorder="1" applyAlignment="1">
      <alignment horizontal="left"/>
    </xf>
    <xf numFmtId="0" fontId="73" fillId="54" borderId="1" xfId="0" applyNumberFormat="1" applyFont="1" applyFill="1" applyBorder="1" applyAlignment="1" applyProtection="1">
      <alignment vertical="center"/>
    </xf>
    <xf numFmtId="0" fontId="0" fillId="0" borderId="0" xfId="0" applyFont="1" applyFill="1" applyBorder="1" applyAlignment="1">
      <alignment horizontal="left"/>
    </xf>
    <xf numFmtId="0" fontId="73" fillId="0" borderId="0" xfId="0" applyNumberFormat="1" applyFont="1" applyFill="1" applyBorder="1"/>
    <xf numFmtId="0" fontId="73" fillId="0" borderId="4" xfId="0" applyNumberFormat="1" applyFont="1" applyFill="1" applyBorder="1"/>
    <xf numFmtId="166" fontId="42" fillId="11" borderId="4" xfId="6" applyNumberFormat="1" applyFont="1" applyFill="1" applyBorder="1" applyAlignment="1">
      <alignment horizontal="left" vertical="center"/>
    </xf>
    <xf numFmtId="166" fontId="42" fillId="11" borderId="0" xfId="6" applyNumberFormat="1" applyFont="1" applyFill="1" applyBorder="1" applyAlignment="1">
      <alignment horizontal="left" vertical="center"/>
    </xf>
    <xf numFmtId="0" fontId="11" fillId="11" borderId="0" xfId="6" applyFont="1" applyFill="1" applyBorder="1" applyAlignment="1">
      <alignment horizontal="center" vertical="center"/>
    </xf>
    <xf numFmtId="0" fontId="11" fillId="11" borderId="24" xfId="6" applyFont="1" applyFill="1" applyBorder="1" applyAlignment="1">
      <alignment horizontal="center" vertical="center"/>
    </xf>
    <xf numFmtId="0" fontId="48" fillId="47" borderId="0" xfId="0" applyFont="1" applyFill="1" applyBorder="1" applyAlignment="1">
      <alignment horizontal="center" vertical="center" wrapText="1"/>
    </xf>
    <xf numFmtId="0" fontId="48" fillId="47" borderId="9" xfId="0" applyFont="1" applyFill="1" applyBorder="1" applyAlignment="1">
      <alignment horizontal="center" vertical="center" wrapText="1"/>
    </xf>
    <xf numFmtId="0" fontId="4" fillId="47" borderId="30" xfId="0" applyFont="1" applyFill="1" applyBorder="1" applyAlignment="1">
      <alignment horizontal="center" vertical="center" wrapText="1"/>
    </xf>
    <xf numFmtId="0" fontId="4" fillId="47" borderId="9" xfId="0" applyFont="1" applyFill="1" applyBorder="1" applyAlignment="1">
      <alignment horizontal="center" vertical="center" wrapText="1"/>
    </xf>
    <xf numFmtId="0" fontId="48" fillId="10" borderId="0" xfId="0" applyFont="1" applyFill="1" applyBorder="1"/>
    <xf numFmtId="165" fontId="4" fillId="10" borderId="9" xfId="7" quotePrefix="1" applyNumberFormat="1" applyFont="1" applyFill="1" applyBorder="1"/>
    <xf numFmtId="165" fontId="54" fillId="10" borderId="9" xfId="7" applyNumberFormat="1" applyFont="1" applyFill="1" applyBorder="1"/>
    <xf numFmtId="3" fontId="4" fillId="10" borderId="30" xfId="7" applyNumberFormat="1" applyFont="1" applyFill="1" applyBorder="1"/>
    <xf numFmtId="165" fontId="4" fillId="10" borderId="4" xfId="7" applyNumberFormat="1" applyFont="1" applyFill="1" applyBorder="1"/>
    <xf numFmtId="165" fontId="48" fillId="10" borderId="9" xfId="7" applyNumberFormat="1" applyFont="1" applyFill="1" applyBorder="1"/>
    <xf numFmtId="3" fontId="48" fillId="10" borderId="30" xfId="7" applyNumberFormat="1" applyFont="1" applyFill="1" applyBorder="1"/>
    <xf numFmtId="165" fontId="48" fillId="10" borderId="4" xfId="7" applyNumberFormat="1" applyFont="1" applyFill="1" applyBorder="1"/>
    <xf numFmtId="0" fontId="4" fillId="47" borderId="17" xfId="0" applyFont="1" applyFill="1" applyBorder="1"/>
    <xf numFmtId="0" fontId="0" fillId="0" borderId="10" xfId="0" applyFill="1" applyBorder="1"/>
    <xf numFmtId="0" fontId="0" fillId="0" borderId="11" xfId="0" applyFill="1" applyBorder="1"/>
    <xf numFmtId="0" fontId="0" fillId="0" borderId="12" xfId="0" applyFill="1" applyBorder="1"/>
    <xf numFmtId="0" fontId="0" fillId="24" borderId="1" xfId="0" applyNumberFormat="1" applyFill="1" applyBorder="1" applyAlignment="1">
      <alignment horizontal="right" vertical="top" wrapText="1"/>
    </xf>
    <xf numFmtId="0" fontId="89" fillId="0" borderId="1" xfId="0" applyFont="1" applyFill="1" applyBorder="1" applyAlignment="1"/>
    <xf numFmtId="0" fontId="0" fillId="51" borderId="22" xfId="0" applyFill="1" applyBorder="1" applyAlignment="1">
      <alignment horizontal="left"/>
    </xf>
    <xf numFmtId="0" fontId="0" fillId="0" borderId="0" xfId="0" quotePrefix="1" applyFill="1" applyBorder="1" applyAlignment="1">
      <alignment vertical="center"/>
    </xf>
    <xf numFmtId="166" fontId="42" fillId="46" borderId="0" xfId="6" applyNumberFormat="1" applyFont="1" applyFill="1" applyBorder="1" applyAlignment="1">
      <alignment horizontal="left" vertical="center"/>
    </xf>
    <xf numFmtId="0" fontId="41" fillId="46" borderId="0" xfId="6" applyFont="1" applyFill="1" applyBorder="1" applyAlignment="1">
      <alignment vertical="center"/>
    </xf>
    <xf numFmtId="0" fontId="16" fillId="54" borderId="1" xfId="0" applyNumberFormat="1" applyFont="1" applyFill="1" applyBorder="1"/>
    <xf numFmtId="165" fontId="86" fillId="0" borderId="20" xfId="10" applyNumberFormat="1" applyFont="1" applyBorder="1"/>
    <xf numFmtId="1" fontId="86" fillId="23" borderId="20" xfId="8" applyNumberFormat="1" applyFont="1" applyFill="1" applyBorder="1"/>
    <xf numFmtId="0" fontId="0" fillId="0" borderId="5" xfId="0" applyFont="1" applyBorder="1" applyAlignment="1">
      <alignment horizontal="right"/>
    </xf>
    <xf numFmtId="0" fontId="1" fillId="0" borderId="1" xfId="5" quotePrefix="1" applyFont="1" applyBorder="1" applyAlignment="1">
      <alignment horizontal="center" vertical="center"/>
    </xf>
    <xf numFmtId="0" fontId="29" fillId="0" borderId="62" xfId="0" applyFont="1" applyFill="1" applyBorder="1" applyAlignment="1">
      <alignment horizontal="left"/>
    </xf>
    <xf numFmtId="165" fontId="29" fillId="0" borderId="20" xfId="10" applyNumberFormat="1" applyFont="1" applyFill="1" applyBorder="1" applyAlignment="1">
      <alignment horizontal="left"/>
    </xf>
    <xf numFmtId="9" fontId="86" fillId="17" borderId="20" xfId="8" applyFont="1" applyFill="1" applyBorder="1"/>
    <xf numFmtId="9" fontId="85" fillId="17" borderId="63" xfId="8" applyFont="1" applyFill="1" applyBorder="1" applyAlignment="1">
      <alignment horizontal="right" vertical="center" wrapText="1"/>
    </xf>
    <xf numFmtId="165" fontId="86" fillId="0" borderId="20" xfId="10" applyNumberFormat="1" applyFont="1" applyFill="1" applyBorder="1"/>
    <xf numFmtId="9" fontId="86" fillId="29" borderId="20" xfId="8" applyFont="1" applyFill="1" applyBorder="1"/>
    <xf numFmtId="9" fontId="3" fillId="29" borderId="64" xfId="8" applyFont="1" applyFill="1" applyBorder="1"/>
    <xf numFmtId="15" fontId="0" fillId="0" borderId="1" xfId="0" applyNumberFormat="1" applyFill="1" applyBorder="1" applyAlignment="1"/>
    <xf numFmtId="0" fontId="0" fillId="55" borderId="1" xfId="0" applyFill="1" applyBorder="1"/>
    <xf numFmtId="0" fontId="16" fillId="56" borderId="1" xfId="0" applyFont="1" applyFill="1" applyBorder="1" applyAlignment="1">
      <alignment vertical="center"/>
    </xf>
    <xf numFmtId="0" fontId="16" fillId="57" borderId="1" xfId="0" applyFont="1" applyFill="1" applyBorder="1"/>
    <xf numFmtId="0" fontId="81" fillId="0" borderId="8" xfId="0" applyFont="1" applyFill="1" applyBorder="1" applyAlignment="1">
      <alignment horizontal="center"/>
    </xf>
    <xf numFmtId="0" fontId="4" fillId="0" borderId="1" xfId="0" applyFont="1" applyBorder="1" applyAlignment="1">
      <alignment horizontal="center" vertical="center"/>
    </xf>
    <xf numFmtId="0" fontId="4" fillId="0" borderId="1" xfId="0" applyFont="1" applyBorder="1" applyAlignment="1">
      <alignment vertical="center"/>
    </xf>
    <xf numFmtId="0" fontId="4" fillId="0" borderId="1" xfId="0" applyFont="1" applyBorder="1" applyAlignment="1">
      <alignment horizontal="left" vertical="center"/>
    </xf>
    <xf numFmtId="15" fontId="0" fillId="0" borderId="1" xfId="0" applyNumberFormat="1" applyFill="1" applyBorder="1" applyAlignment="1"/>
    <xf numFmtId="0" fontId="0" fillId="16" borderId="1" xfId="0" quotePrefix="1" applyFill="1" applyBorder="1" applyAlignment="1">
      <alignment horizontal="center" vertical="center" wrapText="1"/>
    </xf>
    <xf numFmtId="0" fontId="3" fillId="3" borderId="1" xfId="0" applyFont="1" applyFill="1" applyBorder="1" applyAlignment="1">
      <alignment vertical="center"/>
    </xf>
    <xf numFmtId="1" fontId="0" fillId="3" borderId="1" xfId="0" applyNumberFormat="1" applyFill="1" applyBorder="1" applyAlignment="1">
      <alignment vertical="center"/>
    </xf>
    <xf numFmtId="0" fontId="0" fillId="3" borderId="1" xfId="0" applyFill="1" applyBorder="1" applyAlignment="1">
      <alignment vertical="center"/>
    </xf>
    <xf numFmtId="1" fontId="13" fillId="0" borderId="0" xfId="8" applyNumberFormat="1" applyFont="1" applyFill="1" applyBorder="1" applyAlignment="1">
      <alignment vertical="center" wrapText="1"/>
    </xf>
    <xf numFmtId="0" fontId="0" fillId="24" borderId="1" xfId="0" applyNumberFormat="1" applyFill="1" applyBorder="1" applyAlignment="1">
      <alignment vertical="top" wrapText="1"/>
    </xf>
    <xf numFmtId="170" fontId="14" fillId="0" borderId="0" xfId="0" applyNumberFormat="1" applyFont="1" applyFill="1" applyBorder="1" applyAlignment="1">
      <alignment vertical="center" wrapText="1"/>
    </xf>
    <xf numFmtId="170" fontId="54" fillId="0" borderId="0" xfId="0" applyNumberFormat="1" applyFont="1" applyFill="1" applyBorder="1"/>
    <xf numFmtId="0" fontId="14" fillId="58" borderId="8" xfId="0" applyFont="1" applyFill="1" applyBorder="1" applyAlignment="1">
      <alignment horizontal="center" vertical="center"/>
    </xf>
    <xf numFmtId="0" fontId="14" fillId="58" borderId="8" xfId="0" applyFont="1" applyFill="1" applyBorder="1" applyAlignment="1">
      <alignment vertical="center" wrapText="1"/>
    </xf>
    <xf numFmtId="0" fontId="14" fillId="5" borderId="1" xfId="0" applyNumberFormat="1" applyFont="1" applyFill="1" applyBorder="1" applyAlignment="1">
      <alignment vertical="center" wrapText="1"/>
    </xf>
    <xf numFmtId="0" fontId="14" fillId="5" borderId="5" xfId="0" applyNumberFormat="1" applyFont="1" applyFill="1" applyBorder="1" applyAlignment="1">
      <alignment vertical="center" wrapText="1"/>
    </xf>
    <xf numFmtId="1" fontId="14" fillId="5" borderId="1" xfId="0" applyNumberFormat="1" applyFont="1" applyFill="1" applyBorder="1" applyAlignment="1">
      <alignment vertical="center" wrapText="1"/>
    </xf>
    <xf numFmtId="0" fontId="0" fillId="59" borderId="1" xfId="0" applyFill="1" applyBorder="1"/>
    <xf numFmtId="0" fontId="0" fillId="0" borderId="0" xfId="0" applyBorder="1" applyAlignment="1">
      <alignment horizontal="center" vertical="center"/>
    </xf>
    <xf numFmtId="0" fontId="0" fillId="0" borderId="0" xfId="0" applyBorder="1" applyAlignment="1">
      <alignment vertical="center"/>
    </xf>
    <xf numFmtId="37" fontId="14" fillId="16" borderId="0" xfId="1" applyNumberFormat="1" applyFont="1" applyFill="1" applyBorder="1" applyAlignment="1">
      <alignment horizontal="center" vertical="center"/>
    </xf>
    <xf numFmtId="3" fontId="14" fillId="16" borderId="0" xfId="1" applyNumberFormat="1" applyFont="1" applyFill="1" applyBorder="1" applyAlignment="1">
      <alignment horizontal="center" vertical="center"/>
    </xf>
    <xf numFmtId="165" fontId="3" fillId="16" borderId="0" xfId="7" applyNumberFormat="1" applyFont="1" applyFill="1"/>
    <xf numFmtId="9" fontId="3" fillId="16" borderId="0" xfId="8" applyFont="1" applyFill="1"/>
    <xf numFmtId="0" fontId="48" fillId="16" borderId="16" xfId="0" applyFont="1" applyFill="1" applyBorder="1" applyAlignment="1">
      <alignment horizontal="center" vertical="center"/>
    </xf>
    <xf numFmtId="0" fontId="48" fillId="16" borderId="16" xfId="0" applyFont="1" applyFill="1" applyBorder="1" applyAlignment="1">
      <alignment vertical="center"/>
    </xf>
    <xf numFmtId="3" fontId="48" fillId="16" borderId="16" xfId="0" applyNumberFormat="1" applyFont="1" applyFill="1" applyBorder="1" applyAlignment="1">
      <alignment horizontal="center" vertical="center"/>
    </xf>
    <xf numFmtId="0" fontId="0" fillId="16" borderId="16" xfId="0" applyFill="1" applyBorder="1" applyAlignment="1">
      <alignment horizontal="center" vertical="center"/>
    </xf>
    <xf numFmtId="0" fontId="0" fillId="16" borderId="16" xfId="0" applyFill="1" applyBorder="1" applyAlignment="1">
      <alignment vertical="center"/>
    </xf>
    <xf numFmtId="0" fontId="3" fillId="16" borderId="0" xfId="0" applyFont="1" applyFill="1"/>
    <xf numFmtId="9" fontId="0" fillId="16" borderId="0" xfId="8" applyFont="1" applyFill="1"/>
    <xf numFmtId="0" fontId="39" fillId="16" borderId="17" xfId="0" applyFont="1" applyFill="1" applyBorder="1" applyAlignment="1">
      <alignment horizontal="center" vertical="center" wrapText="1"/>
    </xf>
    <xf numFmtId="0" fontId="39" fillId="16" borderId="24" xfId="0" applyFont="1" applyFill="1" applyBorder="1" applyAlignment="1">
      <alignment horizontal="center" vertical="center" wrapText="1"/>
    </xf>
    <xf numFmtId="37" fontId="18" fillId="16" borderId="1" xfId="0" applyNumberFormat="1" applyFont="1" applyFill="1" applyBorder="1" applyAlignment="1">
      <alignment horizontal="center" vertical="center"/>
    </xf>
    <xf numFmtId="37" fontId="3" fillId="16" borderId="0" xfId="0" applyNumberFormat="1" applyFont="1" applyFill="1"/>
    <xf numFmtId="165" fontId="3" fillId="16" borderId="0" xfId="0" applyNumberFormat="1" applyFont="1" applyFill="1"/>
    <xf numFmtId="15" fontId="0" fillId="0" borderId="3" xfId="0" applyNumberFormat="1" applyBorder="1" applyAlignment="1">
      <alignment horizontal="right"/>
    </xf>
    <xf numFmtId="0" fontId="0" fillId="0" borderId="8" xfId="0" applyBorder="1" applyAlignment="1">
      <alignment horizontal="left"/>
    </xf>
    <xf numFmtId="0" fontId="0" fillId="0" borderId="1" xfId="0" applyBorder="1" applyAlignment="1">
      <alignment horizontal="left"/>
    </xf>
    <xf numFmtId="0" fontId="0" fillId="0" borderId="9" xfId="0" applyBorder="1" applyAlignment="1">
      <alignment horizontal="left"/>
    </xf>
    <xf numFmtId="0" fontId="0" fillId="0" borderId="8" xfId="0" applyBorder="1" applyAlignment="1">
      <alignment horizontal="left"/>
    </xf>
    <xf numFmtId="0" fontId="0" fillId="0" borderId="1" xfId="0" applyBorder="1" applyAlignment="1">
      <alignment horizontal="left"/>
    </xf>
    <xf numFmtId="0" fontId="0" fillId="0" borderId="0" xfId="0" applyBorder="1" applyAlignment="1">
      <alignment horizontal="center" vertical="center" wrapText="1"/>
    </xf>
    <xf numFmtId="170" fontId="54" fillId="44" borderId="2" xfId="0" applyNumberFormat="1" applyFont="1" applyFill="1" applyBorder="1" applyAlignment="1">
      <alignment wrapText="1"/>
    </xf>
    <xf numFmtId="167" fontId="2" fillId="0" borderId="0" xfId="1" applyNumberFormat="1" applyFont="1" applyFill="1" applyBorder="1" applyAlignment="1"/>
    <xf numFmtId="1" fontId="0" fillId="0" borderId="0" xfId="8" applyNumberFormat="1" applyFont="1" applyFill="1" applyBorder="1" applyAlignment="1">
      <alignment vertical="top"/>
    </xf>
    <xf numFmtId="0" fontId="0" fillId="0" borderId="1" xfId="0" applyFont="1" applyFill="1" applyBorder="1" applyAlignment="1">
      <alignment vertical="center"/>
    </xf>
    <xf numFmtId="1" fontId="3" fillId="0" borderId="1" xfId="0" applyNumberFormat="1" applyFont="1" applyFill="1" applyBorder="1" applyAlignment="1">
      <alignment vertical="center"/>
    </xf>
    <xf numFmtId="1" fontId="0" fillId="0" borderId="5" xfId="0" applyNumberFormat="1" applyFill="1" applyBorder="1" applyAlignment="1">
      <alignment vertical="center"/>
    </xf>
    <xf numFmtId="15" fontId="0" fillId="0" borderId="1" xfId="0" applyNumberFormat="1" applyFill="1" applyBorder="1" applyAlignment="1">
      <alignment vertical="center"/>
    </xf>
    <xf numFmtId="0" fontId="0" fillId="0" borderId="1" xfId="0" applyFill="1" applyBorder="1" applyAlignment="1">
      <alignment vertical="center"/>
    </xf>
    <xf numFmtId="0" fontId="0" fillId="0" borderId="1" xfId="0" quotePrefix="1" applyFill="1" applyBorder="1" applyAlignment="1">
      <alignment horizontal="center" vertical="center" wrapText="1"/>
    </xf>
    <xf numFmtId="165" fontId="0" fillId="0" borderId="42" xfId="0" applyNumberFormat="1" applyBorder="1"/>
    <xf numFmtId="0" fontId="0" fillId="37" borderId="51" xfId="0" applyNumberFormat="1" applyFill="1" applyBorder="1" applyAlignment="1">
      <alignment horizontal="center"/>
    </xf>
    <xf numFmtId="0" fontId="0" fillId="37" borderId="14" xfId="0" applyNumberFormat="1" applyFill="1" applyBorder="1" applyAlignment="1">
      <alignment horizontal="center"/>
    </xf>
    <xf numFmtId="165" fontId="0" fillId="0" borderId="43" xfId="0" applyNumberFormat="1" applyBorder="1" applyAlignment="1">
      <alignment horizontal="center"/>
    </xf>
    <xf numFmtId="3" fontId="0" fillId="0" borderId="10" xfId="0" applyNumberFormat="1" applyBorder="1" applyAlignment="1">
      <alignment horizontal="right" vertical="center"/>
    </xf>
    <xf numFmtId="165" fontId="0" fillId="0" borderId="11" xfId="0" applyNumberFormat="1" applyBorder="1"/>
    <xf numFmtId="3" fontId="0" fillId="0" borderId="13" xfId="0" applyNumberFormat="1" applyBorder="1" applyAlignment="1">
      <alignment horizontal="right" vertical="center"/>
    </xf>
    <xf numFmtId="3" fontId="0" fillId="37" borderId="13" xfId="0" applyNumberFormat="1" applyFill="1" applyBorder="1" applyAlignment="1">
      <alignment horizontal="right" vertical="center"/>
    </xf>
    <xf numFmtId="3" fontId="0" fillId="37" borderId="50" xfId="0" applyNumberFormat="1" applyFill="1" applyBorder="1" applyAlignment="1">
      <alignment horizontal="right" vertical="center"/>
    </xf>
    <xf numFmtId="165" fontId="0" fillId="0" borderId="41" xfId="0" applyNumberFormat="1" applyBorder="1" applyAlignment="1">
      <alignment horizontal="right" vertical="center"/>
    </xf>
    <xf numFmtId="0" fontId="0" fillId="0" borderId="26" xfId="0" applyBorder="1" applyAlignment="1">
      <alignment horizontal="right" vertical="center"/>
    </xf>
    <xf numFmtId="165" fontId="0" fillId="0" borderId="27" xfId="0" applyNumberFormat="1" applyBorder="1" applyAlignment="1">
      <alignment horizontal="center"/>
    </xf>
    <xf numFmtId="0" fontId="0" fillId="0" borderId="12" xfId="0" applyNumberFormat="1" applyBorder="1" applyAlignment="1">
      <alignment horizontal="center"/>
    </xf>
    <xf numFmtId="0" fontId="0" fillId="0" borderId="25" xfId="0" pivotButton="1" applyBorder="1" applyAlignment="1">
      <alignment horizontal="center"/>
    </xf>
    <xf numFmtId="0" fontId="0" fillId="0" borderId="25" xfId="0" pivotButton="1" applyBorder="1" applyAlignment="1"/>
    <xf numFmtId="0" fontId="0" fillId="0" borderId="25" xfId="0" pivotButton="1" applyBorder="1" applyAlignment="1">
      <alignment horizontal="left"/>
    </xf>
    <xf numFmtId="0" fontId="0" fillId="0" borderId="29" xfId="0" applyBorder="1" applyAlignment="1">
      <alignment horizontal="center" vertical="center" wrapText="1"/>
    </xf>
    <xf numFmtId="0" fontId="0" fillId="0" borderId="32" xfId="0" applyBorder="1" applyAlignment="1">
      <alignment horizontal="center" vertical="center" wrapText="1"/>
    </xf>
    <xf numFmtId="166" fontId="45" fillId="11" borderId="0" xfId="6" applyNumberFormat="1" applyFont="1" applyFill="1" applyBorder="1" applyAlignment="1">
      <alignment horizontal="left" vertical="center"/>
    </xf>
    <xf numFmtId="0" fontId="16" fillId="39" borderId="29" xfId="0" applyFont="1" applyFill="1" applyBorder="1" applyAlignment="1">
      <alignment horizontal="left" vertical="center"/>
    </xf>
    <xf numFmtId="0" fontId="16" fillId="39" borderId="44" xfId="0" applyFont="1" applyFill="1" applyBorder="1" applyAlignment="1">
      <alignment horizontal="left" vertical="center"/>
    </xf>
    <xf numFmtId="0" fontId="0" fillId="0" borderId="29" xfId="0" applyBorder="1" applyAlignment="1">
      <alignment horizontal="left" vertical="center" wrapText="1"/>
    </xf>
    <xf numFmtId="0" fontId="0" fillId="0" borderId="44" xfId="0" applyBorder="1" applyAlignment="1">
      <alignment horizontal="left" vertical="center" wrapText="1"/>
    </xf>
    <xf numFmtId="166" fontId="0" fillId="37" borderId="22" xfId="6" applyNumberFormat="1" applyFont="1" applyFill="1" applyBorder="1" applyAlignment="1">
      <alignment horizontal="left" vertical="center"/>
    </xf>
    <xf numFmtId="166" fontId="42" fillId="37" borderId="35" xfId="6" applyNumberFormat="1" applyFont="1" applyFill="1" applyBorder="1" applyAlignment="1">
      <alignment horizontal="left" vertical="center"/>
    </xf>
    <xf numFmtId="0" fontId="40" fillId="11" borderId="4" xfId="6" applyFont="1" applyFill="1" applyBorder="1" applyAlignment="1">
      <alignment horizontal="left" vertical="center"/>
    </xf>
    <xf numFmtId="0" fontId="40" fillId="11" borderId="0" xfId="6" applyFont="1" applyFill="1" applyBorder="1" applyAlignment="1">
      <alignment horizontal="left" vertical="center"/>
    </xf>
    <xf numFmtId="166" fontId="42" fillId="11" borderId="22" xfId="6" applyNumberFormat="1" applyFont="1" applyFill="1" applyBorder="1" applyAlignment="1">
      <alignment horizontal="left" vertical="center"/>
    </xf>
    <xf numFmtId="166" fontId="42" fillId="11" borderId="35" xfId="6" applyNumberFormat="1" applyFont="1" applyFill="1" applyBorder="1" applyAlignment="1">
      <alignment horizontal="left" vertical="center"/>
    </xf>
    <xf numFmtId="0" fontId="11" fillId="5" borderId="0" xfId="6" applyFont="1" applyFill="1" applyBorder="1" applyAlignment="1">
      <alignment horizontal="left" vertical="center"/>
    </xf>
    <xf numFmtId="0" fontId="0" fillId="0" borderId="13" xfId="0" applyBorder="1" applyAlignment="1">
      <alignment horizontal="center"/>
    </xf>
    <xf numFmtId="0" fontId="0" fillId="0" borderId="0" xfId="0" applyBorder="1" applyAlignment="1">
      <alignment horizontal="center"/>
    </xf>
    <xf numFmtId="0" fontId="0" fillId="0" borderId="14" xfId="0" applyBorder="1" applyAlignment="1">
      <alignment horizontal="center"/>
    </xf>
    <xf numFmtId="0" fontId="0" fillId="0" borderId="41" xfId="0" applyBorder="1" applyAlignment="1">
      <alignment horizontal="center"/>
    </xf>
    <xf numFmtId="0" fontId="0" fillId="0" borderId="42" xfId="0" applyBorder="1" applyAlignment="1">
      <alignment horizontal="center"/>
    </xf>
    <xf numFmtId="0" fontId="0" fillId="0" borderId="43" xfId="0" applyBorder="1" applyAlignment="1">
      <alignment horizontal="center"/>
    </xf>
    <xf numFmtId="0" fontId="0" fillId="13" borderId="5" xfId="0" applyFont="1" applyFill="1" applyBorder="1" applyAlignment="1">
      <alignment horizontal="center" vertical="top" wrapText="1"/>
    </xf>
    <xf numFmtId="0" fontId="0" fillId="13" borderId="8" xfId="0" applyFont="1" applyFill="1" applyBorder="1" applyAlignment="1">
      <alignment horizontal="center" vertical="top" wrapText="1"/>
    </xf>
    <xf numFmtId="0" fontId="37" fillId="13" borderId="2" xfId="0" applyFont="1" applyFill="1" applyBorder="1" applyAlignment="1">
      <alignment horizontal="center"/>
    </xf>
    <xf numFmtId="0" fontId="37" fillId="13" borderId="7" xfId="0" applyFont="1" applyFill="1" applyBorder="1" applyAlignment="1">
      <alignment horizontal="center"/>
    </xf>
    <xf numFmtId="0" fontId="37" fillId="13" borderId="3" xfId="0" applyFont="1" applyFill="1" applyBorder="1" applyAlignment="1">
      <alignment horizontal="center"/>
    </xf>
    <xf numFmtId="0" fontId="69" fillId="5" borderId="10" xfId="6" applyFont="1" applyFill="1" applyBorder="1" applyAlignment="1">
      <alignment horizontal="left" vertical="center"/>
    </xf>
    <xf numFmtId="0" fontId="69" fillId="5" borderId="11" xfId="6" applyFont="1" applyFill="1" applyBorder="1" applyAlignment="1">
      <alignment horizontal="left" vertical="center"/>
    </xf>
    <xf numFmtId="166" fontId="70" fillId="5" borderId="13" xfId="6" applyNumberFormat="1" applyFont="1" applyFill="1" applyBorder="1" applyAlignment="1">
      <alignment horizontal="left" vertical="center"/>
    </xf>
    <xf numFmtId="166" fontId="70" fillId="5" borderId="0" xfId="6" applyNumberFormat="1" applyFont="1" applyFill="1" applyBorder="1" applyAlignment="1">
      <alignment horizontal="left" vertical="center"/>
    </xf>
    <xf numFmtId="0" fontId="0" fillId="0" borderId="55" xfId="0" applyBorder="1" applyAlignment="1">
      <alignment horizontal="center" vertical="center" wrapText="1"/>
    </xf>
    <xf numFmtId="0" fontId="0" fillId="0" borderId="56" xfId="0" applyBorder="1" applyAlignment="1">
      <alignment horizontal="left"/>
    </xf>
    <xf numFmtId="0" fontId="0" fillId="0" borderId="57" xfId="0" applyBorder="1" applyAlignment="1">
      <alignment horizontal="left"/>
    </xf>
    <xf numFmtId="0" fontId="0" fillId="37" borderId="26" xfId="0" applyFill="1" applyBorder="1" applyAlignment="1">
      <alignment horizontal="center" vertical="center" wrapText="1"/>
    </xf>
    <xf numFmtId="0" fontId="0" fillId="37" borderId="27" xfId="0" applyFill="1" applyBorder="1" applyAlignment="1">
      <alignment horizontal="left"/>
    </xf>
    <xf numFmtId="0" fontId="0" fillId="37" borderId="28" xfId="0" applyFill="1" applyBorder="1" applyAlignment="1">
      <alignment horizontal="left"/>
    </xf>
    <xf numFmtId="0" fontId="0" fillId="37" borderId="27" xfId="0" applyFill="1" applyBorder="1" applyAlignment="1">
      <alignment horizontal="center"/>
    </xf>
    <xf numFmtId="0" fontId="0" fillId="37" borderId="28" xfId="0" applyFill="1" applyBorder="1" applyAlignment="1">
      <alignment horizontal="center"/>
    </xf>
    <xf numFmtId="0" fontId="0" fillId="0" borderId="26" xfId="0" applyBorder="1" applyAlignment="1">
      <alignment horizontal="center" vertical="center" wrapText="1"/>
    </xf>
    <xf numFmtId="0" fontId="0" fillId="0" borderId="27" xfId="0" applyBorder="1" applyAlignment="1">
      <alignment horizontal="left"/>
    </xf>
    <xf numFmtId="0" fontId="0" fillId="0" borderId="28" xfId="0" applyBorder="1" applyAlignment="1">
      <alignment horizontal="left"/>
    </xf>
    <xf numFmtId="0" fontId="17" fillId="38" borderId="10" xfId="0" applyFont="1" applyFill="1" applyBorder="1" applyAlignment="1">
      <alignment horizontal="left"/>
    </xf>
    <xf numFmtId="0" fontId="17" fillId="38" borderId="11" xfId="0" applyFont="1" applyFill="1" applyBorder="1" applyAlignment="1">
      <alignment horizontal="left"/>
    </xf>
    <xf numFmtId="168" fontId="18" fillId="10" borderId="16" xfId="0" applyNumberFormat="1" applyFont="1" applyFill="1" applyBorder="1" applyAlignment="1">
      <alignment horizontal="left"/>
    </xf>
    <xf numFmtId="166" fontId="42" fillId="11" borderId="45" xfId="6" applyNumberFormat="1" applyFont="1" applyFill="1" applyBorder="1" applyAlignment="1">
      <alignment horizontal="left" vertical="center"/>
    </xf>
    <xf numFmtId="165" fontId="0" fillId="0" borderId="26" xfId="0" applyNumberFormat="1" applyBorder="1" applyAlignment="1">
      <alignment horizontal="center" vertical="center" wrapText="1"/>
    </xf>
    <xf numFmtId="165" fontId="0" fillId="0" borderId="27" xfId="0" applyNumberFormat="1" applyBorder="1" applyAlignment="1">
      <alignment horizontal="left"/>
    </xf>
    <xf numFmtId="165" fontId="0" fillId="0" borderId="28" xfId="0" applyNumberFormat="1" applyBorder="1" applyAlignment="1">
      <alignment horizontal="left"/>
    </xf>
    <xf numFmtId="0" fontId="0" fillId="0" borderId="29" xfId="0" applyBorder="1" applyAlignment="1">
      <alignment horizontal="center" vertical="center" wrapText="1"/>
    </xf>
    <xf numFmtId="0" fontId="0" fillId="0" borderId="32" xfId="0" applyBorder="1" applyAlignment="1">
      <alignment horizontal="left"/>
    </xf>
    <xf numFmtId="0" fontId="0" fillId="0" borderId="32" xfId="0" applyBorder="1" applyAlignment="1">
      <alignment horizontal="center" vertical="center" wrapText="1"/>
    </xf>
    <xf numFmtId="0" fontId="0" fillId="0" borderId="44" xfId="0" applyBorder="1" applyAlignment="1">
      <alignment horizontal="left"/>
    </xf>
    <xf numFmtId="165" fontId="4" fillId="0" borderId="26" xfId="0" applyNumberFormat="1" applyFont="1" applyBorder="1" applyAlignment="1">
      <alignment horizontal="center" vertical="center" wrapText="1"/>
    </xf>
    <xf numFmtId="165" fontId="4" fillId="0" borderId="27" xfId="0" applyNumberFormat="1" applyFont="1" applyBorder="1" applyAlignment="1">
      <alignment horizontal="left"/>
    </xf>
    <xf numFmtId="165" fontId="4" fillId="0" borderId="28" xfId="0" applyNumberFormat="1" applyFont="1" applyBorder="1" applyAlignment="1">
      <alignment horizontal="left"/>
    </xf>
    <xf numFmtId="0" fontId="4" fillId="0" borderId="29" xfId="0" applyFont="1" applyBorder="1" applyAlignment="1">
      <alignment horizontal="center" vertical="center" wrapText="1"/>
    </xf>
    <xf numFmtId="0" fontId="4" fillId="0" borderId="44" xfId="0" applyFont="1" applyBorder="1" applyAlignment="1">
      <alignment horizontal="left"/>
    </xf>
    <xf numFmtId="0" fontId="4" fillId="37" borderId="26" xfId="0" applyFont="1" applyFill="1" applyBorder="1" applyAlignment="1">
      <alignment horizontal="center" vertical="center" wrapText="1"/>
    </xf>
    <xf numFmtId="0" fontId="4" fillId="37" borderId="27" xfId="0" applyFont="1" applyFill="1" applyBorder="1" applyAlignment="1">
      <alignment horizontal="center"/>
    </xf>
    <xf numFmtId="0" fontId="4" fillId="37" borderId="28" xfId="0" applyFont="1" applyFill="1" applyBorder="1" applyAlignment="1">
      <alignment horizontal="center"/>
    </xf>
    <xf numFmtId="0" fontId="4" fillId="0" borderId="32" xfId="0" applyFont="1" applyBorder="1" applyAlignment="1">
      <alignment horizontal="left"/>
    </xf>
    <xf numFmtId="0" fontId="4" fillId="37" borderId="27" xfId="0" applyFont="1" applyFill="1" applyBorder="1" applyAlignment="1">
      <alignment horizontal="left"/>
    </xf>
    <xf numFmtId="0" fontId="4" fillId="37" borderId="28" xfId="0" applyFont="1" applyFill="1" applyBorder="1" applyAlignment="1">
      <alignment horizontal="left"/>
    </xf>
    <xf numFmtId="0" fontId="40" fillId="11" borderId="17" xfId="6" applyFont="1" applyFill="1" applyBorder="1" applyAlignment="1">
      <alignment horizontal="left" vertical="center"/>
    </xf>
    <xf numFmtId="0" fontId="40" fillId="11" borderId="16" xfId="6" applyFont="1" applyFill="1" applyBorder="1" applyAlignment="1">
      <alignment horizontal="left" vertical="center"/>
    </xf>
    <xf numFmtId="0" fontId="3" fillId="4" borderId="17"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48" fillId="5" borderId="1" xfId="0" applyFont="1" applyFill="1" applyBorder="1" applyAlignment="1">
      <alignment horizontal="center" vertical="center" wrapText="1"/>
    </xf>
    <xf numFmtId="0" fontId="48" fillId="5" borderId="17" xfId="0" applyFont="1" applyFill="1" applyBorder="1" applyAlignment="1">
      <alignment horizontal="center" vertical="center" wrapText="1"/>
    </xf>
    <xf numFmtId="0" fontId="48" fillId="5" borderId="24" xfId="0" applyFont="1" applyFill="1" applyBorder="1" applyAlignment="1">
      <alignment horizontal="center" vertical="center" wrapText="1"/>
    </xf>
    <xf numFmtId="0" fontId="48" fillId="5" borderId="22" xfId="0" applyFont="1" applyFill="1" applyBorder="1" applyAlignment="1">
      <alignment horizontal="center" vertical="center" wrapText="1"/>
    </xf>
    <xf numFmtId="0" fontId="48" fillId="5" borderId="15" xfId="0" applyFont="1" applyFill="1" applyBorder="1" applyAlignment="1">
      <alignment horizontal="center" vertical="center" wrapText="1"/>
    </xf>
    <xf numFmtId="0" fontId="0" fillId="59" borderId="1" xfId="0" applyFill="1" applyBorder="1" applyAlignment="1">
      <alignment horizontal="center"/>
    </xf>
    <xf numFmtId="0" fontId="48" fillId="59" borderId="2" xfId="0" applyFont="1" applyFill="1" applyBorder="1" applyAlignment="1">
      <alignment horizontal="center"/>
    </xf>
    <xf numFmtId="0" fontId="48" fillId="59" borderId="7" xfId="0" applyFont="1" applyFill="1" applyBorder="1" applyAlignment="1">
      <alignment horizontal="center"/>
    </xf>
    <xf numFmtId="0" fontId="48" fillId="59" borderId="3" xfId="0" applyFont="1" applyFill="1" applyBorder="1" applyAlignment="1">
      <alignment horizontal="center"/>
    </xf>
    <xf numFmtId="0" fontId="40" fillId="11" borderId="22" xfId="6" applyFont="1" applyFill="1" applyBorder="1" applyAlignment="1">
      <alignment horizontal="left" vertical="center"/>
    </xf>
    <xf numFmtId="0" fontId="40" fillId="11" borderId="35" xfId="6" applyFont="1" applyFill="1" applyBorder="1" applyAlignment="1">
      <alignment horizontal="left" vertical="center"/>
    </xf>
    <xf numFmtId="166" fontId="42" fillId="11" borderId="2" xfId="6" applyNumberFormat="1" applyFont="1" applyFill="1" applyBorder="1" applyAlignment="1">
      <alignment horizontal="left" vertical="center"/>
    </xf>
    <xf numFmtId="166" fontId="42" fillId="11" borderId="7" xfId="6" applyNumberFormat="1" applyFont="1" applyFill="1" applyBorder="1" applyAlignment="1">
      <alignment horizontal="left" vertical="center"/>
    </xf>
    <xf numFmtId="166" fontId="42" fillId="11" borderId="3" xfId="6" applyNumberFormat="1" applyFont="1" applyFill="1" applyBorder="1" applyAlignment="1">
      <alignment horizontal="left" vertical="center"/>
    </xf>
    <xf numFmtId="166" fontId="42" fillId="11" borderId="15" xfId="6" applyNumberFormat="1" applyFont="1" applyFill="1" applyBorder="1" applyAlignment="1">
      <alignment horizontal="left" vertical="center"/>
    </xf>
    <xf numFmtId="166" fontId="42" fillId="11" borderId="4" xfId="6" applyNumberFormat="1" applyFont="1" applyFill="1" applyBorder="1" applyAlignment="1">
      <alignment horizontal="left" vertical="center"/>
    </xf>
    <xf numFmtId="166" fontId="42" fillId="11" borderId="0" xfId="6" applyNumberFormat="1" applyFont="1" applyFill="1" applyBorder="1" applyAlignment="1">
      <alignment horizontal="left" vertical="center"/>
    </xf>
    <xf numFmtId="0" fontId="48" fillId="47" borderId="5" xfId="0" applyFont="1" applyFill="1" applyBorder="1" applyAlignment="1">
      <alignment horizontal="center"/>
    </xf>
    <xf numFmtId="0" fontId="11" fillId="11" borderId="16" xfId="6" applyFont="1" applyFill="1" applyBorder="1" applyAlignment="1">
      <alignment horizontal="center" vertical="center"/>
    </xf>
    <xf numFmtId="0" fontId="11" fillId="11" borderId="0" xfId="6" applyFont="1" applyFill="1" applyBorder="1" applyAlignment="1">
      <alignment horizontal="center" vertical="center"/>
    </xf>
    <xf numFmtId="0" fontId="34" fillId="37" borderId="22" xfId="6" applyFont="1" applyFill="1" applyBorder="1" applyAlignment="1">
      <alignment horizontal="left" vertical="center"/>
    </xf>
    <xf numFmtId="0" fontId="34" fillId="37" borderId="35" xfId="6" applyFont="1" applyFill="1" applyBorder="1" applyAlignment="1">
      <alignment horizontal="left" vertical="center"/>
    </xf>
    <xf numFmtId="0" fontId="0" fillId="47" borderId="26" xfId="0" applyFill="1" applyBorder="1" applyAlignment="1">
      <alignment horizontal="center" wrapText="1"/>
    </xf>
    <xf numFmtId="0" fontId="0" fillId="47" borderId="27" xfId="0" applyFill="1" applyBorder="1" applyAlignment="1">
      <alignment horizontal="center" wrapText="1"/>
    </xf>
    <xf numFmtId="0" fontId="0" fillId="47" borderId="28" xfId="0" applyFill="1" applyBorder="1" applyAlignment="1">
      <alignment horizontal="center" wrapText="1"/>
    </xf>
    <xf numFmtId="0" fontId="0" fillId="27" borderId="26" xfId="0" applyFill="1" applyBorder="1" applyAlignment="1">
      <alignment horizontal="center" wrapText="1"/>
    </xf>
    <xf numFmtId="0" fontId="0" fillId="27" borderId="27" xfId="0" applyFill="1" applyBorder="1" applyAlignment="1">
      <alignment horizontal="center" wrapText="1"/>
    </xf>
    <xf numFmtId="0" fontId="0" fillId="27" borderId="28" xfId="0" applyFill="1" applyBorder="1" applyAlignment="1">
      <alignment horizontal="center" wrapText="1"/>
    </xf>
    <xf numFmtId="0" fontId="0" fillId="4" borderId="26" xfId="0" applyFill="1" applyBorder="1" applyAlignment="1">
      <alignment horizontal="center" wrapText="1"/>
    </xf>
    <xf numFmtId="0" fontId="0" fillId="4" borderId="27" xfId="0" applyFill="1" applyBorder="1" applyAlignment="1">
      <alignment horizontal="center" wrapText="1"/>
    </xf>
    <xf numFmtId="0" fontId="0" fillId="4" borderId="28" xfId="0" applyFill="1" applyBorder="1" applyAlignment="1">
      <alignment horizontal="center" wrapText="1"/>
    </xf>
    <xf numFmtId="0" fontId="0" fillId="45" borderId="26" xfId="0" applyFill="1" applyBorder="1" applyAlignment="1">
      <alignment horizontal="center" wrapText="1"/>
    </xf>
    <xf numFmtId="0" fontId="0" fillId="45" borderId="11" xfId="0" applyFill="1" applyBorder="1" applyAlignment="1">
      <alignment horizontal="center" wrapText="1"/>
    </xf>
    <xf numFmtId="0" fontId="0" fillId="45" borderId="12" xfId="0" applyFill="1" applyBorder="1" applyAlignment="1">
      <alignment horizontal="center" wrapText="1"/>
    </xf>
    <xf numFmtId="0" fontId="0" fillId="43" borderId="26" xfId="0" applyFill="1" applyBorder="1" applyAlignment="1">
      <alignment horizontal="center" wrapText="1"/>
    </xf>
    <xf numFmtId="0" fontId="0" fillId="43" borderId="11" xfId="0" applyFill="1" applyBorder="1" applyAlignment="1">
      <alignment horizontal="center" wrapText="1"/>
    </xf>
    <xf numFmtId="0" fontId="0" fillId="43" borderId="12" xfId="0" applyFill="1" applyBorder="1" applyAlignment="1">
      <alignment horizontal="center" wrapText="1"/>
    </xf>
    <xf numFmtId="0" fontId="0" fillId="41" borderId="26" xfId="0" applyFill="1" applyBorder="1" applyAlignment="1">
      <alignment horizontal="center" wrapText="1"/>
    </xf>
    <xf numFmtId="0" fontId="0" fillId="41" borderId="27" xfId="0" applyFill="1" applyBorder="1" applyAlignment="1">
      <alignment horizontal="center" wrapText="1"/>
    </xf>
    <xf numFmtId="0" fontId="0" fillId="41" borderId="28" xfId="0" applyFill="1" applyBorder="1" applyAlignment="1">
      <alignment horizontal="center" wrapText="1"/>
    </xf>
    <xf numFmtId="0" fontId="0" fillId="3" borderId="29" xfId="0" applyFill="1" applyBorder="1" applyAlignment="1">
      <alignment horizontal="center" textRotation="90"/>
    </xf>
    <xf numFmtId="0" fontId="0" fillId="3" borderId="44" xfId="0" applyFill="1" applyBorder="1" applyAlignment="1">
      <alignment horizontal="center" textRotation="90"/>
    </xf>
    <xf numFmtId="0" fontId="0" fillId="9" borderId="26" xfId="0" applyFill="1" applyBorder="1" applyAlignment="1">
      <alignment horizontal="center"/>
    </xf>
    <xf numFmtId="0" fontId="0" fillId="9" borderId="27" xfId="0" applyFill="1" applyBorder="1" applyAlignment="1">
      <alignment horizontal="center"/>
    </xf>
    <xf numFmtId="0" fontId="0" fillId="9" borderId="28" xfId="0" applyFill="1" applyBorder="1" applyAlignment="1">
      <alignment horizontal="center"/>
    </xf>
    <xf numFmtId="0" fontId="0" fillId="8" borderId="26" xfId="0" applyFill="1" applyBorder="1" applyAlignment="1">
      <alignment horizontal="center"/>
    </xf>
    <xf numFmtId="0" fontId="0" fillId="8" borderId="27" xfId="0" applyFill="1" applyBorder="1" applyAlignment="1">
      <alignment horizontal="center"/>
    </xf>
    <xf numFmtId="0" fontId="0" fillId="8" borderId="28" xfId="0" applyFill="1" applyBorder="1" applyAlignment="1">
      <alignment horizontal="center"/>
    </xf>
    <xf numFmtId="0" fontId="0" fillId="5" borderId="26" xfId="0" applyFill="1" applyBorder="1" applyAlignment="1">
      <alignment horizontal="center" wrapText="1"/>
    </xf>
    <xf numFmtId="0" fontId="0" fillId="5" borderId="27" xfId="0" applyFill="1" applyBorder="1" applyAlignment="1">
      <alignment horizontal="center" wrapText="1"/>
    </xf>
    <xf numFmtId="0" fontId="0" fillId="5" borderId="28" xfId="0" applyFill="1" applyBorder="1" applyAlignment="1">
      <alignment horizontal="center" wrapText="1"/>
    </xf>
    <xf numFmtId="0" fontId="0" fillId="6" borderId="26" xfId="0" applyFill="1" applyBorder="1" applyAlignment="1">
      <alignment horizontal="center" wrapText="1"/>
    </xf>
    <xf numFmtId="0" fontId="0" fillId="6" borderId="27" xfId="0" applyFill="1" applyBorder="1" applyAlignment="1">
      <alignment horizontal="center" wrapText="1"/>
    </xf>
    <xf numFmtId="0" fontId="0" fillId="6" borderId="28" xfId="0" applyFill="1" applyBorder="1" applyAlignment="1">
      <alignment horizontal="center" wrapText="1"/>
    </xf>
    <xf numFmtId="0" fontId="0" fillId="28" borderId="26" xfId="0" applyFill="1" applyBorder="1" applyAlignment="1">
      <alignment horizontal="center" wrapText="1"/>
    </xf>
    <xf numFmtId="0" fontId="0" fillId="28" borderId="27" xfId="0" applyFill="1" applyBorder="1" applyAlignment="1">
      <alignment horizontal="center" wrapText="1"/>
    </xf>
    <xf numFmtId="0" fontId="0" fillId="28" borderId="28" xfId="0" applyFill="1" applyBorder="1" applyAlignment="1">
      <alignment horizontal="center" wrapText="1"/>
    </xf>
    <xf numFmtId="0" fontId="0" fillId="26" borderId="26" xfId="0" applyFill="1" applyBorder="1" applyAlignment="1">
      <alignment horizontal="center" wrapText="1"/>
    </xf>
    <xf numFmtId="0" fontId="0" fillId="26" borderId="27" xfId="0" applyFill="1" applyBorder="1" applyAlignment="1">
      <alignment horizontal="center" wrapText="1"/>
    </xf>
    <xf numFmtId="0" fontId="0" fillId="26" borderId="28" xfId="0" applyFill="1" applyBorder="1" applyAlignment="1">
      <alignment horizontal="center" wrapText="1"/>
    </xf>
    <xf numFmtId="0" fontId="34" fillId="30" borderId="2" xfId="0" applyFont="1" applyFill="1" applyBorder="1" applyAlignment="1">
      <alignment horizontal="center" vertical="center" wrapText="1"/>
    </xf>
    <xf numFmtId="0" fontId="34" fillId="30" borderId="7" xfId="0" applyFont="1" applyFill="1" applyBorder="1" applyAlignment="1">
      <alignment horizontal="center" vertical="center" wrapText="1"/>
    </xf>
    <xf numFmtId="0" fontId="34" fillId="30" borderId="3" xfId="0" applyFont="1" applyFill="1" applyBorder="1" applyAlignment="1">
      <alignment horizontal="center" vertical="center" wrapText="1"/>
    </xf>
    <xf numFmtId="0" fontId="67" fillId="51" borderId="5" xfId="0" applyFont="1" applyFill="1" applyBorder="1" applyAlignment="1">
      <alignment horizontal="center" vertical="center" wrapText="1"/>
    </xf>
    <xf numFmtId="0" fontId="67" fillId="51" borderId="9" xfId="0" applyFont="1" applyFill="1" applyBorder="1" applyAlignment="1">
      <alignment horizontal="center" vertical="center" wrapText="1"/>
    </xf>
    <xf numFmtId="0" fontId="67" fillId="51" borderId="8" xfId="0" applyFont="1" applyFill="1" applyBorder="1" applyAlignment="1">
      <alignment horizontal="center" vertical="center" wrapText="1"/>
    </xf>
    <xf numFmtId="0" fontId="18" fillId="30" borderId="4" xfId="0" applyNumberFormat="1" applyFont="1" applyFill="1" applyBorder="1" applyAlignment="1">
      <alignment horizontal="center"/>
    </xf>
    <xf numFmtId="0" fontId="18" fillId="30" borderId="0" xfId="0" applyNumberFormat="1" applyFont="1" applyFill="1" applyBorder="1" applyAlignment="1">
      <alignment horizontal="center"/>
    </xf>
    <xf numFmtId="166" fontId="42" fillId="11" borderId="1" xfId="6" applyNumberFormat="1" applyFont="1" applyFill="1" applyBorder="1" applyAlignment="1">
      <alignment horizontal="left" vertical="center"/>
    </xf>
    <xf numFmtId="0" fontId="34" fillId="30" borderId="22" xfId="0" applyFont="1" applyFill="1" applyBorder="1" applyAlignment="1">
      <alignment horizontal="center" vertical="center" wrapText="1"/>
    </xf>
    <xf numFmtId="0" fontId="34" fillId="30" borderId="35" xfId="0" applyFont="1" applyFill="1" applyBorder="1" applyAlignment="1">
      <alignment horizontal="center" vertical="center" wrapText="1"/>
    </xf>
    <xf numFmtId="166" fontId="34" fillId="30" borderId="22" xfId="6" applyNumberFormat="1" applyFont="1" applyFill="1" applyBorder="1" applyAlignment="1">
      <alignment horizontal="center" vertical="center"/>
    </xf>
    <xf numFmtId="166" fontId="34" fillId="30" borderId="35" xfId="6" applyNumberFormat="1" applyFont="1" applyFill="1" applyBorder="1" applyAlignment="1">
      <alignment horizontal="center" vertical="center"/>
    </xf>
    <xf numFmtId="0" fontId="18" fillId="30" borderId="22" xfId="0" applyFont="1" applyFill="1" applyBorder="1" applyAlignment="1">
      <alignment horizontal="center" vertical="center"/>
    </xf>
    <xf numFmtId="0" fontId="18" fillId="30" borderId="35" xfId="0" applyFont="1" applyFill="1" applyBorder="1" applyAlignment="1">
      <alignment horizontal="center" vertical="center"/>
    </xf>
    <xf numFmtId="166" fontId="42" fillId="37" borderId="22" xfId="6" applyNumberFormat="1" applyFont="1" applyFill="1" applyBorder="1" applyAlignment="1">
      <alignment horizontal="left" vertical="center"/>
    </xf>
    <xf numFmtId="0" fontId="40" fillId="37" borderId="60" xfId="6" applyFont="1" applyFill="1" applyBorder="1" applyAlignment="1">
      <alignment horizontal="left" vertical="center"/>
    </xf>
    <xf numFmtId="0" fontId="40" fillId="37" borderId="11" xfId="6" applyFont="1" applyFill="1" applyBorder="1" applyAlignment="1">
      <alignment horizontal="left" vertical="center"/>
    </xf>
    <xf numFmtId="0" fontId="40" fillId="46" borderId="4" xfId="6" applyFont="1" applyFill="1" applyBorder="1" applyAlignment="1">
      <alignment horizontal="left" vertical="center"/>
    </xf>
    <xf numFmtId="0" fontId="40" fillId="46" borderId="0" xfId="6" applyFont="1" applyFill="1" applyBorder="1" applyAlignment="1">
      <alignment horizontal="left" vertical="center"/>
    </xf>
  </cellXfs>
  <cellStyles count="21">
    <cellStyle name="Accent6" xfId="20" builtinId="49"/>
    <cellStyle name="Bad 2" xfId="14"/>
    <cellStyle name="Calculation" xfId="9" builtinId="22"/>
    <cellStyle name="Comma" xfId="7" builtinId="3"/>
    <cellStyle name="Comma 2" xfId="1"/>
    <cellStyle name="Comma 4 10" xfId="10"/>
    <cellStyle name="Hyperlink" xfId="6" builtinId="8"/>
    <cellStyle name="Hyperlink 2" xfId="16"/>
    <cellStyle name="Hyperlink 2 2" xfId="17"/>
    <cellStyle name="Hyperlink 3" xfId="18"/>
    <cellStyle name="Hyperlink 4" xfId="15"/>
    <cellStyle name="Normal" xfId="0" builtinId="0"/>
    <cellStyle name="Normal 2" xfId="2"/>
    <cellStyle name="Normal 2 2" xfId="3"/>
    <cellStyle name="Normal 2 3" xfId="19"/>
    <cellStyle name="Normal 2 4" xfId="12"/>
    <cellStyle name="Normal 3" xfId="13"/>
    <cellStyle name="Normal 4" xfId="4"/>
    <cellStyle name="Normal 5" xfId="11"/>
    <cellStyle name="Normal_Sheet11" xfId="5"/>
    <cellStyle name="Percent" xfId="8" builtinId="5"/>
  </cellStyles>
  <dxfs count="1517">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alignment horizontal="center" readingOrder="0"/>
    </dxf>
    <dxf>
      <alignment vertical="top"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bottom style="thin">
          <color indexed="64"/>
        </bottom>
        <horizontal style="thin">
          <color indexed="64"/>
        </horizontal>
      </border>
    </dxf>
    <dxf>
      <fill>
        <patternFill patternType="solid">
          <bgColor theme="5" tint="-0.249977111117893"/>
        </patternFill>
      </fill>
    </dxf>
    <dxf>
      <fill>
        <patternFill patternType="solid">
          <bgColor theme="5" tint="-0.249977111117893"/>
        </patternFill>
      </fill>
    </dxf>
    <dxf>
      <border>
        <left style="thin">
          <color indexed="64"/>
        </left>
        <bottom style="thin">
          <color indexed="64"/>
        </bottom>
        <vertical style="thin">
          <color indexed="64"/>
        </vertical>
        <horizontal style="thin">
          <color indexed="64"/>
        </horizontal>
      </border>
    </dxf>
    <dxf>
      <fill>
        <patternFill patternType="solid">
          <bgColor theme="5" tint="-0.249977111117893"/>
        </patternFill>
      </fill>
    </dxf>
    <dxf>
      <fill>
        <patternFill patternType="solid">
          <bgColor theme="5" tint="-0.249977111117893"/>
        </patternFill>
      </fill>
    </dxf>
    <dxf>
      <fill>
        <patternFill>
          <bgColor theme="5" tint="-0.249977111117893"/>
        </patternFill>
      </fill>
    </dxf>
    <dxf>
      <fill>
        <patternFill patternType="solid">
          <bgColor theme="8" tint="0.59999389629810485"/>
        </patternFill>
      </fill>
    </dxf>
    <dxf>
      <fill>
        <patternFill patternType="solid">
          <bgColor theme="5" tint="-0.249977111117893"/>
        </patternFill>
      </fill>
    </dxf>
    <dxf>
      <border>
        <left style="thin">
          <color indexed="64"/>
        </left>
        <bottom style="thin">
          <color indexed="64"/>
        </bottom>
      </border>
    </dxf>
    <dxf>
      <font>
        <b/>
      </font>
    </dxf>
    <dxf>
      <border>
        <left style="thin">
          <color indexed="64"/>
        </left>
        <top style="thin">
          <color indexed="64"/>
        </top>
        <bottom style="thin">
          <color indexed="64"/>
        </bottom>
        <horizontal style="thin">
          <color indexed="64"/>
        </horizontal>
      </border>
    </dxf>
    <dxf>
      <alignment vertical="center" readingOrder="0"/>
    </dxf>
    <dxf>
      <font>
        <color auto="1"/>
      </font>
    </dxf>
    <dxf>
      <font>
        <color auto="1"/>
      </font>
    </dxf>
    <dxf>
      <fill>
        <patternFill>
          <bgColor theme="4" tint="0.79998168889431442"/>
        </patternFill>
      </fill>
    </dxf>
    <dxf>
      <fill>
        <patternFill>
          <bgColor theme="4" tint="0.79998168889431442"/>
        </patternFill>
      </fill>
    </dxf>
    <dxf>
      <font>
        <color auto="1"/>
      </font>
    </dxf>
    <dxf>
      <font>
        <color auto="1"/>
      </font>
    </dxf>
    <dxf>
      <font>
        <b val="0"/>
        <i val="0"/>
        <strike val="0"/>
        <condense val="0"/>
        <extend val="0"/>
        <outline val="0"/>
        <shadow val="0"/>
        <u val="none"/>
        <vertAlign val="baseline"/>
        <sz val="11"/>
        <color theme="0"/>
        <name val="Calibri"/>
        <scheme val="minor"/>
      </font>
      <fill>
        <patternFill patternType="solid">
          <fgColor indexed="65"/>
          <bgColor theme="9"/>
        </patternFill>
      </fill>
    </dxf>
    <dxf>
      <font>
        <b val="0"/>
        <i val="0"/>
        <strike val="0"/>
        <condense val="0"/>
        <extend val="0"/>
        <outline val="0"/>
        <shadow val="0"/>
        <u val="none"/>
        <vertAlign val="baseline"/>
        <sz val="11"/>
        <color theme="0"/>
        <name val="Calibri"/>
        <scheme val="minor"/>
      </font>
      <fill>
        <patternFill patternType="solid">
          <fgColor indexed="65"/>
          <bgColor theme="9"/>
        </patternFill>
      </fill>
    </dxf>
    <dxf>
      <border>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0"/>
        <name val="Calibri"/>
        <scheme val="minor"/>
      </font>
      <fill>
        <patternFill patternType="solid">
          <fgColor indexed="65"/>
          <bgColor theme="9"/>
        </patternFill>
      </fill>
    </dxf>
    <dxf>
      <border>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5" tint="-0.249977111117893"/>
        </patternFill>
      </fill>
    </dxf>
    <dxf>
      <fill>
        <patternFill>
          <bgColor theme="9"/>
        </patternFill>
      </fill>
    </dxf>
    <dxf>
      <fill>
        <patternFill patternType="solid">
          <bgColor theme="5" tint="-0.249977111117893"/>
        </patternFill>
      </fill>
    </dxf>
    <dxf>
      <fill>
        <patternFill patternType="solid">
          <bgColor theme="5" tint="-0.249977111117893"/>
        </patternFill>
      </fill>
    </dxf>
    <dxf>
      <fill>
        <patternFill>
          <bgColor theme="5" tint="-0.249977111117893"/>
        </patternFill>
      </fill>
    </dxf>
    <dxf>
      <alignment vertical="center" readingOrder="0"/>
    </dxf>
    <dxf>
      <fill>
        <patternFill>
          <bgColor theme="4" tint="0.79998168889431442"/>
        </patternFill>
      </fill>
    </dxf>
    <dxf>
      <font>
        <b val="0"/>
        <i val="0"/>
        <strike val="0"/>
        <condense val="0"/>
        <extend val="0"/>
        <outline val="0"/>
        <shadow val="0"/>
        <u val="none"/>
        <vertAlign val="baseline"/>
        <sz val="11"/>
        <color theme="0"/>
        <name val="Calibri"/>
        <scheme val="minor"/>
      </font>
      <fill>
        <patternFill patternType="solid">
          <fgColor indexed="65"/>
          <bgColor theme="9"/>
        </patternFill>
      </fill>
    </dxf>
    <dxf>
      <font>
        <color theme="1"/>
      </font>
    </dxf>
    <dxf>
      <font>
        <color theme="0"/>
      </font>
    </dxf>
    <dxf>
      <fill>
        <patternFill patternType="solid">
          <bgColor theme="5" tint="-0.249977111117893"/>
        </patternFill>
      </fill>
    </dxf>
    <dxf>
      <fill>
        <patternFill patternType="solid">
          <bgColor theme="5" tint="-0.249977111117893"/>
        </patternFill>
      </fill>
    </dxf>
    <dxf>
      <fill>
        <patternFill patternType="solid">
          <bgColor theme="5" tint="0.39997558519241921"/>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theme="1"/>
        <name val="Calibri"/>
        <scheme val="minor"/>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 formatCode="0"/>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0" formatCode="dd\-mmm\-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numFmt numFmtId="1" formatCode="0"/>
      <border diagonalUp="0" diagonalDown="0">
        <left style="thin">
          <color indexed="64"/>
        </left>
        <right style="thin">
          <color indexed="64"/>
        </right>
        <top style="thin">
          <color indexed="64"/>
        </top>
        <bottom/>
        <vertical/>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bottom style="thin">
          <color indexed="64"/>
        </bottom>
      </border>
    </dxf>
    <dxf>
      <fill>
        <patternFill patternType="solid">
          <fgColor indexed="64"/>
          <bgColor theme="0" tint="-0.34998626667073579"/>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font>
    </dxf>
    <dxf>
      <border>
        <bottom style="medium">
          <color indexed="64"/>
        </bottom>
      </border>
    </dxf>
    <dxf>
      <font>
        <b val="0"/>
        <strike val="0"/>
        <outline val="0"/>
        <shadow val="0"/>
        <u val="none"/>
        <vertAlign val="baseline"/>
        <sz val="10"/>
      </font>
      <alignment vertical="center" textRotation="0" indent="0" justifyLastLine="0" shrinkToFit="0" readingOrder="0"/>
      <border diagonalUp="0" diagonalDown="0" outline="0">
        <left style="thin">
          <color indexed="64"/>
        </left>
        <right style="thin">
          <color indexed="64"/>
        </right>
        <top/>
        <bottom/>
      </border>
    </dxf>
    <dxf>
      <alignment horizontal="center" readingOrder="0"/>
    </dxf>
    <dxf>
      <font>
        <b val="0"/>
      </font>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scheme val="minor"/>
      </font>
      <numFmt numFmtId="13" formatCode="0%"/>
      <fill>
        <patternFill patternType="solid">
          <fgColor indexed="64"/>
          <bgColor theme="0"/>
        </patternFill>
      </fill>
      <alignment horizontal="right" vertical="bottom" textRotation="0" wrapText="0" indent="0" justifyLastLine="0" shrinkToFit="0" readingOrder="0"/>
    </dxf>
    <dxf>
      <font>
        <strike val="0"/>
        <outline val="0"/>
        <shadow val="0"/>
        <u val="none"/>
        <vertAlign val="baseline"/>
        <sz val="9"/>
        <name val="Calibri"/>
        <scheme val="minor"/>
      </font>
      <numFmt numFmtId="165" formatCode="_-* #,##0_-;\-* #,##0_-;_-* &quot;-&quot;??_-;_-@_-"/>
      <fill>
        <patternFill patternType="solid">
          <fgColor indexed="64"/>
          <bgColor theme="0"/>
        </patternFill>
      </fill>
    </dxf>
    <dxf>
      <font>
        <b val="0"/>
        <i val="0"/>
        <strike val="0"/>
        <condense val="0"/>
        <extend val="0"/>
        <outline val="0"/>
        <shadow val="0"/>
        <u val="none"/>
        <vertAlign val="baseline"/>
        <sz val="9"/>
        <color theme="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dxf>
    <dxf>
      <font>
        <b val="0"/>
        <i val="0"/>
        <strike val="0"/>
        <condense val="0"/>
        <extend val="0"/>
        <outline val="0"/>
        <shadow val="0"/>
        <u val="none"/>
        <vertAlign val="baseline"/>
        <sz val="9"/>
        <color auto="1"/>
        <name val="Calibri"/>
        <scheme val="minor"/>
      </font>
      <numFmt numFmtId="165" formatCode="_-* #,##0_-;\-* #,##0_-;_-* &quot;-&quot;??_-;_-@_-"/>
      <fill>
        <patternFill patternType="solid">
          <fgColor indexed="64"/>
          <bgColor theme="0"/>
        </patternFill>
      </fill>
    </dxf>
    <dxf>
      <font>
        <strike val="0"/>
        <outline val="0"/>
        <shadow val="0"/>
        <u val="none"/>
        <vertAlign val="baseline"/>
        <sz val="9"/>
        <name val="Calibri"/>
        <scheme val="minor"/>
      </font>
      <numFmt numFmtId="165" formatCode="_-* #,##0_-;\-* #,##0_-;_-* &quot;-&quot;??_-;_-@_-"/>
      <fill>
        <patternFill patternType="solid">
          <fgColor indexed="64"/>
          <bgColor theme="0"/>
        </patternFill>
      </fill>
    </dxf>
    <dxf>
      <font>
        <strike val="0"/>
        <outline val="0"/>
        <shadow val="0"/>
        <u val="none"/>
        <vertAlign val="baseline"/>
        <sz val="10"/>
        <color theme="1"/>
        <name val="Calibri"/>
        <scheme val="minor"/>
      </font>
      <fill>
        <patternFill patternType="solid">
          <fgColor indexed="64"/>
          <bgColor theme="0"/>
        </patternFill>
      </fill>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fill>
        <patternFill patternType="solid">
          <fgColor indexed="64"/>
          <bgColor theme="5" tint="0.39997558519241921"/>
        </patternFill>
      </fill>
      <alignment horizontal="center" vertical="center" textRotation="0" wrapText="1" indent="0" justifyLastLine="0" shrinkToFi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border outline="0">
        <right style="thin">
          <color indexed="64"/>
        </right>
      </border>
    </dxf>
    <dxf>
      <fill>
        <patternFill patternType="none">
          <fgColor indexed="64"/>
          <bgColor indexed="65"/>
        </patternFill>
      </fill>
    </dxf>
    <dxf>
      <border outline="0">
        <top style="thin">
          <color indexed="64"/>
        </top>
      </border>
    </dxf>
    <dxf>
      <fill>
        <patternFill patternType="none">
          <fgColor indexed="64"/>
          <bgColor indexed="65"/>
        </patternFill>
      </fill>
    </dxf>
    <dxf>
      <border outline="0">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8"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bottom/>
      </border>
    </dxf>
    <dxf>
      <border diagonalUp="0" diagonalDown="0" outline="0">
        <left/>
        <right/>
        <top style="thin">
          <color indexed="64"/>
        </top>
        <bottom/>
      </border>
    </dxf>
    <dxf>
      <fill>
        <patternFill patternType="solid">
          <fgColor indexed="64"/>
          <bgColor theme="0"/>
        </patternFill>
      </fill>
    </dxf>
    <dxf>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right style="thin">
          <color indexed="64"/>
        </right>
        <top style="thin">
          <color indexed="64"/>
        </top>
        <bottom/>
      </border>
    </dxf>
    <dxf>
      <numFmt numFmtId="20" formatCode="dd\-mmm\-yy"/>
      <alignment horizontal="right"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font>
        <sz val="1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top" readingOrder="0"/>
    </dxf>
    <dxf>
      <alignment horizontal="center" readingOrder="0"/>
    </dxf>
    <dxf>
      <border>
        <left style="medium">
          <color indexed="64"/>
        </left>
        <right style="medium">
          <color indexed="64"/>
        </right>
        <top style="medium">
          <color indexed="64"/>
        </top>
        <bottom style="medium">
          <color indexed="64"/>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center" readingOrder="0"/>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ont>
        <b val="0"/>
        <i val="0"/>
        <strike val="0"/>
        <condense val="0"/>
        <extend val="0"/>
        <outline val="0"/>
        <shadow val="0"/>
        <u val="none"/>
        <vertAlign val="baseline"/>
        <sz val="10"/>
        <color auto="1"/>
        <name val="Calibri"/>
        <scheme val="minor"/>
      </font>
      <numFmt numFmtId="170" formatCode="[$-409]d\-mmm\-yyyy;@"/>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Calibri"/>
        <scheme val="minor"/>
      </font>
      <numFmt numFmtId="0" formatCode="General"/>
      <fill>
        <patternFill patternType="solid">
          <fgColor indexed="64"/>
          <bgColor theme="3"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border>
    </dxf>
    <dxf>
      <font>
        <b/>
        <i val="0"/>
        <strike val="0"/>
        <condense val="0"/>
        <extend val="0"/>
        <outline val="0"/>
        <shadow val="0"/>
        <u val="none"/>
        <vertAlign val="baseline"/>
        <sz val="10"/>
        <color auto="1"/>
        <name val="Calibri"/>
        <scheme val="minor"/>
      </font>
      <numFmt numFmtId="0" formatCode="General"/>
      <fill>
        <patternFill patternType="solid">
          <fgColor indexed="64"/>
          <bgColor theme="3"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fill>
        <patternFill patternType="solid">
          <fgColor theme="4" tint="0.79998168889431442"/>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bottom/>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70" formatCode="[$-409]d\-mmm\-yyyy;@"/>
      <fill>
        <patternFill patternType="solid">
          <fgColor indexed="64"/>
          <bgColor rgb="FFFFFF99"/>
        </patternFill>
      </fill>
      <border diagonalUp="0" diagonalDown="0" outline="0">
        <left style="thin">
          <color indexed="64"/>
        </left>
        <right/>
        <top style="thin">
          <color indexed="64"/>
        </top>
        <bottom style="thin">
          <color indexed="64"/>
        </bottom>
      </border>
    </dxf>
    <dxf>
      <font>
        <strike val="0"/>
        <outline val="0"/>
        <shadow val="0"/>
        <u val="none"/>
        <vertAlign val="baseline"/>
        <sz val="10"/>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color theme="0"/>
        <name val="Calibri"/>
        <scheme val="minor"/>
      </font>
      <fill>
        <patternFill>
          <fgColor indexed="64"/>
          <bgColor theme="8" tint="-0.249977111117893"/>
        </patternFill>
      </fill>
      <border diagonalUp="0" diagonalDown="0">
        <left style="thin">
          <color indexed="64"/>
        </left>
        <right style="thin">
          <color indexed="64"/>
        </right>
        <top/>
        <bottom/>
        <vertical style="thin">
          <color indexed="64"/>
        </vertical>
        <horizontal style="thin">
          <color indexed="64"/>
        </horizontal>
      </border>
    </dxf>
    <dxf>
      <numFmt numFmtId="1" formatCode="0"/>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horizontal style="thin">
          <color indexed="64"/>
        </horizontal>
      </border>
    </dxf>
    <dxf>
      <border>
        <right style="thin">
          <color indexed="64"/>
        </right>
        <bottom style="thin">
          <color indexed="64"/>
        </bottom>
      </border>
    </dxf>
    <dxf>
      <border>
        <bottom style="thin">
          <color indexed="64"/>
        </bottom>
      </border>
    </dxf>
    <dxf>
      <border>
        <top style="thin">
          <color indexed="64"/>
        </top>
      </border>
    </dxf>
    <dxf>
      <border>
        <bottom style="thin">
          <color indexed="64"/>
        </bottom>
      </border>
    </dxf>
    <dxf>
      <border>
        <right style="thin">
          <color indexed="64"/>
        </right>
      </border>
    </dxf>
    <dxf>
      <border>
        <right style="thin">
          <color indexed="64"/>
        </right>
      </border>
    </dxf>
    <dxf>
      <border>
        <right style="thin">
          <color indexed="64"/>
        </right>
        <vertical style="thin">
          <color indexed="64"/>
        </vertical>
      </border>
    </dxf>
    <dxf>
      <border>
        <left style="thin">
          <color indexed="64"/>
        </left>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right" readingOrder="0"/>
    </dxf>
    <dxf>
      <alignment horizontal="right" readingOrder="0"/>
    </dxf>
    <dxf>
      <alignment horizontal="right" readingOrder="0"/>
    </dxf>
    <dxf>
      <numFmt numFmtId="1" formatCode="0"/>
    </dxf>
    <dxf>
      <border>
        <right style="thin">
          <color indexed="64"/>
        </right>
        <bottom style="thin">
          <color indexed="64"/>
        </bottom>
      </border>
    </dxf>
    <dxf>
      <border>
        <top style="thin">
          <color indexed="64"/>
        </top>
      </border>
    </dxf>
    <dxf>
      <border>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79998168889431442"/>
      </font>
      <alignment horizontal="right" readingOrder="0"/>
    </dxf>
    <dxf>
      <numFmt numFmtId="1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numFmt numFmtId="13" formatCode="0%"/>
    </dxf>
    <dxf>
      <font>
        <color theme="4" tint="0.79998168889431442"/>
      </font>
      <fill>
        <patternFill patternType="solid">
          <fgColor indexed="64"/>
          <bgColor rgb="FFDCE6F1"/>
        </patternFill>
      </fill>
      <alignment horizontal="right" readingOrder="0"/>
    </dxf>
    <dxf>
      <font>
        <color theme="4" tint="0.79998168889431442"/>
      </font>
      <alignment horizontal="right" readingOrder="0"/>
    </dxf>
    <dxf>
      <font>
        <color theme="4" tint="0.79998168889431442"/>
      </font>
    </dxf>
    <dxf>
      <numFmt numFmtId="13" formatCode="0%"/>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general"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ill>
        <patternFill>
          <bgColor rgb="FFFF00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none">
          <fgColor rgb="FF000000"/>
          <bgColor rgb="FFFFFFFF"/>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1"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0" formatCode="General"/>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strike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ont>
        <strike val="0"/>
        <outline val="0"/>
        <shadow val="0"/>
        <u val="none"/>
        <vertAlign val="baseline"/>
        <sz val="9"/>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Calibri"/>
        <scheme val="minor"/>
      </font>
      <fill>
        <patternFill patternType="solid">
          <fgColor indexed="64"/>
          <bgColor theme="0"/>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numFmt numFmtId="172" formatCode="dd/mmm/yy"/>
      <fill>
        <patternFill patternType="none">
          <fgColor theme="4" tint="0.79998168889431442"/>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color rgb="FFFF0000"/>
      </font>
      <numFmt numFmtId="169" formatCode="0.0"/>
      <fill>
        <patternFill patternType="none">
          <fgColor indexed="64"/>
          <bgColor auto="1"/>
        </patternFill>
      </fill>
      <alignment horizontal="right" vertical="center" textRotation="0" wrapText="0" indent="0" justifyLastLine="0" shrinkToFit="0" readingOrder="0"/>
    </dxf>
    <dxf>
      <numFmt numFmtId="165" formatCode="_-* #,##0_-;\-* #,##0_-;_-* &quot;-&quot;??_-;_-@_-"/>
      <fill>
        <patternFill patternType="none">
          <fgColor indexed="64"/>
          <bgColor auto="1"/>
        </patternFill>
      </fill>
      <alignment horizontal="right"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numFmt numFmtId="30" formatCode="@"/>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i val="0"/>
      </font>
    </dxf>
    <dxf>
      <fill>
        <patternFill patternType="none">
          <bgColor auto="1"/>
        </patternFill>
      </fill>
    </dxf>
  </dxfs>
  <tableStyles count="2" defaultTableStyle="TableStyleMedium2" defaultPivotStyle="PivotStyleLight16">
    <tableStyle name="MyStyle" table="0" count="0"/>
    <tableStyle name="Mystyle2" table="0" count="2">
      <tableStyleElement type="wholeTable" dxfId="1516"/>
      <tableStyleElement type="firstColumnStripe" dxfId="1515"/>
    </tableStyle>
  </tableStyles>
  <colors>
    <mruColors>
      <color rgb="FFDD9A57"/>
      <color rgb="FF7EF2AD"/>
      <color rgb="FFFF0066"/>
      <color rgb="FFFF66CC"/>
      <color rgb="FFFF7C80"/>
      <color rgb="FF630D15"/>
      <color rgb="FF990000"/>
      <color rgb="FF727EB2"/>
      <color rgb="FFFC5528"/>
      <color rgb="FF550B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d:schema xmlns:xsd="http://www.w3.org/2001/XMLSchema" xmlns:od="urn:schemas-microsoft-com:officedata" xmlns="">
      <xsd:element name="dataroot">
        <xsd:complexType>
          <xsd:sequence>
            <xsd:element ref="Data_Demography_t" minOccurs="0" maxOccurs="unbounded"/>
          </xsd:sequence>
          <xsd:attribute name="generated" type="xsd:dateTime"/>
        </xsd:complexType>
      </xsd:element>
      <xsd:element name="Data_Demography_t">
        <xsd:annotation>
          <xsd:appinfo>
            <od:tableProperty name="GUID" type="9" value="7izw8LOf10GOvIFM7frnwQ==&#10;"/>
            <od:tableProperty name="Orientation" type="2" value="0"/>
            <od:tableProperty name="OrderByOn" type="1" value="0"/>
            <od:tableProperty name="NameMap" type="11" value="CswOVQAAAADuLPDws5/XQY68gUzt+ufBAAAAAGl9BsOujuRAAAAAAAAAAABEAGUA&#10;bQBvAGcAcgBhAHAAaAB5AAAAAAAAAAzf5/N0BXtErD6o+Cbur/oHAAAA7izw8LOf&#10;10GOvIFM7frnwVMAdABhAHQAZQAAAAAAAAArgzB9++kiSrH3HSWZEEkPBwAAAO4s&#10;8PCzn9dBjryBTO3658FUAG8AdwBuAHMAaABpAHAAAAAAAAAAerYlWcid1EyuSyvR&#10;XUoUuQcAAADuLPDws5/XQY68gUzt+ufBQwBhAG0AcAAAAAAAAABpBowM2XfqT531&#10;EGVou/vcBwAAAO4s8PCzn9dBjryBTO3658FQAGMAbwBkAGUAAAAAAAAAL3kD6VSq&#10;Pk64U1krrSlgaAcAAADuLPDws5/XQY68gUzt+ufBQQBnAGUAXwBDAGEAdAAAAAAA&#10;AABzy/3UM/cASpH3yZuEq1QxBwAAAO4s8PCzn9dBjryBTO3658FTAGUAeAAAAAAA&#10;AADNScm6rHjqQ6qvHkHA1HgrBwAAAO4s8PCzn9dBjryBTO3658FUAG8AdABhAGwA&#10;AAAAAAAA2IgXGx8tcU+1acqIHESo5wcAAADuLPDws5/XQY68gUzt+ufBVABvAHQA&#10;YQBsADIAAAAAAAAAJHV2vuhSq02z3dDA7H4pQQcAAADuLPDws5/XQY68gUzt+ufB&#10;UwBvAHUAcgBjAGUAAAAAAAAAidK870Co50+odJLE3uNQ/QcAAADuLPDws5/XQY68&#10;gUzt+ufBVQBwAGQAYQB0AGUAZAAgAEQAYQB0AGUAAAAAAAAAAAAAAAAAAAAAAAAA&#10;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DN/n83QFe0SsPqj4Ju6v+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K4MwffvpIkqx9x0lmRBJD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erYlWcid1EyuSyvRXUoU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aQaMDNl36k+d9RBlaLv7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ge_Cat" minOccurs="0" od:jetType="text" od:sqlSType="nvarchar">
              <xsd:annotation>
                <xsd:appinfo>
                  <od:fieldProperty name="Format" type="10" value="@"/>
                  <od:fieldProperty name="GUID" type="9" value="L3kD6VSqPk64U1krrSlg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ex" minOccurs="0" od:jetType="text" od:sqlSType="nvarchar">
              <xsd:annotation>
                <xsd:appinfo>
                  <od:fieldProperty name="Format" type="10" value="@"/>
                  <od:fieldProperty name="GUID" type="9" value="c8v91DP3AEqR98mbhKtUM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zUnJuqx46kOqrx5BwNR4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2" minOccurs="0" od:jetType="double" od:sqlSType="float" type="xsd:double">
              <xsd:annotation>
                <xsd:appinfo>
                  <od:fieldProperty name="Format" type="10" value="General Number"/>
                  <od:fieldProperty name="GUID" type="9" value="2IgXGx8tcU+1acqIHESo5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JHV2vuhSq02z3dDA7H4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idK870Co50+odJLE3uNQ/Q==&#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3">
    <xsd:schema xmlns:xsd="http://www.w3.org/2001/XMLSchema" xmlns:od="urn:schemas-microsoft-com:officedata" xmlns="">
      <xsd:element name="dataroot">
        <xsd:complexType>
          <xsd:sequence>
            <xsd:element ref="Data_Infrastructure_t" minOccurs="0" maxOccurs="unbounded"/>
          </xsd:sequence>
          <xsd:attribute name="generated" type="xsd:dateTime"/>
        </xsd:complexType>
      </xsd:element>
      <xsd:element name="Data_Infrastructure_t">
        <xsd:annotation>
          <xsd:appinfo>
            <od:tableProperty name="GUID" type="9" value="U9GT+Lz5GkeNCHEYtARMxg==&#10;"/>
            <od:tableProperty name="Orientation" type="2" value="0"/>
            <od:tableProperty name="OrderByOn" type="1" value="0"/>
            <od:tableProperty name="NameMap" type="11" value="CswOVQAAAABT0ZP4vPkaR40IcRi0BEzGAAAAAIrq1NeujuRAAAAAAAAAAABDAGEA&#10;bQBwACAASQBuAGYAcgBhAHMAdAByAHUAYwB0AHUAcgBlAAAAAAAAAHx0MtX/QhNN&#10;sJdKU05rq0AHAAAAU9GT+Lz5GkeNCHEYtARMxkwAbwB0AAAAAAAAABOseC7xcmJJ&#10;mHefuRpXi7sHAAAAU9GT+Lz5GkeNCHEYtARMxlMAdABhAHQAZQAAAAAAAAAnu5h5&#10;IVqCS4iA7KOv67CCBwAAAFPRk/i8+RpHjQhxGLQETMZUAG8AdwBuAHMAaABpAHAA&#10;AAAAAAAAqG5hS61Qn0+hKblBu9TvqAcAAABT0ZP4vPkaR40IcRi0BEzGQwBhAG0A&#10;cAAAAAAAAAATs45dsYA0S4/3+MwsUk9UBwAAAFPRk/i8+RpHjQhxGLQETMZQAGMA&#10;bwBkAGUAAAAAAAAApzRR8uNLeEut4+vZHxt+mwcAAABT0ZP4vPkaR40IcRi0BEzG&#10;SQBuAGYAcgBhAHMAdAByAHUAYwB0AHUAcgBlAAAAAAAAAAqFaADs1HBHmzyLrPtA&#10;Bx0HAAAAU9GT+Lz5GkeNCHEYtARMxlQAeQBwAGUAAAAAAAAAxu7CJG5z0USy95tN&#10;+nJvTAcAAABT0ZP4vPkaR40IcRi0BEzGVABvAHQAYQBsAAAAAAAAACEA2EsGrKtB&#10;qCcFX7I9NpQHAAAAU9GT+Lz5GkeNCHEYtARMxlMAdABhAHQAdQBzAAAAAAAAABRh&#10;9zd0yHFCkHQDPEZcr1UHAAAAU9GT+Lz5GkeNCHEYtARMxkMAbwBtAG0AZQBuAHQA&#10;AAAAAAAAAAAAAAAA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Lot" minOccurs="0" od:jetType="text" od:sqlSType="nvarchar">
              <xsd:annotation>
                <xsd:appinfo>
                  <od:fieldProperty name="Format" type="10" value="@"/>
                  <od:fieldProperty name="GUID" type="9" value="fHQy1f9CE02wl0pTTmur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E6x4LvFyYkmYd5+5GleLu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7uYeSFagkuIgOyjr+uw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qG5hS61Qn0+hKblBu9Tv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E7OOXbGANEuP9/jMLFJP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nfrastructure" minOccurs="0" od:jetType="text" od:sqlSType="nvarchar">
              <xsd:annotation>
                <xsd:appinfo>
                  <od:fieldProperty name="Format" type="10" value="@"/>
                  <od:fieldProperty name="GUID" type="9" value="pzRR8uNLeEut4+vZHxt+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 minOccurs="0" od:jetType="text" od:sqlSType="nvarchar">
              <xsd:annotation>
                <xsd:appinfo>
                  <od:fieldProperty name="Format" type="10" value="@"/>
                  <od:fieldProperty name="GUID" type="9" value="CoVoAOzUcEebPIus+0AHH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xu7CJG5z0USy95tN+nJvT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0;* (#,##0);* -00"/>
                  <od:fieldProperty name="GUID" type="9" value="IQDYSwasq0GoJwVfsj02l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0;* (#,##0);* -00"/>
                  <od:fieldProperty name="GUID" type="9" value="FGH3N3TIcUKQdAM8RlyvV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Data_NFI_T" minOccurs="0" maxOccurs="unbounded"/>
          </xsd:sequence>
          <xsd:attribute name="generated" type="xsd:dateTime"/>
        </xsd:complexType>
      </xsd:element>
      <xsd:element name="Data_NFI_T">
        <xsd:annotation>
          <xsd:appinfo>
            <od:tableProperty name="GUID" type="9" value="+V3mgcFit0iCUwBcQzp55A==&#10;"/>
            <od:tableProperty name="Orientation" type="2" value="0"/>
            <od:tableProperty name="OrderByOn" type="1" value="0"/>
            <od:tableProperty name="NameMap" type="11" value="CswOVQAAAAD5XeaBwWK3SIJTAFxDOnnkAAAAAMuNrNiujuRAAAAAAAAAAABOAEYA&#10;SQAgAFQAcgBhAGMAawBpAG4AZwAAAAAAAADVYTeQkHG1Q5geriy0o8eUBwAAAPld&#10;5oHBYrdIglMAXEM6eeRNAG8AbgB0AGgAcwAAAAAAAAC7sKp9k0DcRZE99u77/ivi&#10;BwAAAPld5oHBYrdIglMAXEM6eeR5AGUAYQByAAAAAAAAAFvlrix+aiFDuYXqgvPI&#10;uvQHAAAA+V3mgcFit0iCUwBcQzp55EQAaQBzAHQAcgBpAGIAdQB0AGkAbwBuACAA&#10;RABhAHQAZQAAAAAAAAC+DZYCsl+zS7nbu74O5IQ+BwAAAPld5oHBYrdIglMAXEM6&#10;eeRPAHIAZwBhAG4AaQB6AGEAdABpAG8AbgAAAAAAAAAKxLYjPpbQQq4tQ4es7Aup&#10;BwAAAPld5oHBYrdIglMAXEM6eeRJAG0AcABsAGUAbQBlAG4AdABpAG4AZwAgAFAA&#10;YQByAHQAbgBlAHIAAAAAAAAA0Md32DppR0u7hdKwfvhfFQcAAAD5XeaBwWK3SIJT&#10;AFxDOnnkUwB0AGEAdABlAAAAAAAAAHvQs842SzVNvJiCAT8eK5YHAAAA+V3mgcFi&#10;t0iCUwBcQzp55FQAbwB3AG4AcwBoAGkAcAAAAAAAAADGBhfSpAO4QKy6vJI6Ia/A&#10;BwAAAPld5oHBYrdIglMAXEM6eeRDAGEAbQBwACAATgBhAG0AZQAAAAAAAAC8Vy2C&#10;uH0PSbhcbwL30/PTBwAAAPld5oHBYrdIglMAXEM6eeRIAHkAZwBpAGUAbgBlACAA&#10;SwBpAHQAAAAAAAAACTyrxDqm/EiOp1/1AHprrQcAAAD5XeaBwWK3SIJTAFxDOnnk&#10;TgBGAEkAIABDAG8AcgBlACAASwBpAHQAAAAAAAAAb6YNe1x2e0Czl8cLwnoFUQcA&#10;AAD5XeaBwWK3SIJTAFxDOnnkUwBhAG4AaQB0AGEAcgB5ACAASwBpAHQAAAAAAAAA&#10;Mb3t46qhPUSnf0xwWqN6GAcAAAD5XeaBwWK3SIJTAFxDOnnkTQBvAHMAcQB1AGkA&#10;dABvACAAbgBlAHQAAAAAAAAAYgOPpJPFRU2pqFF76lvsZAcAAAD5XeaBwWK3SIJT&#10;AFxDOnnkVABhAHIAcABhAHUAbABpAG4AAAAAAAAA21QsHkbRTkuSrqs31BlGoQcA&#10;AAD5XeaBwWK3SIJTAFxDOnnkQgBsAGEAbgBrAGUAdAAAAAAAAACJPBWN8xggTKiQ&#10;vjFI7uX6BwAAAPld5oHBYrdIglMAXEM6eeRLAGkAdABjAGgAZQBuACAAUwBlAHQA&#10;AAAAAAAAxE0jrxn320+xkn1mfb5HGAcAAAD5XeaBwWK3SIJTAFxDOnnkQwBvAG0A&#10;cABsAGUAbQBlAG4AdABhAHIAeQAgAEsAaQB0AAAAAAAAAJrPgoXuCQpPtpQvNTsg&#10;hAEHAAAA+V3mgcFit0iCUwBcQzp55FAAbABhAHMAdABpAGMAIABCAHUAYwBrAGUA&#10;dAAAAAAAAAAV50TilQPbTaejDVR8NgirBwAAAPld5oHBYrdIglMAXEM6eeRQAGwA&#10;YQBzAHQAaQBjACAATQBhAHQAAAAAAAAA7jLHIe+9FUazo81vnN2wdAcAAAD5XeaB&#10;wWK3SIJTAFxDOnnkSAB5AGcAaQBlAG4AZQAgAEsAaQB0AF8ATABTAAAAAAAAAECo&#10;XmMmRY9FjyS3jHCIXwkHAAAA+V3mgcFit0iCUwBcQzp55E4ARgBJACAAQwBvAHIA&#10;ZQAgAEsAaQB0AF8ATABTAAAAAAAAAG9XeP0APP9Kp+sAzS98RXgHAAAA+V3mgcFi&#10;t0iCUwBcQzp55FMAYQBuAGkAdABhAHIAeQAgAEsAaQB0ADQAXwBMAFMAAAAAAAAA&#10;wyJgPceIIkeZ6hmYIOSnGQcAAAD5XeaBwWK3SIJTAFxDOnnkTQBvAHMAcQB1AGkA&#10;dABvACAAbgBlAHQANQBfAEwAUwAAAAAAAADSQozsyydzRYKQ3jrB+IylBwAAAPld&#10;5oHBYrdIglMAXEM6eeRUAGEAcgBwAGEAdQBsAGkAbgBfAEwAUwAAAAAAAACvd9RU&#10;S9ZhSoAPq9BoNE7UBwAAAPld5oHBYrdIglMAXEM6eeRCAGwAYQBuAGsAZQB0AF8A&#10;TABTAAAAAAAAADuR9tYkgQ9DgqJxeySN1YYHAAAA+V3mgcFit0iCUwBcQzp55EsA&#10;aQB0AGMAaABlAG4AIABTAGUAdABfAEwAUwAAAAAAAAC9XMdNYUAsSoUsV8pLiIik&#10;BwAAAPld5oHBYrdIglMAXEM6eeRDAG8AbQBwAGwAZQBtAGUAbgB0AGEAcgB5ACAA&#10;SwBpAHQAXwBMAFMAAAAAAAAA8Zi+eZAV0E6LodNyL61XSwcAAAD5XeaBwWK3SIJT&#10;AFxDOnnkUABsAGEAcwB0AGkAYwAgAEIAdQBjAGsAZQB0AF8ATABTAAAAAAAAAHWy&#10;zEHFctpGvCWl8wW097IHAAAA+V3mgcFit0iCUwBcQzp55FAAbABhAHMAdABpAGMA&#10;IAAgAE0AYQB0AF8ATABTAAAAAAAAANnka01DnKhLnBaQINhr0MEHAAAA+V3mgcFi&#10;t0iCUwBcQzp55FAAYwBvAGQAZQAAAAAAAAA1pk6CRfDCT7lqNYRtrrXeBwAAAPld&#10;5oHBYrdIglMAXEM6eeRTAHQAYQB0AHUAcwAAAAAAAAAAAAAAAAAAAAAAAAAAAAAA&#10;DAAAAAU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Months" minOccurs="0" od:jetType="double" od:sqlSType="float" type="xsd:double">
              <xsd:annotation>
                <xsd:appinfo>
                  <od:fieldProperty name="Format" type="10" value="0"/>
                  <od:fieldProperty name="GUID" type="9" value="1WE3kJBxtUOYHq4stKPHl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year" minOccurs="0" od:jetType="double" od:sqlSType="float" type="xsd:double">
              <xsd:annotation>
                <xsd:appinfo>
                  <od:fieldProperty name="Format" type="10" value="0"/>
                  <od:fieldProperty name="GUID" type="9" value="u7CqfZNA3EWRPfbu+/4r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mmm-yy;@"/>
                  <od:fieldProperty name="GUID" type="9" value="W+WuLH5qIUO5heqC88i69A==&#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vg2WArJfs0u527u+DuSEP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CsS2Iz6W0EKuLUOHrOwL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0Md32DppR0u7hdKwfvhf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e9CzzjZLNU28mIIBPx4r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xgYX0qQDuECsurySOiGv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vFctgrh9D0m4XG8C99Pz0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CTyrxDqm/EiOp1/1AHprr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b6YNe1x2e0Czl8cLwnoF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text" od:sqlSType="nvarchar">
              <xsd:annotation>
                <xsd:appinfo>
                  <od:fieldProperty name="Format" type="10" value="@"/>
                  <od:fieldProperty name="GUID" type="9" value="Mb3t46qhPUSnf0xwWqN6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 minOccurs="0" od:jetType="double" od:sqlSType="float" type="xsd:double">
              <xsd:annotation>
                <xsd:appinfo>
                  <od:fieldProperty name="Format" type="10" value="General Number"/>
                  <od:fieldProperty name="GUID" type="9" value="YgOPpJPFRU2pqFF76lvsZ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text" od:sqlSType="nvarchar">
              <xsd:annotation>
                <xsd:appinfo>
                  <od:fieldProperty name="Format" type="10" value="@"/>
                  <od:fieldProperty name="GUID" type="9" value="21QsHkbRTkuSrqs31BlG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 minOccurs="0" od:jetType="text" od:sqlSType="nvarchar">
              <xsd:annotation>
                <xsd:appinfo>
                  <od:fieldProperty name="Format" type="10" value="@"/>
                  <od:fieldProperty name="GUID" type="9" value="iTwVjfMYIEyokL4xSO7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plementary_x0020_Kit" minOccurs="0" od:jetType="text" od:sqlSType="nvarchar">
              <xsd:annotation>
                <xsd:appinfo>
                  <od:fieldProperty name="Format" type="10" value="@"/>
                  <od:fieldProperty name="GUID" type="9" value="xE0jrxn320+xkn1mfb5H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 minOccurs="0" od:jetType="text" od:sqlSType="nvarchar">
              <xsd:annotation>
                <xsd:appinfo>
                  <od:fieldProperty name="Format" type="10" value="@"/>
                  <od:fieldProperty name="GUID" type="9" value="ms+Che4JCk+2lC81OyCE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Mat" minOccurs="0" od:jetType="text" od:sqlSType="nvarchar">
              <xsd:annotation>
                <xsd:appinfo>
                  <od:fieldProperty name="Format" type="10" value="@"/>
                  <od:fieldProperty name="GUID" type="9" value="FedE4pUD202now1UfDYIq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double" od:sqlSType="float" type="xsd:double">
              <xsd:annotation>
                <xsd:appinfo>
                  <od:fieldProperty name="Format" type="10" value="General Number"/>
                  <od:fieldProperty name="GUID" type="9" value="7jLHIe+9FUazo81vnN2wd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FI_x0020_Core_x0020_Kit_LS" minOccurs="0" od:jetType="double" od:sqlSType="float" type="xsd:double">
              <xsd:annotation>
                <xsd:appinfo>
                  <od:fieldProperty name="Format" type="10" value="General Number"/>
                  <od:fieldProperty name="GUID" type="9" value="QKheYyZFj0WPJLeMcIhfC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anitary_x0020_Kit4_LS" minOccurs="0" od:jetType="double" od:sqlSType="float" type="xsd:double">
              <xsd:annotation>
                <xsd:appinfo>
                  <od:fieldProperty name="Format" type="10" value="General Number"/>
                  <od:fieldProperty name="GUID" type="9" value="b1d4/QA8/0qn6wDNL3xFe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Mosquito_x0020_net5_LS" minOccurs="0" od:jetType="double" od:sqlSType="float" type="xsd:double">
              <xsd:annotation>
                <xsd:appinfo>
                  <od:fieldProperty name="Format" type="10" value="General Number"/>
                  <od:fieldProperty name="GUID" type="9" value="wyJgPceIIkeZ6hmYIOSnG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_LS" minOccurs="0" od:jetType="double" od:sqlSType="float" type="xsd:double">
              <xsd:annotation>
                <xsd:appinfo>
                  <od:fieldProperty name="Format" type="10" value="General Number"/>
                  <od:fieldProperty name="GUID" type="9" value="0kKM7Msnc0WCkN46wfiMp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_LS" minOccurs="0" od:jetType="double" od:sqlSType="float" type="xsd:double">
              <xsd:annotation>
                <xsd:appinfo>
                  <od:fieldProperty name="Format" type="10" value="General Number"/>
                  <od:fieldProperty name="GUID" type="9" value="r3fUVEvWYUqAD6vQaDRO1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_LS" minOccurs="0" od:jetType="double" od:sqlSType="float" type="xsd:double">
              <xsd:annotation>
                <xsd:appinfo>
                  <od:fieldProperty name="Format" type="10" value="General Number"/>
                  <od:fieldProperty name="GUID" type="9" value="O5H21iSBD0OConF7JI3V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plementary_x0020_Kit_LS" minOccurs="0" od:jetType="double" od:sqlSType="float" type="xsd:double">
              <xsd:annotation>
                <xsd:appinfo>
                  <od:fieldProperty name="Format" type="10" value="General Number"/>
                  <od:fieldProperty name="GUID" type="9" value="vVzHTWFALEqFLFfKS4iIp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_LS" minOccurs="0" od:jetType="double" od:sqlSType="float" type="xsd:double">
              <xsd:annotation>
                <xsd:appinfo>
                  <od:fieldProperty name="Format" type="10" value="General Number"/>
                  <od:fieldProperty name="GUID" type="9" value="8Zi+eZAV0E6LodNyL61XS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_x0020_Mat_LS" minOccurs="0" od:jetType="double" od:sqlSType="float" type="xsd:double">
              <xsd:annotation>
                <xsd:appinfo>
                  <od:fieldProperty name="Format" type="10" value="General Number"/>
                  <od:fieldProperty name="GUID" type="9" value="dbLMQcVy2ka8JaXzBbT3s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2eRrTUOcqEucFpAg2GvQ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aZOgkXwwk+5ajWEba61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Data_Shelter_t" minOccurs="0" maxOccurs="unbounded"/>
          </xsd:sequence>
          <xsd:attribute name="generated" type="xsd:dateTime"/>
        </xsd:complexType>
      </xsd:element>
      <xsd:element name="Data_Shelter_t">
        <xsd:annotation>
          <xsd:appinfo>
            <od:tableProperty name="GUID" type="9" value="lBVKVfBAaUac3bXyi2yDkA==&#10;"/>
            <od:tableProperty name="Orientation" type="2" value="0"/>
            <od:tableProperty name="OrderByOn" type="1" value="0"/>
            <od:tableProperty name="NameMap" type="11" value="CswOVQAAAACUFUpV8EBpRpzdtfKLbIOQAAAAAEaTPJ2ujuRAAAAAAAAAAABTAGgA&#10;ZQBsAHQAZQByACAAVAByAGEAYwBrAGkAbgBnAAAAAAAAANgFZR/gTxNOvW2r6zlF&#10;zdMHAAAAlBVKVfBAaUac3bXyi2yDkEQAYQB0AGUAVQBwAGQAYQB0AGUAZAAAAAAA&#10;AADEqvIQJao1TJjArOlLV6CPBwAAAJQVSlXwQGlGnN218otsg5BPAHIAZwBhAG4A&#10;aQB6AGEAdABpAG8AbgAAAAAAAADSAG64uVGURZNEYpv8VEJjBwAAAJQVSlXwQGlG&#10;nN218otsg5BJAG0AcABsAGUAbQBlAG4AdABpAG4AZwAgAFAAYQByAHQAbgBlAHIA&#10;AAAAAAAAcHSid7FMoEiczZAKPOq8sAcAAACUFUpV8EBpRpzdtfKLbIOQUwB0AGEA&#10;dABlAAAAAAAAAN/c+SbE17dEgkhF6HTBeGkHAAAAlBVKVfBAaUac3bXyi2yDkFQA&#10;bwB3AG4AcwBoAGkAcAAAAAAAAADkkVxbWKozTqk2ofLoMm8WBwAAAJQVSlXwQGlG&#10;nN218otsg5BDAGEAbQBwACAATgBhAG0AZQAAAAAAAABxDnmz9/uRSLjQoAXV94YH&#10;BwAAAJQVSlXwQGlGnN218otsg5BIAEgAIABwAGUAcgAgAFMAaABlAGwAdABlAHIA&#10;AAAAAAAAQPWySGdNRk6weNJXouzjSgcAAACUFUpV8EBpRpzdtfKLbIOQIwBvAGYA&#10;RgBhAG0AaQBsAHkAVABlAG4AdABQAGwAYQBuAG4AZQBkACgAVABhAHIAZwBlAHQA&#10;KQAAAAAAAABK7bmcN1o8Q79W/Pa9dmfmBwAAAJQVSlXwQGlGnN218otsg5AjAG8A&#10;ZgBGAGEAbQBpAGwAeQBUAGUAbgB0AEQAaQBzAHQAcgBpAGIAdQB0AGUAZAAAAAAA&#10;AAAQSbltWxJHSJHau6tl0ZaIBwAAAJQVSlXwQGlGnN218otsg5AjACAAbwBmACAA&#10;VABlAG0AcABvAHIAYQByAHkAIABTAGgAZQBsAHQAZQByACAAUABsAGEAbgBuAGUA&#10;ZAAgACgAVABhAHIAZwBlAHQAKQAAAAAAAAALG1NSIMkwRocRcF+XXBntBwAAAJQV&#10;SlXwQGlGnN218otsg5AjACAAbwBmACAAVABlAG0AcABvAHIAYQByAHkAIABTAGgA&#10;ZQBsAHQAZQByACAAQgB1AGkAbAB0AAAAAAAAAL+/bLsLvhNFkjMzu8gpGFIHAAAA&#10;lBVKVfBAaUac3bXyi2yDkCMAIABvAGYAIABUAGUAbQBwAG8AcgBhAHIAeQAgAFMA&#10;aABlAGwAdABlAHIAIABVAG4AZABlAHIAIABDAG8AbgBzAHQAcgB1AGMAdABpAG8A&#10;bgAAAAAAAABT1Gbp3vqhQI/dEoUdeVsqBwAAAJQVSlXwQGlGnN218otsg5AjACAA&#10;bwBmACAAUABlAHIAbQBhAG4AZQBuAHQAIABIAG8AdQBzAGUAIABQAGwAYQBuAG4A&#10;ZQBkACAAKABUAGEAcgBnAGUAdAApAAAAAAAAAHU3vTINkmFDg1MTYi6d+oQHAAAA&#10;lBVKVfBAaUac3bXyi2yDkCMAIABvAGYAIABQAGUAcgBtAGEAbgBlAG4AdAAgAEgA&#10;bwB1AHMAZQAgAEIAdQBpAGwAdAAAAAAAAACf+rP85cpbSJ8aicOv6D5cBwAAAJQV&#10;SlXwQGlGnN218otsg5AjAG8AZgBQAGUAcgBtAGEAbgBlAG4AdABIAG8AdQBzAGUA&#10;VQBuAGQAZQByAEMAbwBuAHMAdAByAHUAYwB0AGkAbwBuAAAAAAAAAKd0yEdNBv9A&#10;hLsYfE3jsWMHAAAAlBVKVfBAaUac3bXyi2yDkEgASAAgAEMAbwB2AGUAcgBlAGQA&#10;AAAAAAAAVzS5ArVQrUSjJR6wKULirAcAAACUFUpV8EBpRpzdtfKLbIOQSABIACAA&#10;QwBvAHYAZQByAGUAZAAgADIAAAAAAAAAE36AwT74j0O2VWICwPyFWAcAAACUFUpV&#10;8EBpRpzdtfKLbIOQUABjAG8AZABlAAAAAAAAAIfZpn6/REVOnZooY8AfjtwHAAAA&#10;lBVKVfBAaUac3bXyi2yDkFMAdABhAHQAdQBzAAAAAAAAAGHPr7eWVpxJtblh3qXx&#10;OOwHAAAAlBVKVfBAaUac3bXyi2yDkEMAbwB2AGUAcgBhAGcAZQAyAAAAAAAAAAAA&#10;AAAAAAAAAAAAAAAAAAAMAAAA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DateUpdated" minOccurs="0" od:jetType="datetime" od:sqlSType="datetime" type="xsd:dateTime">
              <xsd:annotation>
                <xsd:appinfo>
                  <od:fieldProperty name="Format" type="10" value="dd-mmm-yy"/>
                  <od:fieldProperty name="GUID" type="9" value="2AVlH+BPE069bavrOUXN0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xKryECWqNUyYwKzpS1eg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0gBuuLlRlEWTRGKb/FR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cHSid7FMoEiczZAKPOq8s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39z5JsTXt0SCSEXodMF4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5JFcW1iqM06pNqHy6DJvF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per_x0020_Shelter" minOccurs="0" od:jetType="double" od:sqlSType="float" type="xsd:double">
              <xsd:annotation>
                <xsd:appinfo>
                  <od:fieldProperty name="Format" type="10" value="General Number"/>
                  <od:fieldProperty name="GUID" type="9" value="cQ55s/f7kUi40KAF1feGB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text" od:sqlSType="nvarchar">
              <xsd:annotation>
                <xsd:appinfo>
                  <od:fieldProperty name="GUID" type="9" value="QPWySGdNRk6weNJXouzj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FamilyTentDistributed" minOccurs="0" od:jetType="text" od:sqlSType="nvarchar">
              <xsd:annotation>
                <xsd:appinfo>
                  <od:fieldProperty name="GUID" type="9" value="Su25nDdaPEO/Vvz2vXZn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_x0020_of_x0020_Temporary_x0020_Shelter_x0020_Planned_x0020__x0028_Target_x0029_" minOccurs="0" od:jetType="double" od:sqlSType="float" type="xsd:double">
              <xsd:annotation>
                <xsd:appinfo>
                  <od:fieldProperty name="GUID" type="9" value="EEm5bVsSR0iR2rurZdGWi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Built" minOccurs="0" od:jetType="double" od:sqlSType="float" type="xsd:double">
              <xsd:annotation>
                <xsd:appinfo>
                  <od:fieldProperty name="GUID" type="9" value="CxtTUiDJMEaHEXBfl1wZ7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Under_x0020_Construction" minOccurs="0" od:jetType="double" od:sqlSType="float" type="xsd:double">
              <xsd:annotation>
                <xsd:appinfo>
                  <od:fieldProperty name="GUID" type="9" value="v79suwu+E0WSMzO7yCkY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Planned_x0020__x0028_Target_x0029_" minOccurs="0" od:jetType="double" od:sqlSType="float" type="xsd:double">
              <xsd:annotation>
                <xsd:appinfo>
                  <od:fieldProperty name="GUID" type="9" value="U9Rm6d76oUCP3RKFHXlbK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Built" minOccurs="0" od:jetType="double" od:sqlSType="float" type="xsd:double">
              <xsd:annotation>
                <xsd:appinfo>
                  <od:fieldProperty name="GUID" type="9" value="dTe9Mg2SYUODUxNiLp36h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PermanentHouseUnderConstruction" minOccurs="0" od:jetType="text" od:sqlSType="nvarchar">
              <xsd:annotation>
                <xsd:appinfo>
                  <od:fieldProperty name="GUID" type="9" value="n/qz/OXKW0ifGonDr+g+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Covered" minOccurs="0" od:jetType="double" od:sqlSType="float" type="xsd:double">
              <xsd:annotation>
                <xsd:appinfo>
                  <od:fieldProperty name="Format" type="10" value="General Number"/>
                  <od:fieldProperty name="GUID" type="9" value="p3TIR00G/0CEuxh8TeOxY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_x0020_Covered_x0020_2" minOccurs="0" od:jetType="double" od:sqlSType="float" type="xsd:double">
              <xsd:annotation>
                <xsd:appinfo>
                  <od:fieldProperty name="Format" type="10" value="General Number"/>
                  <od:fieldProperty name="GUID" type="9" value="VzS5ArVQrUSjJR6wKULir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E36AwT74j0O2VWICwPyF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h9mmfr9ERU6dmihjwB+O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2" minOccurs="0" od:jetType="double" od:sqlSType="float" type="xsd:double">
              <xsd:annotation>
                <xsd:appinfo>
                  <od:fieldProperty name="Format" type="10" value="0%"/>
                  <od:fieldProperty name="GUID" type="9" value="Yc+vt5ZWnEm1uWHepfE47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Schema ID="Schema6">
    <xsd:schema xmlns:xsd="http://www.w3.org/2001/XMLSchema" xmlns:od="urn:schemas-microsoft-com:officedata" xmlns="">
      <xsd:element name="dataroot">
        <xsd:complexType>
          <xsd:sequence>
            <xsd:element ref="Data_Vulnerability_t" minOccurs="0" maxOccurs="unbounded"/>
          </xsd:sequence>
          <xsd:attribute name="generated" type="xsd:dateTime"/>
        </xsd:complexType>
      </xsd:element>
      <xsd:element name="Data_Vulnerability_t">
        <xsd:annotation>
          <xsd:appinfo>
            <od:tableProperty name="GUID" type="9" value="fIO7ekSFS0KuWei4yPabaQ==&#10;"/>
            <od:tableProperty name="Orientation" type="2" value="0"/>
            <od:tableProperty name="OrderByOn" type="1" value="0"/>
            <od:tableProperty name="NameMap" type="11" value="CswOVQAAAAB8g7t6RIVLQq5Z6LjI9ptpAAAAAC/vcLaujuRAAAAAAAAAAABWAHUA&#10;bABuAGUAcgBhAGIAaQBsAGkAdAB5ACAAcABlAHIAIABDAGEAbQBwAAAAAAAAACO3&#10;JzJVyoZEjkdG6g2hwo8HAAAAfIO7ekSFS0KuWei4yPabaVMAdABhAHQAZQAAAAAA&#10;AADPY4RxC3rtSorN/3urSIwHBwAAAHyDu3pEhUtCrlnouMj2m2lUAG8AdwBuAHMA&#10;aABpAHAAAAAAAAAATrMLIxq/FUepSUATtKBrRAcAAAB8g7t6RIVLQq5Z6LjI9ptp&#10;QwBhAG0AcAAgAE4AYQBtAGUAAAAAAAAAxeVq88Bp8E+fDbwKpVO6WwcAAAB8g7t6&#10;RIVLQq5Z6LjI9ptpUABjAG8AZABlAAAAAAAAALFCWAPLUKJGrK/xLZVwBVkHAAAA&#10;fIO7ekSFS0KuWei4yPabaVYAdQBsAG4AZQByAGEAYgBpAGwAaQB0AHkAAAAAAAAA&#10;71bn2vizbUu2IpUK5kjxygcAAAB8g7t6RIVLQq5Z6LjI9ptpVABvAHQAYQBsAAAA&#10;AAAAAPvO0KzFildPhUqpeZfC6UEHAAAAfIO7ekSFS0KuWei4yPabaVMAbwB1AHIA&#10;YwBlAAAAAAAAAEzYg9xnY+dFi+Tm1HOC/nYHAAAAfIO7ekSFS0KuWei4yPabaVUA&#10;cABkAGEAdABlAGQAIABkAGEAdABl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I7cnMlXKhkSOR0bqDaHC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z2OEcQt67UqKzf97q0iMB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TrMLIxq/FUepSUATtKBr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xeVq88Bp8E+fDbwKpVO6W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ulnerability" minOccurs="0" od:jetType="text" od:sqlSType="nvarchar">
              <xsd:annotation>
                <xsd:appinfo>
                  <od:fieldProperty name="Format" type="10" value="@"/>
                  <od:fieldProperty name="GUID" type="9" value="sUJYA8tQokasr/EtlXAF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General Number"/>
                  <od:fieldProperty name="GUID" type="9" value="71bn2vizbUu2IpUK5kjxy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87QrMWKV0+FSql5l8L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TNiD3Gdj50WL5ObUc4L+dg==&#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7">
    <xsd:schema xmlns:xsd="http://www.w3.org/2001/XMLSchema" xmlns:od="urn:schemas-microsoft-com:officedata" xmlns="">
      <xsd:element name="dataroot">
        <xsd:complexType>
          <xsd:sequence>
            <xsd:element ref="Data_CCCM_t" minOccurs="0" maxOccurs="unbounded"/>
          </xsd:sequence>
          <xsd:attribute name="generated" type="xsd:dateTime"/>
        </xsd:complexType>
      </xsd:element>
      <xsd:element name="Data_CCCM_t">
        <xsd:annotation>
          <xsd:appinfo>
            <od:tableProperty name="GUID" type="9" value="RtK4lZ8Voku/9mt95/7sgA==&#10;"/>
            <od:tableProperty name="Orientation" type="2" value="0"/>
            <od:tableProperty name="OrderByOn" type="1" value="0"/>
            <od:tableProperty name="NameMap" type="11" value="CswOVQAAAABG0riVnxWiS7/2a33n/uyAAAAAAOR4K9iujuRAAAAAAAAAAABDAGEA&#10;bQBwACAATABpAHMAdAAAAAAAAADzE5Lwvdi9QpucWnelMMkyBwAAAEbSuJWfFaJL&#10;v/Zrfef+7IBTAHQAYQB0AHUAcwAAAAAAAABX1ab7ux3JQ5DkPSurnv+kBwAAAEbS&#10;uJWfFaJLv/Zrfef+7IBTAHQAYQB0AGUAAAAAAAAAHtgsYsk//U2VXb4LyVQcHwcA&#10;AABG0riVnxWiS7/2a33n/uyAUwB0AGEAdABlAF8AUABjAG8AZABlAAAAAAAAAL0K&#10;DaQ7FNtCplSCHgy1fGsHAAAARtK4lZ8Voku/9mt95/7sgEQAaQBzAHQAcgBpAGMA&#10;dAAAAAAAAACsdohMQBe2R5TqIxC6Z2p8BwAAAEbSuJWfFaJLv/Zrfef+7IBEAGkA&#10;cwB0AHIAaQBjAHQAXwBQAGMAbwBkAGUAAAAAAAAAZPT5wZZickOecDzZzEAmjAcA&#10;AABG0riVnxWiS7/2a33n/uyAVABPAFcATgBTAEgASQBQAF8ATgBBAE0ARQAAAAAA&#10;AACrX3wsMhuwS4QLdjawRfcGBwAAAEbSuJWfFaJLv/Zrfef+7IBUAG8AdwBuAHMA&#10;aABpAHAAXwBQAGMAbwBkAGUAAAAAAAAAY3jmw0Vl/0KoOWrwCRUlWQcAAABG0riV&#10;nxWiS7/2a33n/uyAVgBpAGwAbABhAGcAZQBUAHIAYQBjAEsAVABvAHcAbgBfAE4A&#10;YQBtAGUAAAAAAAAAYpFI7nvrDkyOWcaCaC9xRwcAAABG0riVnxWiS7/2a33n/uyA&#10;VgBpAGwAbABhAGcAZQBUAHIAYQBjAGsAVABvAHcAbgBfAFAAYwBvAGQAZQAAAAAA&#10;AAD5JkPmqPjfT5YhhnJfKWG3BwAAAEbSuJWfFaJLv/Zrfef+7IBWAGkAbABsAGEA&#10;ZwBlAFcAYQByAGQAXwBOAGEAbQBlAAAAAAAAAFPx3eT/UgpKoV/8ztaE7FcHAAAA&#10;RtK4lZ8Voku/9mt95/7sgFYAaQBsAGwAYQBnAGUAVwBhAHIAZABfAFAAYwBvAGQA&#10;ZQAAAAAAAACBVSoBSkZrTIoz7H2HARmvBwAAAEbSuJWfFaJLv/Zrfef+7IBDAGEA&#10;bQBwACAATgBhAG0AZQAAAAAAAABe/g2MWw+0TKskPGLOglm5BwAAAEbSuJWfFaJL&#10;v/Zrfef+7IBQAF8AQwBvAGQAZQAAAAAAAABImTyPuzgdSb69/cH5TwSKBwAAAEbS&#10;uJWfFaJLv/Zrfef+7IBMAG8AbgBnAGkAdAB1AGQAZQAAAAAAAACIiwdEEfMuTb0t&#10;fxQPQTt1BwAAAEbSuJWfFaJLv/Zrfef+7IBMAGEAdABpAHQAdQBkAGUAAAAAAAAA&#10;r/p98iUNJ0mS128nfNz0OgcAAABG0riVnxWiS7/2a33n/uyAQQBsAHQAaQB0AHUA&#10;ZABlAAAAAAAAADtId4888L1GrgWt8g0bAuIHAAAARtK4lZ8Voku/9mt95/7sgEgA&#10;SAAAAAAAAACyE+hy96t5QbHXV4MF+zHwBwAAAEbSuJWfFaJLv/Zrfef+7IBUAG8A&#10;dABhAGwAAAAAAAAAp87p3ZqXhUON4TzFMhYYMgcAAABG0riVnxWiS7/2a33n/uyA&#10;QQB2AGcAAAAAAAAAxVE5kHzS3keZCE+6yFw6BAcAAABG0riVnxWiS7/2a33n/uyA&#10;QQBjAGMAZQBzAHMAaQBiAGkAbABpAHQAeQAAAAAAAACtipacZuu7T4iNwr/BBdzf&#10;BwAAAEbSuJWfFaJLv/Zrfef+7IBBAGYAZgBlAGMAdABlAGQAIABwAG8AcAB1AGwA&#10;YQB0AGkAbwBuAAAAAAAAAD/65NHZRxhCm0Rcy7Bv4fsHAAAARtK4lZ8Voku/9mt9&#10;5/7sgFQAeQBwAGUAIABvAGYAIABBAGMAYwBvAG0AbwBkAGEAdABpAG8AbgAAAAAA&#10;AAAdxPS+WlxMQI+lqgBuKzGLBwAAAEbSuJWfFaJLv/Zrfef+7IBJAHMAbwBsAGEA&#10;dABlAGQAIABMAG8AYwBhAHQAaQBvAG4AAAAAAAAAhD1ppRgHFU6fU67oJNzQIAcA&#10;AABG0riVnxWiS7/2a33n/uyATwBwAGUAbgBpAG4AZwAgAEQAYQB0AGUAAAAAAAAA&#10;nnYGlRJsL0iZF89DSbrQQQcAAABG0riVnxWiS7/2a33n/uyARQB0AGgAbgBpAGMA&#10;aQB0AHkAAAAAAAAAHbM6VzR2nUaNeRW8Ue09ywcAAABG0riVnxWiS7/2a33n/uyA&#10;UgBlAGwAaQBnAGkAbwBuAAAAAAAAAFjYXaXiTJ9Gl/8dB4WzUVEHAAAARtK4lZ8V&#10;oku/9mt95/7sgFQAeQBwAGUAIABvAGYAIABQAG8AcAB1AGwAYQB0AGkAbwBuAAAA&#10;AAAAALAnvQmymwNLiHo8KI/VhlEHAAAARtK4lZ8Voku/9mt95/7sgEMATQAvAEYA&#10;UAAAAAAAAAD31qfJGGZxQ58K9rjLAYO8BwAAAEbSuJWfFaJLv/Zrfef+7IBSAGUA&#10;cwBwAG8AbgBzAGkAYgBsAGUAIABBAGcAZQBuAGMAeQAAAAAAAABQsWccltDLQoBq&#10;Fm4TuPWOBwAAAEbSuJWfFaJLv/Zrfef+7IBTAG8AdQByAGMAZQAAAAAAAACUSeAA&#10;6VrmSq9WxHqhE1WSBwAAAEbSuJWfFaJLv/Zrfef+7IBNAGUAdABoAG8AZAAAAAAA&#10;AABs87iTUI6AQoHtMu3iErBrBwAAAEbSuJWfFaJLv/Zrfef+7IBVAHAAZABhAHQA&#10;ZQAgAEQAYQB0AGUAAAAAAAAAp3XGGrG2UkmjpiQUUK+KAAcAAABG0riVnxWiS7/2&#10;a33n/uyAQwBvAG0AbQBlAG4AdAAAAAAAAAA6UrG1WABeSZiwPVUgUNe4BwAAAEbS&#10;uJWfFaJLv/Zrfef+7IBDAG8AbgB0AGEAYwB0AAAAAAAAAK4ulGQ3hQdCswhgTC84&#10;Gh4HAAAARtK4lZ8Voku/9mt95/7sgHMAaABlAGwAdABlAHIAXwBjAG8AdgBlAHIA&#10;YQBnAGUAAAAAAAAAAAAAAAAAAAAAAAAAAAAAAAwAAAAFAAAAAAAAAAAAAAAAAAAA&#10;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8xOS8L3YvUKbnFp3pTDJM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V9Wm+7sdyUOQ5D0rq57/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_Pcode" minOccurs="0" od:jetType="text" od:sqlSType="nvarchar">
              <xsd:annotation>
                <xsd:appinfo>
                  <od:fieldProperty name="Format" type="10" value="@"/>
                  <od:fieldProperty name="GUID" type="9" value="HtgsYsk//U2VXb4LyVQc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vQoNpDsU20KmVIIeDLV8a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_Pcode" minOccurs="0" od:jetType="text" od:sqlSType="nvarchar">
              <xsd:annotation>
                <xsd:appinfo>
                  <od:fieldProperty name="Format" type="10" value="@"/>
                  <od:fieldProperty name="GUID" type="9" value="rHaITEAXtkeU6iMQumdqf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NAME" minOccurs="0" od:jetType="text" od:sqlSType="nvarchar">
              <xsd:annotation>
                <xsd:appinfo>
                  <od:fieldProperty name="Format" type="10" value="@"/>
                  <od:fieldProperty name="GUID" type="9" value="ZPT5wZZickOecDzZzEAmj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Pcode" minOccurs="0" od:jetType="text" od:sqlSType="nvarchar">
              <xsd:annotation>
                <xsd:appinfo>
                  <od:fieldProperty name="Format" type="10" value="@"/>
                  <od:fieldProperty name="GUID" type="9" value="q198LDIbsEuEC3Y2sEX3B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Name" minOccurs="0" od:jetType="text" od:sqlSType="nvarchar">
              <xsd:annotation>
                <xsd:appinfo>
                  <od:fieldProperty name="Format" type="10" value="@"/>
                  <od:fieldProperty name="GUID" type="9" value="Y3jmw0Vl/0KoOWrwCRUl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Pcode" minOccurs="0" od:jetType="text" od:sqlSType="nvarchar">
              <xsd:annotation>
                <xsd:appinfo>
                  <od:fieldProperty name="Format" type="10" value="@"/>
                  <od:fieldProperty name="GUID" type="9" value="YpFI7nvrDkyOWcaCaC9x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SZD5qj430+WIYZyXylh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Pcode" minOccurs="0" od:jetType="text" od:sqlSType="nvarchar">
              <xsd:annotation>
                <xsd:appinfo>
                  <od:fieldProperty name="Format" type="10" value="@"/>
                  <od:fieldProperty name="GUID" type="9" value="U/Hd5P9SCkqhX/zO1oTsV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gVUqAUpGa0yKM+x9hwEZ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_Code" minOccurs="0" od:jetType="text" od:sqlSType="nvarchar">
              <xsd:annotation>
                <xsd:appinfo>
                  <od:fieldProperty name="Format" type="10" value="@"/>
                  <od:fieldProperty name="GUID" type="9" value="Xv4NjFsPtEyrJDxizoJZ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SJk8j7s4HUm+vf3B+U8Ei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iIsHRBHzLk29LX8UD0E7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text" od:sqlSType="nvarchar">
              <xsd:annotation>
                <xsd:appinfo>
                  <od:fieldProperty name="Format" type="10" value="@"/>
                  <od:fieldProperty name="GUID" type="9" value="r/p98iUNJ0mS128nfNz0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 minOccurs="0" od:jetType="double" od:sqlSType="float" type="xsd:double">
              <xsd:annotation>
                <xsd:appinfo>
                  <od:fieldProperty name="Format" type="10" value="0"/>
                  <od:fieldProperty name="GUID" type="9" value="O0h3jzzwvUauBa3yDRsC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0"/>
                  <od:fieldProperty name="GUID" type="9" value="shPocvereUGx11eDBfsx8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double" od:sqlSType="float" type="xsd:double">
              <xsd:annotation>
                <xsd:appinfo>
                  <od:fieldProperty name="Format" type="10" value="0.0"/>
                  <od:fieldProperty name="GUID" type="9" value="p87p3ZqXhUON4TzFMhYYM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ccessibility" minOccurs="0" od:jetType="text" od:sqlSType="nvarchar">
              <xsd:annotation>
                <xsd:appinfo>
                  <od:fieldProperty name="Format" type="10" value="@"/>
                  <od:fieldProperty name="GUID" type="9" value="xVE5kHzS3keZCE+6yFw6B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YqWnGbru0+IjcK/wQXc3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P/rk0dlHGEKbRFzLsG/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solated_x0020_Location" minOccurs="0" od:jetType="text" od:sqlSType="nvarchar">
              <xsd:annotation>
                <xsd:appinfo>
                  <od:fieldProperty name="Format" type="10" value="@"/>
                  <od:fieldProperty name="GUID" type="9" value="HcT0vlpcTECPpaoAbisxi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text" od:sqlSType="nvarchar">
              <xsd:annotation>
                <xsd:appinfo>
                  <od:fieldProperty name="Format" type="10" value="@"/>
                  <od:fieldProperty name="GUID" type="9" value="hD1ppRgHFU6fU67oJNzQ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Ethnicity" minOccurs="0" od:jetType="text" od:sqlSType="nvarchar">
              <xsd:annotation>
                <xsd:appinfo>
                  <od:fieldProperty name="Format" type="10" value="@"/>
                  <od:fieldProperty name="GUID" type="9" value="nnYGlRJsL0iZF89DSbrQ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ligion" minOccurs="0" od:jetType="text" od:sqlSType="nvarchar">
              <xsd:annotation>
                <xsd:appinfo>
                  <od:fieldProperty name="Format" type="10" value="@"/>
                  <od:fieldProperty name="GUID" type="9" value="HbM6VzR2nUaNeRW8Ue09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Population" minOccurs="0" od:jetType="text" od:sqlSType="nvarchar">
              <xsd:annotation>
                <xsd:appinfo>
                  <od:fieldProperty name="Format" type="10" value="@"/>
                  <od:fieldProperty name="GUID" type="9" value="WNhdpeJMn0aX/x0HhbNR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M_x002F_FP" minOccurs="0" od:jetType="text" od:sqlSType="nvarchar">
              <xsd:annotation>
                <xsd:appinfo>
                  <od:fieldProperty name="Format" type="10" value="@"/>
                  <od:fieldProperty name="GUID" type="9" value="sCe9CbKbA0uIejwoj9WG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sponsible_x0020_Agency" minOccurs="0" od:jetType="text" od:sqlSType="nvarchar">
              <xsd:annotation>
                <xsd:appinfo>
                  <od:fieldProperty name="Format" type="10" value="@"/>
                  <od:fieldProperty name="GUID" type="9" value="99anyRhmcUOfCva4ywGD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ULFnHJbQy0KAahZuE7j1j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lEngAOla5kqvVsR6oRNV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PO4k1COgEKB7TLt4hKwa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p3XGGrG2UkmjpiQUUK+K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ntact" minOccurs="0" od:jetType="double" od:sqlSType="float" type="xsd:double">
              <xsd:annotation>
                <xsd:appinfo>
                  <od:fieldProperty name="Format" type="10" value="General Number"/>
                  <od:fieldProperty name="GUID" type="9" value="OlKxtVgAXkmYsD1VIFDXu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helter_coverage" minOccurs="0" od:jetType="double" od:sqlSType="float" type="xsd:double">
              <xsd:annotation>
                <xsd:appinfo>
                  <od:fieldProperty name="Format" type="10" value="0%"/>
                  <od:fieldProperty name="GUID" type="9" value="ri6UZDeFB0KzCGBMLzga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Map ID="8" Name="Data_CCCM_Map" RootElement="dataroot" SchemaID="Schema7" ShowImportExportValidationErrors="false" AutoFit="true" Append="false" PreserveSortAFLayout="true" PreserveFormat="true"/>
  <Map ID="2" Name="Data_Demography_Map" RootElement="dataroot" SchemaID="Schema2" ShowImportExportValidationErrors="false" AutoFit="true" Append="false" PreserveSortAFLayout="true" PreserveFormat="true"/>
  <Map ID="3" Name="Data_Infrastructure_Map" RootElement="dataroot" SchemaID="Schema3" ShowImportExportValidationErrors="false" AutoFit="true" Append="false" PreserveSortAFLayout="true" PreserveFormat="true"/>
  <Map ID="4" Name="Data_NFI_Map" RootElement="dataroot" SchemaID="Schema4" ShowImportExportValidationErrors="false" AutoFit="true" Append="false" PreserveSortAFLayout="true" PreserveFormat="true"/>
  <Map ID="5" Name="Data_Shelter_Map" RootElement="dataroot" SchemaID="Schema5" ShowImportExportValidationErrors="false" AutoFit="true" Append="false" PreserveSortAFLayout="true" PreserveFormat="true"/>
  <Map ID="6" Name="Data_Vulnerability_Map" RootElement="dataroot" SchemaID="Schema6"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7/relationships/slicerCache" Target="slicerCaches/slicerCache2.xml"/><Relationship Id="rId21" Type="http://schemas.openxmlformats.org/officeDocument/2006/relationships/worksheet" Target="worksheets/sheet21.xml"/><Relationship Id="rId34" Type="http://schemas.openxmlformats.org/officeDocument/2006/relationships/pivotCacheDefinition" Target="pivotCache/pivotCacheDefinition4.xml"/><Relationship Id="rId42" Type="http://schemas.openxmlformats.org/officeDocument/2006/relationships/sharedStrings" Target="sharedStrings.xml"/><Relationship Id="rId47" Type="http://schemas.openxmlformats.org/officeDocument/2006/relationships/customXml" Target="../customXml/item4.xml"/><Relationship Id="rId50" Type="http://schemas.openxmlformats.org/officeDocument/2006/relationships/customXml" Target="../customXml/item7.xml"/><Relationship Id="rId55" Type="http://schemas.openxmlformats.org/officeDocument/2006/relationships/customXml" Target="../customXml/item1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3.xml"/><Relationship Id="rId38" Type="http://schemas.microsoft.com/office/2007/relationships/slicerCache" Target="slicerCaches/slicerCache1.xml"/><Relationship Id="rId46" Type="http://schemas.openxmlformats.org/officeDocument/2006/relationships/customXml" Target="../customXml/item3.xml"/><Relationship Id="rId59"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54" Type="http://schemas.openxmlformats.org/officeDocument/2006/relationships/customXml" Target="../customXml/item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2.xml"/><Relationship Id="rId37" Type="http://schemas.openxmlformats.org/officeDocument/2006/relationships/pivotCacheDefinition" Target="pivotCache/pivotCacheDefinition7.xml"/><Relationship Id="rId40" Type="http://schemas.openxmlformats.org/officeDocument/2006/relationships/theme" Target="theme/theme1.xml"/><Relationship Id="rId45" Type="http://schemas.openxmlformats.org/officeDocument/2006/relationships/customXml" Target="../customXml/item2.xml"/><Relationship Id="rId53" Type="http://schemas.openxmlformats.org/officeDocument/2006/relationships/customXml" Target="../customXml/item10.xml"/><Relationship Id="rId58" Type="http://schemas.openxmlformats.org/officeDocument/2006/relationships/customXml" Target="../customXml/item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6.xml"/><Relationship Id="rId49" Type="http://schemas.openxmlformats.org/officeDocument/2006/relationships/customXml" Target="../customXml/item6.xml"/><Relationship Id="rId57" Type="http://schemas.openxmlformats.org/officeDocument/2006/relationships/customXml" Target="../customXml/item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4" Type="http://schemas.openxmlformats.org/officeDocument/2006/relationships/customXml" Target="../customXml/item1.xml"/><Relationship Id="rId52" Type="http://schemas.openxmlformats.org/officeDocument/2006/relationships/customXml" Target="../customXml/item9.xml"/><Relationship Id="rId60"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5.xml"/><Relationship Id="rId43" Type="http://schemas.openxmlformats.org/officeDocument/2006/relationships/calcChain" Target="calcChain.xml"/><Relationship Id="rId48" Type="http://schemas.openxmlformats.org/officeDocument/2006/relationships/customXml" Target="../customXml/item5.xml"/><Relationship Id="rId56" Type="http://schemas.openxmlformats.org/officeDocument/2006/relationships/customXml" Target="../customXml/item13.xml"/><Relationship Id="rId8" Type="http://schemas.openxmlformats.org/officeDocument/2006/relationships/worksheet" Target="worksheets/sheet8.xml"/><Relationship Id="rId51" Type="http://schemas.openxmlformats.org/officeDocument/2006/relationships/customXml" Target="../customXml/item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4.xml"/><Relationship Id="rId1" Type="http://schemas.microsoft.com/office/2011/relationships/chartStyle" Target="style4.xml"/></Relationships>
</file>

<file path=xl/charts/_rels/chart2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[3._shelter-nfi-cccm_rakhine_cluster_analysis_report_31_march_2018.xlsx]Camp Analysis!PivotTable5</c:name>
    <c:fmtId val="6"/>
  </c:pivotSource>
  <c:chart>
    <c:title>
      <c:tx>
        <c:rich>
          <a:bodyPr/>
          <a:lstStyle/>
          <a:p>
            <a:pPr>
              <a:defRPr/>
            </a:pPr>
            <a:r>
              <a:rPr lang="en-US"/>
              <a:t>Population group</a:t>
            </a:r>
          </a:p>
        </c:rich>
      </c:tx>
      <c:layout>
        <c:manualLayout>
          <c:xMode val="edge"/>
          <c:yMode val="edge"/>
          <c:x val="0.46207410356830675"/>
          <c:y val="0.82305445621930839"/>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view3D>
      <c:rotX val="15"/>
      <c:rotY val="20"/>
      <c:rAngAx val="1"/>
    </c:view3D>
    <c:floor>
      <c:thickness val="0"/>
    </c:floor>
    <c:sideWall>
      <c:thickness val="0"/>
    </c:sideWall>
    <c:backWall>
      <c:thickness val="0"/>
    </c:backWall>
    <c:plotArea>
      <c:layout/>
      <c:bar3DChart>
        <c:barDir val="bar"/>
        <c:grouping val="percentStacked"/>
        <c:varyColors val="0"/>
        <c:ser>
          <c:idx val="0"/>
          <c:order val="0"/>
          <c:tx>
            <c:strRef>
              <c:f>'Camp Analysis'!$B$52:$B$53</c:f>
              <c:strCache>
                <c:ptCount val="1"/>
                <c:pt idx="0">
                  <c:v>Kaman-Muslim</c:v>
                </c:pt>
              </c:strCache>
            </c:strRef>
          </c:tx>
          <c:invertIfNegative val="0"/>
          <c:cat>
            <c:strRef>
              <c:f>'Camp Analysis'!$A$54</c:f>
              <c:strCache>
                <c:ptCount val="1"/>
                <c:pt idx="0">
                  <c:v>Total</c:v>
                </c:pt>
              </c:strCache>
            </c:strRef>
          </c:cat>
          <c:val>
            <c:numRef>
              <c:f>'Camp Analysis'!$B$54</c:f>
              <c:numCache>
                <c:formatCode>General</c:formatCode>
                <c:ptCount val="1"/>
                <c:pt idx="0">
                  <c:v>2845</c:v>
                </c:pt>
              </c:numCache>
            </c:numRef>
          </c:val>
        </c:ser>
        <c:ser>
          <c:idx val="1"/>
          <c:order val="1"/>
          <c:tx>
            <c:strRef>
              <c:f>'Camp Analysis'!$C$52:$C$53</c:f>
              <c:strCache>
                <c:ptCount val="1"/>
                <c:pt idx="0">
                  <c:v>-Muslim</c:v>
                </c:pt>
              </c:strCache>
            </c:strRef>
          </c:tx>
          <c:invertIfNegative val="0"/>
          <c:cat>
            <c:strRef>
              <c:f>'Camp Analysis'!$A$54</c:f>
              <c:strCache>
                <c:ptCount val="1"/>
                <c:pt idx="0">
                  <c:v>Total</c:v>
                </c:pt>
              </c:strCache>
            </c:strRef>
          </c:cat>
          <c:val>
            <c:numRef>
              <c:f>'Camp Analysis'!$C$54</c:f>
              <c:numCache>
                <c:formatCode>General</c:formatCode>
                <c:ptCount val="1"/>
                <c:pt idx="0">
                  <c:v>124729</c:v>
                </c:pt>
              </c:numCache>
            </c:numRef>
          </c:val>
        </c:ser>
        <c:dLbls>
          <c:showLegendKey val="0"/>
          <c:showVal val="0"/>
          <c:showCatName val="0"/>
          <c:showSerName val="0"/>
          <c:showPercent val="0"/>
          <c:showBubbleSize val="0"/>
        </c:dLbls>
        <c:gapWidth val="150"/>
        <c:shape val="box"/>
        <c:axId val="411199888"/>
        <c:axId val="411200280"/>
        <c:axId val="0"/>
      </c:bar3DChart>
      <c:catAx>
        <c:axId val="411199888"/>
        <c:scaling>
          <c:orientation val="minMax"/>
        </c:scaling>
        <c:delete val="0"/>
        <c:axPos val="l"/>
        <c:numFmt formatCode="General" sourceLinked="0"/>
        <c:majorTickMark val="out"/>
        <c:minorTickMark val="none"/>
        <c:tickLblPos val="nextTo"/>
        <c:crossAx val="411200280"/>
        <c:crosses val="autoZero"/>
        <c:auto val="1"/>
        <c:lblAlgn val="ctr"/>
        <c:lblOffset val="100"/>
        <c:noMultiLvlLbl val="0"/>
      </c:catAx>
      <c:valAx>
        <c:axId val="411200280"/>
        <c:scaling>
          <c:orientation val="minMax"/>
          <c:min val="0"/>
        </c:scaling>
        <c:delete val="0"/>
        <c:axPos val="b"/>
        <c:majorGridlines/>
        <c:numFmt formatCode="0%" sourceLinked="1"/>
        <c:majorTickMark val="out"/>
        <c:minorTickMark val="none"/>
        <c:tickLblPos val="nextTo"/>
        <c:crossAx val="4111998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Sheet2!$A$5:$A$8</c:f>
              <c:strCache>
                <c:ptCount val="4"/>
                <c:pt idx="0">
                  <c:v>Planned Camps</c:v>
                </c:pt>
                <c:pt idx="1">
                  <c:v>Self-Settled Camps</c:v>
                </c:pt>
                <c:pt idx="2">
                  <c:v>Host Community</c:v>
                </c:pt>
                <c:pt idx="3">
                  <c:v>Individual House</c:v>
                </c:pt>
              </c:strCache>
            </c:strRef>
          </c:cat>
          <c:val>
            <c:numRef>
              <c:f>Sheet2!$B$5:$B$8</c:f>
              <c:numCache>
                <c:formatCode>_-* #,##0_-;\-* #,##0_-;_-* "-"??_-;_-@_-</c:formatCode>
                <c:ptCount val="4"/>
                <c:pt idx="0">
                  <c:v>103268</c:v>
                </c:pt>
                <c:pt idx="1">
                  <c:v>13595</c:v>
                </c:pt>
                <c:pt idx="2">
                  <c:v>6119</c:v>
                </c:pt>
                <c:pt idx="3">
                  <c:v>4592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[3._shelter-nfi-cccm_rakhine_cluster_analysis_report_31_march_2018.xlsx]Camp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Rakhine State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overlay val="0"/>
    </c:title>
    <c:autoTitleDeleted val="0"/>
    <c:pivotFmts>
      <c:pivotFmt>
        <c:idx val="0"/>
      </c:pivotFmt>
      <c:pivotFmt>
        <c:idx val="1"/>
      </c:pivotFmt>
      <c:pivotFmt>
        <c:idx val="2"/>
      </c:pivotFmt>
      <c:pivotFmt>
        <c:idx val="3"/>
        <c:marker>
          <c:symbol val="none"/>
        </c:marker>
      </c:pivotFmt>
    </c:pivotFmts>
    <c:plotArea>
      <c:layout/>
      <c:barChart>
        <c:barDir val="bar"/>
        <c:grouping val="clustered"/>
        <c:varyColors val="0"/>
        <c:ser>
          <c:idx val="0"/>
          <c:order val="0"/>
          <c:tx>
            <c:strRef>
              <c:f>'Camp Analysis'!$N$11</c:f>
              <c:strCache>
                <c:ptCount val="1"/>
                <c:pt idx="0">
                  <c:v>Total</c:v>
                </c:pt>
              </c:strCache>
            </c:strRef>
          </c:tx>
          <c:invertIfNegative val="0"/>
          <c:cat>
            <c:strRef>
              <c:f>'Camp Analysis'!$M$12:$M$23</c:f>
              <c:strCache>
                <c:ptCount val="11"/>
                <c:pt idx="0">
                  <c:v>Sittwe</c:v>
                </c:pt>
                <c:pt idx="1">
                  <c:v>Pauktaw</c:v>
                </c:pt>
                <c:pt idx="2">
                  <c:v>Kyauktaw</c:v>
                </c:pt>
                <c:pt idx="3">
                  <c:v>Minbya</c:v>
                </c:pt>
                <c:pt idx="4">
                  <c:v>Mrauk-U</c:v>
                </c:pt>
                <c:pt idx="5">
                  <c:v>Myebon</c:v>
                </c:pt>
                <c:pt idx="6">
                  <c:v>Kyaukpyu</c:v>
                </c:pt>
                <c:pt idx="7">
                  <c:v>Rathedaung</c:v>
                </c:pt>
                <c:pt idx="8">
                  <c:v>Maungdaw</c:v>
                </c:pt>
                <c:pt idx="9">
                  <c:v>(blank)</c:v>
                </c:pt>
                <c:pt idx="10">
                  <c:v>Ramree</c:v>
                </c:pt>
              </c:strCache>
            </c:strRef>
          </c:cat>
          <c:val>
            <c:numRef>
              <c:f>'Camp Analysis'!$N$12:$N$23</c:f>
              <c:numCache>
                <c:formatCode>General</c:formatCode>
                <c:ptCount val="11"/>
                <c:pt idx="0">
                  <c:v>106145</c:v>
                </c:pt>
                <c:pt idx="1">
                  <c:v>21947</c:v>
                </c:pt>
                <c:pt idx="2">
                  <c:v>6527</c:v>
                </c:pt>
                <c:pt idx="3">
                  <c:v>5638</c:v>
                </c:pt>
                <c:pt idx="4">
                  <c:v>3826</c:v>
                </c:pt>
                <c:pt idx="5">
                  <c:v>2810</c:v>
                </c:pt>
                <c:pt idx="6">
                  <c:v>1377</c:v>
                </c:pt>
                <c:pt idx="7">
                  <c:v>489</c:v>
                </c:pt>
                <c:pt idx="8">
                  <c:v>109</c:v>
                </c:pt>
              </c:numCache>
            </c:numRef>
          </c:val>
        </c:ser>
        <c:dLbls>
          <c:showLegendKey val="0"/>
          <c:showVal val="0"/>
          <c:showCatName val="0"/>
          <c:showSerName val="0"/>
          <c:showPercent val="0"/>
          <c:showBubbleSize val="0"/>
        </c:dLbls>
        <c:gapWidth val="150"/>
        <c:axId val="416624304"/>
        <c:axId val="416624696"/>
      </c:barChart>
      <c:catAx>
        <c:axId val="416624304"/>
        <c:scaling>
          <c:orientation val="minMax"/>
        </c:scaling>
        <c:delete val="0"/>
        <c:axPos val="l"/>
        <c:numFmt formatCode="General" sourceLinked="0"/>
        <c:majorTickMark val="out"/>
        <c:minorTickMark val="none"/>
        <c:tickLblPos val="nextTo"/>
        <c:txPr>
          <a:bodyPr/>
          <a:lstStyle/>
          <a:p>
            <a:pPr>
              <a:defRPr sz="1050"/>
            </a:pPr>
            <a:endParaRPr lang="en-US"/>
          </a:p>
        </c:txPr>
        <c:crossAx val="416624696"/>
        <c:crosses val="autoZero"/>
        <c:auto val="1"/>
        <c:lblAlgn val="ctr"/>
        <c:lblOffset val="100"/>
        <c:noMultiLvlLbl val="0"/>
      </c:catAx>
      <c:valAx>
        <c:axId val="416624696"/>
        <c:scaling>
          <c:orientation val="minMax"/>
          <c:max val="100000"/>
        </c:scaling>
        <c:delete val="0"/>
        <c:axPos val="b"/>
        <c:majorGridlines/>
        <c:numFmt formatCode="General" sourceLinked="1"/>
        <c:majorTickMark val="out"/>
        <c:minorTickMark val="none"/>
        <c:tickLblPos val="nextTo"/>
        <c:crossAx val="416624304"/>
        <c:crosses val="autoZero"/>
        <c:crossBetween val="between"/>
        <c:dispUnits>
          <c:builtInUnit val="thousands"/>
          <c:dispUnitsLbl/>
        </c:dispUnits>
      </c:valAx>
      <c:spPr>
        <a:ln w="9525" cmpd="sng"/>
      </c:spPr>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[3._shelter-nfi-cccm_rakhine_cluster_analysis_report_31_march_2018.xlsx]Camp Analysis!PivotTable14</c:name>
    <c:fmtId val="11"/>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s>
    <c:plotArea>
      <c:layout/>
      <c:barChart>
        <c:barDir val="bar"/>
        <c:grouping val="stacked"/>
        <c:varyColors val="0"/>
        <c:ser>
          <c:idx val="0"/>
          <c:order val="0"/>
          <c:tx>
            <c:strRef>
              <c:f>'Camp Analysis'!$B$186:$B$187</c:f>
              <c:strCache>
                <c:ptCount val="1"/>
                <c:pt idx="0">
                  <c:v>Host Families</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2606</c:v>
                </c:pt>
                <c:pt idx="2">
                  <c:v>17233</c:v>
                </c:pt>
                <c:pt idx="3">
                  <c:v>82379</c:v>
                </c:pt>
                <c:pt idx="4">
                  <c:v>1050</c:v>
                </c:pt>
              </c:numCache>
            </c:numRef>
          </c:val>
        </c:ser>
        <c:ser>
          <c:idx val="2"/>
          <c:order val="2"/>
          <c:tx>
            <c:strRef>
              <c:f>'Camp Analysis'!$D$186:$D$187</c:f>
              <c:strCache>
                <c:ptCount val="1"/>
                <c:pt idx="0">
                  <c:v>Self Settled Camp</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13049</c:v>
                </c:pt>
              </c:numCache>
            </c:numRef>
          </c:val>
        </c:ser>
        <c:ser>
          <c:idx val="3"/>
          <c:order val="3"/>
          <c:tx>
            <c:strRef>
              <c:f>'Camp Analysis'!$E$186:$E$187</c:f>
              <c:strCache>
                <c:ptCount val="1"/>
                <c:pt idx="0">
                  <c:v>Individual House</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4592</c:v>
                </c:pt>
              </c:numCache>
            </c:numRef>
          </c:val>
        </c:ser>
        <c:dLbls>
          <c:showLegendKey val="0"/>
          <c:showVal val="0"/>
          <c:showCatName val="0"/>
          <c:showSerName val="0"/>
          <c:showPercent val="0"/>
          <c:showBubbleSize val="0"/>
        </c:dLbls>
        <c:gapWidth val="150"/>
        <c:overlap val="100"/>
        <c:axId val="416095760"/>
        <c:axId val="416095368"/>
      </c:barChart>
      <c:catAx>
        <c:axId val="416095760"/>
        <c:scaling>
          <c:orientation val="minMax"/>
        </c:scaling>
        <c:delete val="0"/>
        <c:axPos val="l"/>
        <c:numFmt formatCode="General" sourceLinked="0"/>
        <c:majorTickMark val="out"/>
        <c:minorTickMark val="none"/>
        <c:tickLblPos val="nextTo"/>
        <c:crossAx val="416095368"/>
        <c:crosses val="autoZero"/>
        <c:auto val="1"/>
        <c:lblAlgn val="ctr"/>
        <c:lblOffset val="100"/>
        <c:noMultiLvlLbl val="0"/>
      </c:catAx>
      <c:valAx>
        <c:axId val="416095368"/>
        <c:scaling>
          <c:orientation val="minMax"/>
        </c:scaling>
        <c:delete val="0"/>
        <c:axPos val="b"/>
        <c:majorGridlines/>
        <c:numFmt formatCode="General" sourceLinked="1"/>
        <c:majorTickMark val="out"/>
        <c:minorTickMark val="none"/>
        <c:tickLblPos val="nextTo"/>
        <c:crossAx val="4160957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[3._shelter-nfi-cccm_rakhine_cluster_analysis_report_31_march_2018.xlsx]Age-Sex Breakdown per Camp!PivotTable2</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rgbClr val="FD2361"/>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tx2">
              <a:lumMod val="60000"/>
              <a:lumOff val="40000"/>
            </a:schemeClr>
          </a:solidFill>
        </c:spPr>
        <c:marker>
          <c:symbol val="none"/>
        </c:marker>
        <c:dLbl>
          <c:idx val="0"/>
          <c:delete val="1"/>
          <c:extLst>
            <c:ext xmlns:c15="http://schemas.microsoft.com/office/drawing/2012/chart" uri="{CE6537A1-D6FC-4f65-9D91-7224C49458BB}"/>
          </c:extLst>
        </c:dLbl>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dLbl>
          <c:idx val="0"/>
          <c:layout>
            <c:manualLayout>
              <c:x val="-0.17573622066131672"/>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7"/>
        <c:dLbl>
          <c:idx val="0"/>
          <c:layout>
            <c:manualLayout>
              <c:x val="-5.2560734986089666E-2"/>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8"/>
        <c:dLbl>
          <c:idx val="0"/>
          <c:layout>
            <c:manualLayout>
              <c:x val="-0.12307370503111077"/>
              <c:y val="8.6184797512322514E-17"/>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9"/>
        <c:dLbl>
          <c:idx val="0"/>
          <c:layout>
            <c:manualLayout>
              <c:x val="-0.1279391499192577"/>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20"/>
        <c:dLbl>
          <c:idx val="0"/>
          <c:layout>
            <c:manualLayout>
              <c:x val="-0.15052785092535664"/>
              <c:y val="1.8508044336390368E-7"/>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21"/>
        <c:dLbl>
          <c:idx val="0"/>
          <c:delete val="1"/>
          <c:extLst>
            <c:ext xmlns:c15="http://schemas.microsoft.com/office/drawing/2012/chart" uri="{CE6537A1-D6FC-4f65-9D91-7224C49458BB}"/>
          </c:extLst>
        </c:dLbl>
      </c:pivotFmt>
      <c:pivotFmt>
        <c:idx val="22"/>
        <c:dLbl>
          <c:idx val="0"/>
          <c:delete val="1"/>
          <c:extLst>
            <c:ext xmlns:c15="http://schemas.microsoft.com/office/drawing/2012/chart" uri="{CE6537A1-D6FC-4f65-9D91-7224C49458BB}"/>
          </c:extLst>
        </c:dLbl>
      </c:pivotFmt>
      <c:pivotFmt>
        <c:idx val="23"/>
        <c:dLbl>
          <c:idx val="0"/>
          <c:layout>
            <c:manualLayout>
              <c:x val="5.5441022486314051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19191832344383913"/>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17236583324519611"/>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0.12359756169473096"/>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14769338345481364"/>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14752030773237493"/>
              <c:y val="8.6184797512322514E-17"/>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4.658536033653949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marker>
          <c:symbol val="none"/>
        </c:marker>
      </c:pivotFmt>
      <c:pivotFmt>
        <c:idx val="31"/>
        <c:marker>
          <c:symbol val="none"/>
        </c:marker>
      </c:pivotFmt>
      <c:pivotFmt>
        <c:idx val="32"/>
        <c:dLbl>
          <c:idx val="0"/>
          <c:tx>
            <c:rich>
              <a:bodyPr wrap="square" lIns="38100" tIns="19050" rIns="38100" bIns="19050" anchor="ctr">
                <a:spAutoFit/>
              </a:bodyPr>
              <a:lstStyle/>
              <a:p>
                <a:pPr>
                  <a:defRPr>
                    <a:solidFill>
                      <a:srgbClr val="0070C0"/>
                    </a:solidFill>
                  </a:defRPr>
                </a:pPr>
                <a:fld id="{659443B0-1594-4333-A8B7-7C77C35D0741}"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3"/>
        <c:dLbl>
          <c:idx val="0"/>
          <c:layout>
            <c:manualLayout>
              <c:x val="-0.16835629871441696"/>
              <c:y val="-2.3495962285047787E-3"/>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34"/>
        <c:dLbl>
          <c:idx val="0"/>
          <c:layout>
            <c:manualLayout>
              <c:x val="0.16105222137299924"/>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pivotFmt>
      <c:pivotFmt>
        <c:idx val="36"/>
        <c:marker>
          <c:symbol val="none"/>
        </c:marker>
      </c:pivotFmt>
      <c:pivotFmt>
        <c:idx val="37"/>
        <c:spPr>
          <a:solidFill>
            <a:srgbClr val="0070C0"/>
          </a:solidFill>
        </c:spPr>
        <c:marker>
          <c:symbol val="none"/>
        </c:marker>
        <c:dLbl>
          <c:idx val="0"/>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DD9A57"/>
          </a:solidFill>
        </c:spPr>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16769048825220298"/>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15651112236872267"/>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12576786618915212"/>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0.16629306751676795"/>
              <c:y val="-8.6184797512322514E-1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0.19563890296090336"/>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7.4063298978056316E-2"/>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0.1830621163419883"/>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0.17048532972307301"/>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7"/>
        <c:dLbl>
          <c:idx val="0"/>
          <c:layout>
            <c:manualLayout>
              <c:x val="-0.16349822604589789"/>
              <c:y val="-2.3505216307215769E-3"/>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8"/>
        <c:dLbl>
          <c:idx val="0"/>
          <c:layout>
            <c:manualLayout>
              <c:x val="-0.14533175648524257"/>
              <c:y val="8.6184797512322514E-17"/>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9"/>
        <c:dLbl>
          <c:idx val="0"/>
          <c:layout>
            <c:manualLayout>
              <c:x val="-0.19983116516720856"/>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0"/>
        <c:dLbl>
          <c:idx val="0"/>
          <c:layout>
            <c:manualLayout>
              <c:x val="-6.4281353830011184E-2"/>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'Age-Sex Breakdown per Camp'!$M$33:$M$34</c:f>
              <c:strCache>
                <c:ptCount val="1"/>
                <c:pt idx="0">
                  <c:v>F</c:v>
                </c:pt>
              </c:strCache>
            </c:strRef>
          </c:tx>
          <c:spPr>
            <a:solidFill>
              <a:srgbClr val="DD9A57"/>
            </a:solidFill>
          </c:spPr>
          <c:invertIfNegative val="0"/>
          <c:dLbls>
            <c:dLbl>
              <c:idx val="0"/>
              <c:layout>
                <c:manualLayout>
                  <c:x val="7.4063298978056316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19563890296090336"/>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6629306751676795"/>
                  <c:y val="-8.6184797512322514E-1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257678661891521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15651112236872267"/>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16769048825220298"/>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Camp'!$L$35:$L$41</c:f>
              <c:strCache>
                <c:ptCount val="6"/>
                <c:pt idx="0">
                  <c:v>60+</c:v>
                </c:pt>
                <c:pt idx="1">
                  <c:v>26 to 59</c:v>
                </c:pt>
                <c:pt idx="2">
                  <c:v>18 to 25</c:v>
                </c:pt>
                <c:pt idx="3">
                  <c:v>12 to 17</c:v>
                </c:pt>
                <c:pt idx="4">
                  <c:v>6 to 11</c:v>
                </c:pt>
                <c:pt idx="5">
                  <c:v>0-5</c:v>
                </c:pt>
              </c:strCache>
            </c:strRef>
          </c:cat>
          <c:val>
            <c:numRef>
              <c:f>'Age-Sex Breakdown per Camp'!$M$35:$M$41</c:f>
              <c:numCache>
                <c:formatCode>0</c:formatCode>
                <c:ptCount val="6"/>
                <c:pt idx="0">
                  <c:v>2218</c:v>
                </c:pt>
                <c:pt idx="1">
                  <c:v>15290.765542141487</c:v>
                </c:pt>
                <c:pt idx="2">
                  <c:v>12594.711384407085</c:v>
                </c:pt>
                <c:pt idx="3">
                  <c:v>8480</c:v>
                </c:pt>
                <c:pt idx="4">
                  <c:v>10809</c:v>
                </c:pt>
                <c:pt idx="5">
                  <c:v>11877</c:v>
                </c:pt>
              </c:numCache>
            </c:numRef>
          </c:val>
        </c:ser>
        <c:ser>
          <c:idx val="1"/>
          <c:order val="1"/>
          <c:tx>
            <c:strRef>
              <c:f>'Age-Sex Breakdown per Camp'!$N$33:$N$34</c:f>
              <c:strCache>
                <c:ptCount val="1"/>
                <c:pt idx="0">
                  <c:v>M</c:v>
                </c:pt>
              </c:strCache>
            </c:strRef>
          </c:tx>
          <c:spPr>
            <a:solidFill>
              <a:srgbClr val="0070C0"/>
            </a:solidFill>
          </c:spPr>
          <c:invertIfNegative val="0"/>
          <c:dLbls>
            <c:dLbl>
              <c:idx val="0"/>
              <c:layout>
                <c:manualLayout>
                  <c:x val="-6.428135383001118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19983116516720856"/>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4533175648524257"/>
                  <c:y val="8.6184797512322514E-1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6349822604589789"/>
                  <c:y val="-2.3505216307215769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17048532972307301"/>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1830621163419883"/>
                  <c:y val="0"/>
                </c:manualLayout>
              </c:layout>
              <c:showLegendKey val="0"/>
              <c:showVal val="1"/>
              <c:showCatName val="0"/>
              <c:showSerName val="0"/>
              <c:showPercent val="0"/>
              <c:showBubbleSize val="0"/>
              <c:extLst>
                <c:ext xmlns:c15="http://schemas.microsoft.com/office/drawing/2012/chart" uri="{CE6537A1-D6FC-4f65-9D91-7224C49458BB}"/>
              </c:extLst>
            </c:dLbl>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Camp'!$L$35:$L$41</c:f>
              <c:strCache>
                <c:ptCount val="6"/>
                <c:pt idx="0">
                  <c:v>60+</c:v>
                </c:pt>
                <c:pt idx="1">
                  <c:v>26 to 59</c:v>
                </c:pt>
                <c:pt idx="2">
                  <c:v>18 to 25</c:v>
                </c:pt>
                <c:pt idx="3">
                  <c:v>12 to 17</c:v>
                </c:pt>
                <c:pt idx="4">
                  <c:v>6 to 11</c:v>
                </c:pt>
                <c:pt idx="5">
                  <c:v>0-5</c:v>
                </c:pt>
              </c:strCache>
            </c:strRef>
          </c:cat>
          <c:val>
            <c:numRef>
              <c:f>'Age-Sex Breakdown per Camp'!$N$35:$N$41</c:f>
              <c:numCache>
                <c:formatCode>0</c:formatCode>
                <c:ptCount val="6"/>
                <c:pt idx="0">
                  <c:v>-2262</c:v>
                </c:pt>
                <c:pt idx="1">
                  <c:v>-14581</c:v>
                </c:pt>
                <c:pt idx="2">
                  <c:v>-9302</c:v>
                </c:pt>
                <c:pt idx="3">
                  <c:v>-8970.9377186054389</c:v>
                </c:pt>
                <c:pt idx="4">
                  <c:v>-11721.222159539659</c:v>
                </c:pt>
                <c:pt idx="5">
                  <c:v>-11751.964797472639</c:v>
                </c:pt>
              </c:numCache>
            </c:numRef>
          </c:val>
          <c:extLst/>
        </c:ser>
        <c:dLbls>
          <c:showLegendKey val="0"/>
          <c:showVal val="0"/>
          <c:showCatName val="0"/>
          <c:showSerName val="0"/>
          <c:showPercent val="0"/>
          <c:showBubbleSize val="0"/>
        </c:dLbls>
        <c:gapWidth val="150"/>
        <c:overlap val="100"/>
        <c:axId val="411106568"/>
        <c:axId val="615667232"/>
      </c:barChart>
      <c:catAx>
        <c:axId val="411106568"/>
        <c:scaling>
          <c:orientation val="minMax"/>
        </c:scaling>
        <c:delete val="0"/>
        <c:axPos val="l"/>
        <c:numFmt formatCode="General" sourceLinked="0"/>
        <c:majorTickMark val="out"/>
        <c:minorTickMark val="none"/>
        <c:tickLblPos val="nextTo"/>
        <c:spPr>
          <a:noFill/>
          <a:ln w="12700">
            <a:solidFill>
              <a:schemeClr val="tx1"/>
            </a:solidFill>
          </a:ln>
        </c:spPr>
        <c:txPr>
          <a:bodyPr/>
          <a:lstStyle/>
          <a:p>
            <a:pPr>
              <a:defRPr sz="1030" baseline="0">
                <a:solidFill>
                  <a:sysClr val="windowText" lastClr="000000"/>
                </a:solidFill>
              </a:defRPr>
            </a:pPr>
            <a:endParaRPr lang="en-US"/>
          </a:p>
        </c:txPr>
        <c:crossAx val="615667232"/>
        <c:crosses val="autoZero"/>
        <c:auto val="1"/>
        <c:lblAlgn val="ctr"/>
        <c:lblOffset val="100"/>
        <c:noMultiLvlLbl val="0"/>
      </c:catAx>
      <c:valAx>
        <c:axId val="615667232"/>
        <c:scaling>
          <c:orientation val="minMax"/>
        </c:scaling>
        <c:delete val="0"/>
        <c:axPos val="b"/>
        <c:majorGridlines/>
        <c:numFmt formatCode="#,###;[Black]#,###" sourceLinked="0"/>
        <c:majorTickMark val="out"/>
        <c:minorTickMark val="none"/>
        <c:tickLblPos val="nextTo"/>
        <c:crossAx val="411106568"/>
        <c:crosses val="autoZero"/>
        <c:crossBetween val="between"/>
      </c:valAx>
      <c:spPr>
        <a:noFill/>
        <a:ln w="25400">
          <a:noFill/>
        </a:ln>
      </c:spPr>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[3._shelter-nfi-cccm_rakhine_cluster_analysis_report_31_march_2018.xlsx]Vulnerability per Camp!PivotTable4</c:name>
    <c:fmtId val="0"/>
  </c:pivotSource>
  <c:chart>
    <c:title>
      <c:tx>
        <c:rich>
          <a:bodyPr/>
          <a:lstStyle/>
          <a:p>
            <a:pPr>
              <a:defRPr sz="1200"/>
            </a:pPr>
            <a:r>
              <a:rPr lang="en-US" sz="1200"/>
              <a:t>Vulnerability by Township </a:t>
            </a:r>
          </a:p>
        </c:rich>
      </c:tx>
      <c:overlay val="0"/>
    </c:title>
    <c:autoTitleDeleted val="0"/>
    <c:pivotFmts>
      <c:pivotFmt>
        <c:idx val="0"/>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w="15875" cmpd="sng"/>
        </c:spPr>
        <c:marker>
          <c:symbol val="none"/>
        </c:marker>
      </c:pivotFmt>
      <c:pivotFmt>
        <c:idx val="3"/>
        <c:spPr>
          <a:solidFill>
            <a:srgbClr val="FFFF00"/>
          </a:solidFill>
        </c:spPr>
        <c:marker>
          <c:symbol val="none"/>
        </c:marker>
      </c:pivotFmt>
      <c:pivotFmt>
        <c:idx val="4"/>
        <c:spPr>
          <a:solidFill>
            <a:srgbClr val="00B0F0"/>
          </a:solidFill>
        </c:spPr>
        <c:marker>
          <c:symbol val="none"/>
        </c:marker>
      </c:pivotFmt>
      <c:pivotFmt>
        <c:idx val="5"/>
      </c:pivotFmt>
      <c:pivotFmt>
        <c:idx val="6"/>
      </c:pivotFmt>
      <c:pivotFmt>
        <c:idx val="7"/>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s>
    <c:plotArea>
      <c:layout>
        <c:manualLayout>
          <c:layoutTarget val="inner"/>
          <c:xMode val="edge"/>
          <c:yMode val="edge"/>
          <c:x val="0.26419380161816503"/>
          <c:y val="0.10447173267015611"/>
          <c:w val="0.70257766122439624"/>
          <c:h val="0.77174523939919015"/>
        </c:manualLayout>
      </c:layout>
      <c:barChart>
        <c:barDir val="bar"/>
        <c:grouping val="stacked"/>
        <c:varyColors val="0"/>
        <c:ser>
          <c:idx val="0"/>
          <c:order val="0"/>
          <c:tx>
            <c:strRef>
              <c:f>'Vulnerability per Camp'!$N$39:$N$40</c:f>
              <c:strCache>
                <c:ptCount val="1"/>
                <c:pt idx="0">
                  <c:v>Sittwe</c:v>
                </c:pt>
              </c:strCache>
            </c:strRef>
          </c:tx>
          <c:spPr>
            <a:solidFill>
              <a:srgbClr val="00B0F0"/>
            </a:solidFill>
          </c:spPr>
          <c:invertIfNegative val="0"/>
          <c:cat>
            <c:strRef>
              <c:f>'Vulnerability per Camp'!$M$41:$M$50</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Camp'!$N$41:$N$50</c:f>
              <c:numCache>
                <c:formatCode>_-* #,##0_-;\-* #,##0_-;_-* "-"??_-;_-@_-</c:formatCode>
                <c:ptCount val="9"/>
                <c:pt idx="0">
                  <c:v>1375</c:v>
                </c:pt>
                <c:pt idx="1">
                  <c:v>4392</c:v>
                </c:pt>
                <c:pt idx="2">
                  <c:v>1480</c:v>
                </c:pt>
                <c:pt idx="3">
                  <c:v>146</c:v>
                </c:pt>
                <c:pt idx="4">
                  <c:v>503</c:v>
                </c:pt>
                <c:pt idx="5">
                  <c:v>39</c:v>
                </c:pt>
                <c:pt idx="6">
                  <c:v>175</c:v>
                </c:pt>
                <c:pt idx="7">
                  <c:v>1477</c:v>
                </c:pt>
                <c:pt idx="8">
                  <c:v>583</c:v>
                </c:pt>
              </c:numCache>
            </c:numRef>
          </c:val>
          <c:extLst/>
        </c:ser>
        <c:ser>
          <c:idx val="1"/>
          <c:order val="1"/>
          <c:tx>
            <c:strRef>
              <c:f>'Vulnerability per Camp'!$O$39:$O$40</c:f>
              <c:strCache>
                <c:ptCount val="1"/>
                <c:pt idx="0">
                  <c:v>Pauktaw</c:v>
                </c:pt>
              </c:strCache>
            </c:strRef>
          </c:tx>
          <c:spPr>
            <a:solidFill>
              <a:srgbClr val="FFFF00"/>
            </a:solidFill>
          </c:spPr>
          <c:invertIfNegative val="0"/>
          <c:cat>
            <c:strRef>
              <c:f>'Vulnerability per Camp'!$M$41:$M$50</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Camp'!$O$41:$O$50</c:f>
              <c:numCache>
                <c:formatCode>_-* #,##0_-;\-* #,##0_-;_-* "-"??_-;_-@_-</c:formatCode>
                <c:ptCount val="9"/>
                <c:pt idx="0">
                  <c:v>389</c:v>
                </c:pt>
                <c:pt idx="1">
                  <c:v>1503</c:v>
                </c:pt>
                <c:pt idx="2">
                  <c:v>115</c:v>
                </c:pt>
                <c:pt idx="3">
                  <c:v>31</c:v>
                </c:pt>
                <c:pt idx="4">
                  <c:v>42</c:v>
                </c:pt>
                <c:pt idx="5">
                  <c:v>17</c:v>
                </c:pt>
                <c:pt idx="6">
                  <c:v>22</c:v>
                </c:pt>
                <c:pt idx="7">
                  <c:v>230</c:v>
                </c:pt>
                <c:pt idx="8">
                  <c:v>489</c:v>
                </c:pt>
              </c:numCache>
            </c:numRef>
          </c:val>
        </c:ser>
        <c:ser>
          <c:idx val="2"/>
          <c:order val="2"/>
          <c:tx>
            <c:strRef>
              <c:f>'Vulnerability per Camp'!$P$39:$P$40</c:f>
              <c:strCache>
                <c:ptCount val="1"/>
                <c:pt idx="0">
                  <c:v>Myebon</c:v>
                </c:pt>
              </c:strCache>
            </c:strRef>
          </c:tx>
          <c:spPr>
            <a:solidFill>
              <a:srgbClr val="FFC000"/>
            </a:solidFill>
            <a:ln w="15875" cmpd="sng"/>
          </c:spPr>
          <c:invertIfNegative val="0"/>
          <c:cat>
            <c:strRef>
              <c:f>'Vulnerability per Camp'!$M$41:$M$50</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Camp'!$P$41:$P$50</c:f>
              <c:numCache>
                <c:formatCode>_-* #,##0_-;\-* #,##0_-;_-* "-"??_-;_-@_-</c:formatCode>
                <c:ptCount val="9"/>
                <c:pt idx="0">
                  <c:v>40</c:v>
                </c:pt>
                <c:pt idx="1">
                  <c:v>95</c:v>
                </c:pt>
                <c:pt idx="2">
                  <c:v>9</c:v>
                </c:pt>
                <c:pt idx="3">
                  <c:v>2</c:v>
                </c:pt>
                <c:pt idx="4">
                  <c:v>85</c:v>
                </c:pt>
                <c:pt idx="5">
                  <c:v>0</c:v>
                </c:pt>
                <c:pt idx="6">
                  <c:v>0</c:v>
                </c:pt>
                <c:pt idx="7">
                  <c:v>2</c:v>
                </c:pt>
                <c:pt idx="8">
                  <c:v>139</c:v>
                </c:pt>
              </c:numCache>
            </c:numRef>
          </c:val>
        </c:ser>
        <c:dLbls>
          <c:showLegendKey val="0"/>
          <c:showVal val="0"/>
          <c:showCatName val="0"/>
          <c:showSerName val="0"/>
          <c:showPercent val="0"/>
          <c:showBubbleSize val="0"/>
        </c:dLbls>
        <c:gapWidth val="50"/>
        <c:overlap val="100"/>
        <c:axId val="615668016"/>
        <c:axId val="615668408"/>
      </c:barChart>
      <c:catAx>
        <c:axId val="615668016"/>
        <c:scaling>
          <c:orientation val="minMax"/>
        </c:scaling>
        <c:delete val="0"/>
        <c:axPos val="l"/>
        <c:numFmt formatCode="General" sourceLinked="0"/>
        <c:majorTickMark val="none"/>
        <c:minorTickMark val="none"/>
        <c:tickLblPos val="nextTo"/>
        <c:txPr>
          <a:bodyPr/>
          <a:lstStyle/>
          <a:p>
            <a:pPr>
              <a:defRPr sz="1000"/>
            </a:pPr>
            <a:endParaRPr lang="en-US"/>
          </a:p>
        </c:txPr>
        <c:crossAx val="615668408"/>
        <c:crosses val="autoZero"/>
        <c:auto val="1"/>
        <c:lblAlgn val="ctr"/>
        <c:lblOffset val="100"/>
        <c:noMultiLvlLbl val="0"/>
      </c:catAx>
      <c:valAx>
        <c:axId val="615668408"/>
        <c:scaling>
          <c:orientation val="minMax"/>
        </c:scaling>
        <c:delete val="0"/>
        <c:axPos val="b"/>
        <c:majorGridlines/>
        <c:numFmt formatCode="_-* #,##0_-;\-* #,##0_-;_-* &quot;-&quot;??_-;_-@_-" sourceLinked="1"/>
        <c:majorTickMark val="none"/>
        <c:minorTickMark val="none"/>
        <c:tickLblPos val="nextTo"/>
        <c:spPr>
          <a:ln w="9525">
            <a:noFill/>
          </a:ln>
        </c:spPr>
        <c:txPr>
          <a:bodyPr/>
          <a:lstStyle/>
          <a:p>
            <a:pPr>
              <a:defRPr sz="800"/>
            </a:pPr>
            <a:endParaRPr lang="en-US"/>
          </a:p>
        </c:txPr>
        <c:crossAx val="615668016"/>
        <c:crosses val="autoZero"/>
        <c:crossBetween val="between"/>
      </c:valAx>
      <c:spPr>
        <a:ln>
          <a:solidFill>
            <a:schemeClr val="tx1"/>
          </a:solidFill>
        </a:ln>
      </c:spPr>
    </c:plotArea>
    <c:legend>
      <c:legendPos val="b"/>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[3._shelter-nfi-cccm_rakhine_cluster_analysis_report_31_march_2018.xlsx]Camp Analysis!PivotTable8</c:name>
    <c:fmtId val="13"/>
  </c:pivotSource>
  <c:chart>
    <c:title>
      <c:tx>
        <c:rich>
          <a:bodyPr/>
          <a:lstStyle/>
          <a:p>
            <a:pPr>
              <a:defRPr/>
            </a:pPr>
            <a:r>
              <a:rPr lang="en-US"/>
              <a:t>Other Locations</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s>
    <c:plotArea>
      <c:layout>
        <c:manualLayout>
          <c:layoutTarget val="inner"/>
          <c:xMode val="edge"/>
          <c:yMode val="edge"/>
          <c:x val="5.7616821236585236E-2"/>
          <c:y val="0.1006375678958978"/>
          <c:w val="0.68725319798918472"/>
          <c:h val="0.43905430134074641"/>
        </c:manualLayout>
      </c:layout>
      <c:barChart>
        <c:barDir val="col"/>
        <c:grouping val="stacked"/>
        <c:varyColors val="0"/>
        <c:ser>
          <c:idx val="0"/>
          <c:order val="0"/>
          <c:tx>
            <c:strRef>
              <c:f>'Camp Analysis'!$C$137:$C$139</c:f>
              <c:strCache>
                <c:ptCount val="1"/>
                <c:pt idx="0">
                  <c:v>(blank) - Planned Camp</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Analysis'!$C$140:$C$148</c:f>
              <c:numCache>
                <c:formatCode>#,##0</c:formatCode>
                <c:ptCount val="5"/>
                <c:pt idx="4">
                  <c:v>1050</c:v>
                </c:pt>
              </c:numCache>
            </c:numRef>
          </c:val>
        </c:ser>
        <c:ser>
          <c:idx val="1"/>
          <c:order val="1"/>
          <c:tx>
            <c:strRef>
              <c:f>'Camp Analysis'!$D$137:$D$139</c:f>
              <c:strCache>
                <c:ptCount val="1"/>
                <c:pt idx="0">
                  <c:v>(blank) - Self Settled Camp</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Analysis'!$D$140:$D$148</c:f>
              <c:numCache>
                <c:formatCode>#,##0</c:formatCode>
                <c:ptCount val="5"/>
                <c:pt idx="0">
                  <c:v>546</c:v>
                </c:pt>
              </c:numCache>
            </c:numRef>
          </c:val>
        </c:ser>
        <c:ser>
          <c:idx val="2"/>
          <c:order val="2"/>
          <c:tx>
            <c:strRef>
              <c:f>'Camp Analysis'!$E$137:$E$139</c:f>
              <c:strCache>
                <c:ptCount val="1"/>
                <c:pt idx="0">
                  <c:v>(blank) - Host Families</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Analysis'!$E$140:$E$148</c:f>
              <c:numCache>
                <c:formatCode>#,##0</c:formatCode>
                <c:ptCount val="5"/>
                <c:pt idx="1">
                  <c:v>226</c:v>
                </c:pt>
                <c:pt idx="2">
                  <c:v>2942</c:v>
                </c:pt>
                <c:pt idx="3">
                  <c:v>2951</c:v>
                </c:pt>
              </c:numCache>
            </c:numRef>
          </c:val>
        </c:ser>
        <c:dLbls>
          <c:showLegendKey val="0"/>
          <c:showVal val="0"/>
          <c:showCatName val="0"/>
          <c:showSerName val="0"/>
          <c:showPercent val="0"/>
          <c:showBubbleSize val="0"/>
        </c:dLbls>
        <c:gapWidth val="150"/>
        <c:overlap val="100"/>
        <c:axId val="615669192"/>
        <c:axId val="615669584"/>
      </c:barChart>
      <c:catAx>
        <c:axId val="615669192"/>
        <c:scaling>
          <c:orientation val="minMax"/>
        </c:scaling>
        <c:delete val="0"/>
        <c:axPos val="b"/>
        <c:numFmt formatCode="General" sourceLinked="0"/>
        <c:majorTickMark val="out"/>
        <c:minorTickMark val="none"/>
        <c:tickLblPos val="nextTo"/>
        <c:crossAx val="615669584"/>
        <c:crosses val="autoZero"/>
        <c:auto val="1"/>
        <c:lblAlgn val="ctr"/>
        <c:lblOffset val="100"/>
        <c:noMultiLvlLbl val="0"/>
      </c:catAx>
      <c:valAx>
        <c:axId val="615669584"/>
        <c:scaling>
          <c:orientation val="minMax"/>
        </c:scaling>
        <c:delete val="0"/>
        <c:axPos val="l"/>
        <c:majorGridlines/>
        <c:numFmt formatCode="#,##0" sourceLinked="1"/>
        <c:majorTickMark val="out"/>
        <c:minorTickMark val="none"/>
        <c:tickLblPos val="nextTo"/>
        <c:crossAx val="615669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[3._shelter-nfi-cccm_rakhine_cluster_analysis_report_31_march_2018.xlsx]Camp Analysis!PivotTable3</c:name>
    <c:fmtId val="13"/>
  </c:pivotSource>
  <c:chart>
    <c:title>
      <c:tx>
        <c:rich>
          <a:bodyPr/>
          <a:lstStyle/>
          <a:p>
            <a:pPr>
              <a:defRPr/>
            </a:pPr>
            <a:r>
              <a:rPr lang="en-US"/>
              <a:t>Priority</a:t>
            </a:r>
            <a:r>
              <a:rPr lang="en-US" baseline="0"/>
              <a:t> Camps</a:t>
            </a:r>
            <a:endParaRPr lang="en-US"/>
          </a:p>
        </c:rich>
      </c:tx>
      <c:layout>
        <c:manualLayout>
          <c:xMode val="edge"/>
          <c:yMode val="edge"/>
          <c:x val="0.41157338283553496"/>
          <c:y val="5.254959163544652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s>
    <c:plotArea>
      <c:layout>
        <c:manualLayout>
          <c:layoutTarget val="inner"/>
          <c:xMode val="edge"/>
          <c:yMode val="edge"/>
          <c:x val="6.5496796008607028E-2"/>
          <c:y val="0.13780624702061098"/>
          <c:w val="0.72474031542703421"/>
          <c:h val="0.52607595455780309"/>
        </c:manualLayout>
      </c:layout>
      <c:barChart>
        <c:barDir val="col"/>
        <c:grouping val="stacked"/>
        <c:varyColors val="0"/>
        <c:ser>
          <c:idx val="0"/>
          <c:order val="0"/>
          <c:tx>
            <c:strRef>
              <c:f>'Camp Analysis'!$B$65:$B$66</c:f>
              <c:strCache>
                <c:ptCount val="1"/>
                <c:pt idx="0">
                  <c:v>Kaman-Muslim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Analysis'!$B$67:$B$87</c:f>
              <c:numCache>
                <c:formatCode>#,##0</c:formatCode>
                <c:ptCount val="17"/>
                <c:pt idx="2">
                  <c:v>2845</c:v>
                </c:pt>
              </c:numCache>
            </c:numRef>
          </c:val>
        </c:ser>
        <c:ser>
          <c:idx val="1"/>
          <c:order val="1"/>
          <c:tx>
            <c:strRef>
              <c:f>'Camp Analysis'!$C$65:$C$66</c:f>
              <c:strCache>
                <c:ptCount val="1"/>
                <c:pt idx="0">
                  <c:v>-Muslim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Analysis'!$C$67:$C$87</c:f>
              <c:numCache>
                <c:formatCode>#,##0</c:formatCode>
                <c:ptCount val="17"/>
                <c:pt idx="0">
                  <c:v>4364</c:v>
                </c:pt>
                <c:pt idx="1">
                  <c:v>5945</c:v>
                </c:pt>
                <c:pt idx="3">
                  <c:v>4079</c:v>
                </c:pt>
                <c:pt idx="4">
                  <c:v>2252</c:v>
                </c:pt>
                <c:pt idx="5">
                  <c:v>4833</c:v>
                </c:pt>
                <c:pt idx="6">
                  <c:v>7377</c:v>
                </c:pt>
                <c:pt idx="7">
                  <c:v>11363</c:v>
                </c:pt>
                <c:pt idx="8">
                  <c:v>4481</c:v>
                </c:pt>
                <c:pt idx="9">
                  <c:v>3440</c:v>
                </c:pt>
                <c:pt idx="10">
                  <c:v>4007</c:v>
                </c:pt>
                <c:pt idx="11">
                  <c:v>13794</c:v>
                </c:pt>
                <c:pt idx="12">
                  <c:v>11234</c:v>
                </c:pt>
                <c:pt idx="13">
                  <c:v>13743</c:v>
                </c:pt>
                <c:pt idx="14">
                  <c:v>13049</c:v>
                </c:pt>
                <c:pt idx="15">
                  <c:v>5855</c:v>
                </c:pt>
                <c:pt idx="16">
                  <c:v>2606</c:v>
                </c:pt>
              </c:numCache>
            </c:numRef>
          </c:val>
        </c:ser>
        <c:dLbls>
          <c:showLegendKey val="0"/>
          <c:showVal val="0"/>
          <c:showCatName val="0"/>
          <c:showSerName val="0"/>
          <c:showPercent val="0"/>
          <c:showBubbleSize val="0"/>
        </c:dLbls>
        <c:gapWidth val="150"/>
        <c:overlap val="100"/>
        <c:axId val="615670368"/>
        <c:axId val="615670760"/>
      </c:barChart>
      <c:catAx>
        <c:axId val="615670368"/>
        <c:scaling>
          <c:orientation val="minMax"/>
        </c:scaling>
        <c:delete val="0"/>
        <c:axPos val="b"/>
        <c:numFmt formatCode="General" sourceLinked="0"/>
        <c:majorTickMark val="out"/>
        <c:minorTickMark val="none"/>
        <c:tickLblPos val="nextTo"/>
        <c:crossAx val="615670760"/>
        <c:crosses val="autoZero"/>
        <c:auto val="1"/>
        <c:lblAlgn val="ctr"/>
        <c:lblOffset val="100"/>
        <c:noMultiLvlLbl val="0"/>
      </c:catAx>
      <c:valAx>
        <c:axId val="615670760"/>
        <c:scaling>
          <c:orientation val="minMax"/>
        </c:scaling>
        <c:delete val="0"/>
        <c:axPos val="l"/>
        <c:majorGridlines/>
        <c:numFmt formatCode="#,##0" sourceLinked="1"/>
        <c:majorTickMark val="out"/>
        <c:minorTickMark val="none"/>
        <c:tickLblPos val="nextTo"/>
        <c:crossAx val="615670368"/>
        <c:crosses val="autoZero"/>
        <c:crossBetween val="between"/>
      </c:valAx>
    </c:plotArea>
    <c:legend>
      <c:legendPos val="r"/>
      <c:layout>
        <c:manualLayout>
          <c:xMode val="edge"/>
          <c:yMode val="edge"/>
          <c:x val="0.85684578123878286"/>
          <c:y val="0.25272005346240173"/>
          <c:w val="0.12815873393712005"/>
          <c:h val="0.2911283210836687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[3._shelter-nfi-cccm_rakhine_cluster_analysis_report_31_march_2018.xlsx]Shelter Progress!PivotTable3</c:name>
    <c:fmtId val="2"/>
  </c:pivotSource>
  <c:chart>
    <c:title>
      <c:tx>
        <c:rich>
          <a:bodyPr/>
          <a:lstStyle/>
          <a:p>
            <a:pPr algn="ctr" rtl="0">
              <a:defRPr lang="en-US" sz="1100" b="1" i="0" u="none" strike="noStrike" kern="1200" baseline="0">
                <a:solidFill>
                  <a:sysClr val="windowText" lastClr="000000"/>
                </a:solidFill>
                <a:effectLst/>
                <a:latin typeface="+mn-lt"/>
                <a:ea typeface="+mn-ea"/>
                <a:cs typeface="+mn-cs"/>
              </a:defRPr>
            </a:pPr>
            <a:r>
              <a:rPr lang="en-US" sz="1100" b="1" i="0" u="none" strike="noStrike" kern="1200" baseline="0">
                <a:solidFill>
                  <a:sysClr val="windowText" lastClr="000000"/>
                </a:solidFill>
                <a:effectLst/>
                <a:latin typeface="+mn-lt"/>
                <a:ea typeface="+mn-ea"/>
                <a:cs typeface="+mn-cs"/>
              </a:rPr>
              <a:t>Temporary Shelter Construction in Rakhine State by Agency </a:t>
            </a:r>
          </a:p>
        </c:rich>
      </c:tx>
      <c:layout>
        <c:manualLayout>
          <c:xMode val="edge"/>
          <c:yMode val="edge"/>
          <c:x val="0.20953729789434161"/>
          <c:y val="2.1720178982938734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layout>
            <c:manualLayout>
              <c:x val="-1.167887831582792E-16"/>
              <c:y val="-5.7745765689425334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dLbl>
          <c:idx val="0"/>
          <c:layout>
            <c:manualLayout>
              <c:x val="-4.7777781400473365E-3"/>
              <c:y val="-6.8244995814775389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1.167887831582792E-16"/>
              <c:y val="-6.8244995814775486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1.5925927133491121E-3"/>
              <c:y val="-6.2995380752100455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1.167887831582792E-16"/>
              <c:y val="-5.7745765689425431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5.83943915791396E-17"/>
              <c:y val="-6.2995380752100358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0.11024191631617554"/>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0.11549153137885076"/>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0"/>
              <c:y val="-0.104992301253500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2.91971957895698E-17"/>
              <c:y val="-0.2467319079457264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0"/>
              <c:y val="-0.3464745941365520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40068041382929E-2"/>
          <c:y val="0.12671779188246321"/>
          <c:w val="0.93667396521888824"/>
          <c:h val="0.76907628824786001"/>
        </c:manualLayout>
      </c:layout>
      <c:barChart>
        <c:barDir val="col"/>
        <c:grouping val="stacked"/>
        <c:varyColors val="0"/>
        <c:ser>
          <c:idx val="0"/>
          <c:order val="0"/>
          <c:tx>
            <c:strRef>
              <c:f>'Shelter Progress'!$B$28</c:f>
              <c:strCache>
                <c:ptCount val="1"/>
                <c:pt idx="0">
                  <c:v>Total</c:v>
                </c:pt>
              </c:strCache>
            </c:strRef>
          </c:tx>
          <c:invertIfNegative val="0"/>
          <c:dLbls>
            <c:dLbl>
              <c:idx val="0"/>
              <c:layout>
                <c:manualLayout>
                  <c:x val="0"/>
                  <c:y val="-0.3464745941365520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91971957895698E-17"/>
                  <c:y val="-0.24673190794572647"/>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104992301253500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0.11549153137885076"/>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0.11024191631617554"/>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83943915791396E-17"/>
                  <c:y val="-6.2995380752100358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167887831582792E-16"/>
                  <c:y val="-5.774576568942543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5925927133491121E-3"/>
                  <c:y val="-6.299538075210045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167887831582792E-16"/>
                  <c:y val="-6.8244995814775486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4.7777781400473365E-3"/>
                  <c:y val="-6.8244995814775389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167887831582792E-16"/>
                  <c:y val="-5.774576568942533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Progress'!$A$29:$A$40</c:f>
              <c:strCache>
                <c:ptCount val="11"/>
                <c:pt idx="0">
                  <c:v>Government</c:v>
                </c:pt>
                <c:pt idx="1">
                  <c:v>UNHCR</c:v>
                </c:pt>
                <c:pt idx="2">
                  <c:v>CARE</c:v>
                </c:pt>
                <c:pt idx="3">
                  <c:v>DRC</c:v>
                </c:pt>
                <c:pt idx="4">
                  <c:v>MRF</c:v>
                </c:pt>
                <c:pt idx="5">
                  <c:v>MRCS</c:v>
                </c:pt>
                <c:pt idx="6">
                  <c:v>IRW</c:v>
                </c:pt>
                <c:pt idx="7">
                  <c:v>WFP</c:v>
                </c:pt>
                <c:pt idx="8">
                  <c:v>MAUK</c:v>
                </c:pt>
                <c:pt idx="9">
                  <c:v>Service City</c:v>
                </c:pt>
                <c:pt idx="10">
                  <c:v>ICRC</c:v>
                </c:pt>
              </c:strCache>
            </c:strRef>
          </c:cat>
          <c:val>
            <c:numRef>
              <c:f>'Shelter Progress'!$B$29:$B$40</c:f>
              <c:numCache>
                <c:formatCode>General</c:formatCode>
                <c:ptCount val="11"/>
                <c:pt idx="0">
                  <c:v>941</c:v>
                </c:pt>
                <c:pt idx="1">
                  <c:v>694</c:v>
                </c:pt>
                <c:pt idx="2">
                  <c:v>224</c:v>
                </c:pt>
                <c:pt idx="3">
                  <c:v>223</c:v>
                </c:pt>
                <c:pt idx="4">
                  <c:v>201</c:v>
                </c:pt>
                <c:pt idx="5">
                  <c:v>60</c:v>
                </c:pt>
                <c:pt idx="6">
                  <c:v>50</c:v>
                </c:pt>
                <c:pt idx="7">
                  <c:v>40</c:v>
                </c:pt>
                <c:pt idx="8">
                  <c:v>32</c:v>
                </c:pt>
                <c:pt idx="9">
                  <c:v>31</c:v>
                </c:pt>
                <c:pt idx="10">
                  <c:v>19</c:v>
                </c:pt>
              </c:numCache>
            </c:numRef>
          </c:val>
        </c:ser>
        <c:dLbls>
          <c:showLegendKey val="0"/>
          <c:showVal val="0"/>
          <c:showCatName val="0"/>
          <c:showSerName val="0"/>
          <c:showPercent val="0"/>
          <c:showBubbleSize val="0"/>
        </c:dLbls>
        <c:gapWidth val="150"/>
        <c:overlap val="100"/>
        <c:axId val="617721016"/>
        <c:axId val="617721408"/>
      </c:barChart>
      <c:catAx>
        <c:axId val="617721016"/>
        <c:scaling>
          <c:orientation val="minMax"/>
        </c:scaling>
        <c:delete val="0"/>
        <c:axPos val="b"/>
        <c:numFmt formatCode="General" sourceLinked="0"/>
        <c:majorTickMark val="out"/>
        <c:minorTickMark val="none"/>
        <c:tickLblPos val="nextTo"/>
        <c:crossAx val="617721408"/>
        <c:crosses val="autoZero"/>
        <c:auto val="1"/>
        <c:lblAlgn val="ctr"/>
        <c:lblOffset val="100"/>
        <c:noMultiLvlLbl val="0"/>
      </c:catAx>
      <c:valAx>
        <c:axId val="617721408"/>
        <c:scaling>
          <c:orientation val="minMax"/>
        </c:scaling>
        <c:delete val="0"/>
        <c:axPos val="l"/>
        <c:numFmt formatCode="General" sourceLinked="1"/>
        <c:majorTickMark val="out"/>
        <c:minorTickMark val="none"/>
        <c:tickLblPos val="nextTo"/>
        <c:crossAx val="617721016"/>
        <c:crosses val="autoZero"/>
        <c:crossBetween val="between"/>
      </c:valAx>
      <c:spPr>
        <a:noFill/>
        <a:ln w="25400">
          <a:noFill/>
        </a:ln>
      </c:spPr>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[3._shelter-nfi-cccm_rakhine_cluster_analysis_report_31_march_2018.xlsx]Shelter Progress!PivotTable2</c:name>
    <c:fmtId val="8"/>
  </c:pivotSource>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Individual House in Rahine State</a:t>
            </a:r>
            <a:r>
              <a:rPr lang="en-US" sz="1100" b="1" baseline="0">
                <a:solidFill>
                  <a:schemeClr val="tx1"/>
                </a:solidFill>
              </a:rPr>
              <a:t> by Ageny</a:t>
            </a:r>
            <a:endParaRPr lang="en-US" sz="1100" b="1">
              <a:solidFill>
                <a:schemeClr val="tx1"/>
              </a:solidFill>
            </a:endParaRPr>
          </a:p>
        </c:rich>
      </c:tx>
      <c:layout>
        <c:manualLayout>
          <c:xMode val="edge"/>
          <c:yMode val="edge"/>
          <c:x val="0.29538065090059051"/>
          <c:y val="3.71020657378490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dLbl>
          <c:idx val="0"/>
          <c:layout>
            <c:manualLayout>
              <c:x val="-1.6081069115935231E-16"/>
              <c:y val="3.180177063244203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dLbl>
          <c:idx val="0"/>
          <c:layout>
            <c:manualLayout>
              <c:x val="0"/>
              <c:y val="1.590088531622103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dLbl>
          <c:idx val="0"/>
          <c:layout>
            <c:manualLayout>
              <c:x val="0"/>
              <c:y val="1.965656726686264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'Shelter Progress'!$E$26</c:f>
              <c:strCache>
                <c:ptCount val="1"/>
                <c:pt idx="0">
                  <c:v>Total</c:v>
                </c:pt>
              </c:strCache>
            </c:strRef>
          </c:tx>
          <c:spPr>
            <a:solidFill>
              <a:schemeClr val="accent1"/>
            </a:solidFill>
            <a:ln>
              <a:noFill/>
            </a:ln>
            <a:effectLst/>
          </c:spPr>
          <c:invertIfNegative val="0"/>
          <c:dPt>
            <c:idx val="3"/>
            <c:invertIfNegative val="0"/>
            <c:bubble3D val="0"/>
            <c:spPr>
              <a:solidFill>
                <a:schemeClr val="accent1"/>
              </a:solidFill>
              <a:ln>
                <a:noFill/>
              </a:ln>
              <a:effectLst/>
            </c:spPr>
          </c:dPt>
          <c:dLbls>
            <c:dLbl>
              <c:idx val="3"/>
              <c:layout>
                <c:manualLayout>
                  <c:x val="0"/>
                  <c:y val="1.965656726686264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Progress'!$D$27:$D$32</c:f>
              <c:strCache>
                <c:ptCount val="5"/>
                <c:pt idx="0">
                  <c:v>Government</c:v>
                </c:pt>
                <c:pt idx="1">
                  <c:v>MRCS-QRC</c:v>
                </c:pt>
                <c:pt idx="2">
                  <c:v>RSG</c:v>
                </c:pt>
                <c:pt idx="3">
                  <c:v>RSG-TIKA</c:v>
                </c:pt>
                <c:pt idx="4">
                  <c:v>UNHCR</c:v>
                </c:pt>
              </c:strCache>
            </c:strRef>
          </c:cat>
          <c:val>
            <c:numRef>
              <c:f>'Shelter Progress'!$E$27:$E$32</c:f>
              <c:numCache>
                <c:formatCode>General</c:formatCode>
                <c:ptCount val="5"/>
                <c:pt idx="0">
                  <c:v>2078</c:v>
                </c:pt>
                <c:pt idx="1">
                  <c:v>56</c:v>
                </c:pt>
                <c:pt idx="2">
                  <c:v>589</c:v>
                </c:pt>
                <c:pt idx="3">
                  <c:v>2301</c:v>
                </c:pt>
                <c:pt idx="4">
                  <c:v>72</c:v>
                </c:pt>
              </c:numCache>
            </c:numRef>
          </c:val>
        </c:ser>
        <c:dLbls>
          <c:showLegendKey val="0"/>
          <c:showVal val="0"/>
          <c:showCatName val="0"/>
          <c:showSerName val="0"/>
          <c:showPercent val="0"/>
          <c:showBubbleSize val="0"/>
        </c:dLbls>
        <c:gapWidth val="219"/>
        <c:overlap val="-27"/>
        <c:axId val="617722192"/>
        <c:axId val="617722584"/>
      </c:barChart>
      <c:catAx>
        <c:axId val="61772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7722584"/>
        <c:crosses val="autoZero"/>
        <c:auto val="1"/>
        <c:lblAlgn val="ctr"/>
        <c:lblOffset val="100"/>
        <c:noMultiLvlLbl val="0"/>
      </c:catAx>
      <c:valAx>
        <c:axId val="617722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7722192"/>
        <c:crosses val="autoZero"/>
        <c:crossBetween val="between"/>
      </c:valAx>
      <c:spPr>
        <a:noFill/>
        <a:ln>
          <a:solidFill>
            <a:schemeClr val="tx1">
              <a:lumMod val="50000"/>
              <a:lumOff val="50000"/>
            </a:schemeClr>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[3._shelter-nfi-cccm_rakhine_cluster_analysis_report_31_march_2018.xlsx]Shelter Progress!PivotTable1</c:name>
    <c:fmtId val="2"/>
  </c:pivotSource>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Informal/Makeshift Shelter by Township</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351011907680023"/>
          <c:y val="0.17171296296296298"/>
          <c:w val="0.73461181095744577"/>
          <c:h val="0.72088764946048411"/>
        </c:manualLayout>
      </c:layout>
      <c:barChart>
        <c:barDir val="col"/>
        <c:grouping val="clustered"/>
        <c:varyColors val="0"/>
        <c:ser>
          <c:idx val="0"/>
          <c:order val="0"/>
          <c:tx>
            <c:strRef>
              <c:f>'Shelter Progress'!$E$38</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Progress'!$D$39:$D$40</c:f>
              <c:strCache>
                <c:ptCount val="1"/>
                <c:pt idx="0">
                  <c:v>Sittwe</c:v>
                </c:pt>
              </c:strCache>
            </c:strRef>
          </c:cat>
          <c:val>
            <c:numRef>
              <c:f>'Shelter Progress'!$E$39:$E$40</c:f>
              <c:numCache>
                <c:formatCode>General</c:formatCode>
                <c:ptCount val="1"/>
                <c:pt idx="0">
                  <c:v>2883</c:v>
                </c:pt>
              </c:numCache>
            </c:numRef>
          </c:val>
        </c:ser>
        <c:dLbls>
          <c:showLegendKey val="0"/>
          <c:showVal val="0"/>
          <c:showCatName val="0"/>
          <c:showSerName val="0"/>
          <c:showPercent val="0"/>
          <c:showBubbleSize val="0"/>
        </c:dLbls>
        <c:gapWidth val="219"/>
        <c:overlap val="-27"/>
        <c:axId val="617723368"/>
        <c:axId val="617723760"/>
      </c:barChart>
      <c:catAx>
        <c:axId val="617723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17723760"/>
        <c:crosses val="autoZero"/>
        <c:auto val="1"/>
        <c:lblAlgn val="ctr"/>
        <c:lblOffset val="100"/>
        <c:noMultiLvlLbl val="0"/>
      </c:catAx>
      <c:valAx>
        <c:axId val="617723760"/>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17723368"/>
        <c:crosses val="autoZero"/>
        <c:crossBetween val="between"/>
      </c:valAx>
      <c:spPr>
        <a:noFill/>
        <a:ln w="6350">
          <a:solidFill>
            <a:schemeClr val="bg2">
              <a:lumMod val="90000"/>
            </a:schemeClr>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[3._shelter-nfi-cccm_rakhine_cluster_analysis_report_31_march_2018.xlsx]Camp Analysis!PivotTable6</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solidFill>
            <a:schemeClr val="accent1"/>
          </a:solidFill>
        </c:spPr>
      </c:pivotFmt>
    </c:pivotFmts>
    <c:plotArea>
      <c:layout>
        <c:manualLayout>
          <c:layoutTarget val="inner"/>
          <c:xMode val="edge"/>
          <c:yMode val="edge"/>
          <c:x val="0.13410594538634496"/>
          <c:y val="0.20870031151993773"/>
          <c:w val="0.82289660308379742"/>
          <c:h val="0.70321922917530044"/>
        </c:manualLayout>
      </c:layout>
      <c:barChart>
        <c:barDir val="col"/>
        <c:grouping val="stacked"/>
        <c:varyColors val="0"/>
        <c:ser>
          <c:idx val="0"/>
          <c:order val="0"/>
          <c:tx>
            <c:strRef>
              <c:f>'Camp Analysis'!$H$51:$H$52</c:f>
              <c:strCache>
                <c:ptCount val="1"/>
                <c:pt idx="0">
                  <c:v>Camp Management</c:v>
                </c:pt>
              </c:strCache>
            </c:strRef>
          </c:tx>
          <c:invertIfNegative val="0"/>
          <c:cat>
            <c:strRef>
              <c:f>'Camp Analysis'!$G$53:$G$58</c:f>
              <c:strCache>
                <c:ptCount val="5"/>
                <c:pt idx="0">
                  <c:v>DRC</c:v>
                </c:pt>
                <c:pt idx="1">
                  <c:v>LWF</c:v>
                </c:pt>
                <c:pt idx="2">
                  <c:v>NRC</c:v>
                </c:pt>
                <c:pt idx="3">
                  <c:v>UNHCR</c:v>
                </c:pt>
                <c:pt idx="4">
                  <c:v>RI</c:v>
                </c:pt>
              </c:strCache>
            </c:strRef>
          </c:cat>
          <c:val>
            <c:numRef>
              <c:f>'Camp Analysis'!$H$53:$H$58</c:f>
              <c:numCache>
                <c:formatCode>General</c:formatCode>
                <c:ptCount val="5"/>
                <c:pt idx="0">
                  <c:v>63907</c:v>
                </c:pt>
                <c:pt idx="1">
                  <c:v>44051</c:v>
                </c:pt>
                <c:pt idx="2">
                  <c:v>9295</c:v>
                </c:pt>
              </c:numCache>
            </c:numRef>
          </c:val>
        </c:ser>
        <c:ser>
          <c:idx val="1"/>
          <c:order val="1"/>
          <c:tx>
            <c:strRef>
              <c:f>'Camp Analysis'!$I$51:$I$52</c:f>
              <c:strCache>
                <c:ptCount val="1"/>
                <c:pt idx="0">
                  <c:v>Focal Point</c:v>
                </c:pt>
              </c:strCache>
            </c:strRef>
          </c:tx>
          <c:invertIfNegative val="0"/>
          <c:dPt>
            <c:idx val="2"/>
            <c:invertIfNegative val="0"/>
            <c:bubble3D val="0"/>
            <c:spPr>
              <a:solidFill>
                <a:schemeClr val="accent1"/>
              </a:solidFill>
            </c:spPr>
          </c:dPt>
          <c:dPt>
            <c:idx val="3"/>
            <c:invertIfNegative val="0"/>
            <c:bubble3D val="0"/>
          </c:dPt>
          <c:cat>
            <c:strRef>
              <c:f>'Camp Analysis'!$G$53:$G$58</c:f>
              <c:strCache>
                <c:ptCount val="5"/>
                <c:pt idx="0">
                  <c:v>DRC</c:v>
                </c:pt>
                <c:pt idx="1">
                  <c:v>LWF</c:v>
                </c:pt>
                <c:pt idx="2">
                  <c:v>NRC</c:v>
                </c:pt>
                <c:pt idx="3">
                  <c:v>UNHCR</c:v>
                </c:pt>
                <c:pt idx="4">
                  <c:v>RI</c:v>
                </c:pt>
              </c:strCache>
            </c:strRef>
          </c:cat>
          <c:val>
            <c:numRef>
              <c:f>'Camp Analysis'!$I$53:$I$58</c:f>
              <c:numCache>
                <c:formatCode>General</c:formatCode>
                <c:ptCount val="5"/>
                <c:pt idx="3">
                  <c:v>7715</c:v>
                </c:pt>
                <c:pt idx="4">
                  <c:v>2606</c:v>
                </c:pt>
              </c:numCache>
            </c:numRef>
          </c:val>
        </c:ser>
        <c:dLbls>
          <c:showLegendKey val="0"/>
          <c:showVal val="0"/>
          <c:showCatName val="0"/>
          <c:showSerName val="0"/>
          <c:showPercent val="0"/>
          <c:showBubbleSize val="0"/>
        </c:dLbls>
        <c:gapWidth val="70"/>
        <c:overlap val="100"/>
        <c:axId val="416092624"/>
        <c:axId val="416093016"/>
      </c:barChart>
      <c:catAx>
        <c:axId val="416092624"/>
        <c:scaling>
          <c:orientation val="minMax"/>
        </c:scaling>
        <c:delete val="0"/>
        <c:axPos val="b"/>
        <c:numFmt formatCode="General" sourceLinked="0"/>
        <c:majorTickMark val="out"/>
        <c:minorTickMark val="none"/>
        <c:tickLblPos val="nextTo"/>
        <c:txPr>
          <a:bodyPr/>
          <a:lstStyle/>
          <a:p>
            <a:pPr>
              <a:defRPr sz="1100"/>
            </a:pPr>
            <a:endParaRPr lang="en-US"/>
          </a:p>
        </c:txPr>
        <c:crossAx val="416093016"/>
        <c:crosses val="autoZero"/>
        <c:auto val="1"/>
        <c:lblAlgn val="ctr"/>
        <c:lblOffset val="100"/>
        <c:noMultiLvlLbl val="0"/>
      </c:catAx>
      <c:valAx>
        <c:axId val="416093016"/>
        <c:scaling>
          <c:orientation val="minMax"/>
        </c:scaling>
        <c:delete val="0"/>
        <c:axPos val="l"/>
        <c:majorGridlines/>
        <c:numFmt formatCode="#,##0" sourceLinked="0"/>
        <c:majorTickMark val="out"/>
        <c:minorTickMark val="none"/>
        <c:tickLblPos val="nextTo"/>
        <c:crossAx val="416092624"/>
        <c:crosses val="autoZero"/>
        <c:crossBetween val="between"/>
        <c:majorUnit val="10000"/>
      </c:valAx>
      <c:spPr>
        <a:ln>
          <a:solidFill>
            <a:schemeClr val="tx1"/>
          </a:solidFill>
        </a:ln>
      </c:spPr>
    </c:plotArea>
    <c:legend>
      <c:legendPos val="r"/>
      <c:layout>
        <c:manualLayout>
          <c:xMode val="edge"/>
          <c:yMode val="edge"/>
          <c:x val="0.39762367814119987"/>
          <c:y val="9.0965881628700729E-2"/>
          <c:w val="0.60237631806103265"/>
          <c:h val="7.7555739743058433E-2"/>
        </c:manualLayout>
      </c:layout>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[3._shelter-nfi-cccm_rakhine_cluster_analysis_report_31_march_2018.xlsx]Shelter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plotArea>
      <c:layout>
        <c:manualLayout>
          <c:layoutTarget val="inner"/>
          <c:xMode val="edge"/>
          <c:yMode val="edge"/>
          <c:x val="0.21971330435638536"/>
          <c:y val="0.16930125097894724"/>
          <c:w val="0.75070251906783347"/>
          <c:h val="0.64254588099118171"/>
        </c:manualLayout>
      </c:layout>
      <c:barChart>
        <c:barDir val="bar"/>
        <c:grouping val="clustered"/>
        <c:varyColors val="0"/>
        <c:ser>
          <c:idx val="0"/>
          <c:order val="0"/>
          <c:tx>
            <c:strRef>
              <c:f>'Shelter Summary (by agency)'!$B$7</c:f>
              <c:strCache>
                <c:ptCount val="1"/>
                <c:pt idx="0">
                  <c:v>Total</c:v>
                </c:pt>
              </c:strCache>
            </c:strRef>
          </c:tx>
          <c:invertIfNegative val="0"/>
          <c:cat>
            <c:strRef>
              <c:f>'Shelter Summary (by agency)'!$A$8:$A$23</c:f>
              <c:strCache>
                <c:ptCount val="15"/>
                <c:pt idx="0">
                  <c:v>CARE</c:v>
                </c:pt>
                <c:pt idx="1">
                  <c:v>DRC</c:v>
                </c:pt>
                <c:pt idx="2">
                  <c:v>Government</c:v>
                </c:pt>
                <c:pt idx="3">
                  <c:v>ICRC</c:v>
                </c:pt>
                <c:pt idx="4">
                  <c:v>IRW</c:v>
                </c:pt>
                <c:pt idx="5">
                  <c:v>MAUK</c:v>
                </c:pt>
                <c:pt idx="6">
                  <c:v>MRCS</c:v>
                </c:pt>
                <c:pt idx="7">
                  <c:v>MRF</c:v>
                </c:pt>
                <c:pt idx="8">
                  <c:v>Service City</c:v>
                </c:pt>
                <c:pt idx="9">
                  <c:v>UNHCR</c:v>
                </c:pt>
                <c:pt idx="10">
                  <c:v>WFP</c:v>
                </c:pt>
                <c:pt idx="11">
                  <c:v>RSG</c:v>
                </c:pt>
                <c:pt idx="12">
                  <c:v>MRCS-QRC</c:v>
                </c:pt>
                <c:pt idx="13">
                  <c:v>RSG-TIKA</c:v>
                </c:pt>
                <c:pt idx="14">
                  <c:v>Self Constructed</c:v>
                </c:pt>
              </c:strCache>
            </c:strRef>
          </c:cat>
          <c:val>
            <c:numRef>
              <c:f>'Shelter Summary (by agency)'!$B$8:$B$23</c:f>
              <c:numCache>
                <c:formatCode>_-* #,##0_-;\-* #,##0_-;_-* "-"??_-;_-@_-</c:formatCode>
                <c:ptCount val="15"/>
                <c:pt idx="0">
                  <c:v>1792</c:v>
                </c:pt>
                <c:pt idx="1">
                  <c:v>1784</c:v>
                </c:pt>
                <c:pt idx="2">
                  <c:v>7806</c:v>
                </c:pt>
                <c:pt idx="3">
                  <c:v>152</c:v>
                </c:pt>
                <c:pt idx="4">
                  <c:v>400</c:v>
                </c:pt>
                <c:pt idx="5">
                  <c:v>256</c:v>
                </c:pt>
                <c:pt idx="6">
                  <c:v>480</c:v>
                </c:pt>
                <c:pt idx="7">
                  <c:v>1762</c:v>
                </c:pt>
                <c:pt idx="8">
                  <c:v>248</c:v>
                </c:pt>
                <c:pt idx="9">
                  <c:v>4200</c:v>
                </c:pt>
                <c:pt idx="10">
                  <c:v>400</c:v>
                </c:pt>
                <c:pt idx="11">
                  <c:v>480</c:v>
                </c:pt>
                <c:pt idx="12">
                  <c:v>56</c:v>
                </c:pt>
                <c:pt idx="13">
                  <c:v>891</c:v>
                </c:pt>
                <c:pt idx="14">
                  <c:v>2883</c:v>
                </c:pt>
              </c:numCache>
            </c:numRef>
          </c:val>
        </c:ser>
        <c:dLbls>
          <c:showLegendKey val="0"/>
          <c:showVal val="0"/>
          <c:showCatName val="0"/>
          <c:showSerName val="0"/>
          <c:showPercent val="0"/>
          <c:showBubbleSize val="0"/>
        </c:dLbls>
        <c:gapWidth val="55"/>
        <c:axId val="617724544"/>
        <c:axId val="617724936"/>
      </c:barChart>
      <c:catAx>
        <c:axId val="617724544"/>
        <c:scaling>
          <c:orientation val="minMax"/>
        </c:scaling>
        <c:delete val="0"/>
        <c:axPos val="l"/>
        <c:numFmt formatCode="General" sourceLinked="0"/>
        <c:majorTickMark val="out"/>
        <c:minorTickMark val="none"/>
        <c:tickLblPos val="nextTo"/>
        <c:spPr>
          <a:ln>
            <a:noFill/>
          </a:ln>
        </c:spPr>
        <c:crossAx val="617724936"/>
        <c:crosses val="autoZero"/>
        <c:auto val="1"/>
        <c:lblAlgn val="ctr"/>
        <c:lblOffset val="100"/>
        <c:noMultiLvlLbl val="0"/>
      </c:catAx>
      <c:valAx>
        <c:axId val="617724936"/>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0.3723564949092984"/>
              <c:y val="0.88696668770387721"/>
            </c:manualLayout>
          </c:layout>
          <c:overlay val="0"/>
        </c:title>
        <c:numFmt formatCode="#,##0" sourceLinked="0"/>
        <c:majorTickMark val="out"/>
        <c:minorTickMark val="none"/>
        <c:tickLblPos val="nextTo"/>
        <c:crossAx val="617724544"/>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77893154004269"/>
          <c:y val="9.0315874888601808E-2"/>
          <c:w val="0.75510854931887339"/>
          <c:h val="0.72393204584062187"/>
        </c:manualLayout>
      </c:layout>
      <c:pieChart>
        <c:varyColors val="1"/>
        <c:ser>
          <c:idx val="0"/>
          <c:order val="0"/>
          <c:explosion val="10"/>
          <c:dPt>
            <c:idx val="0"/>
            <c:bubble3D val="0"/>
            <c:explosion val="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dPt>
          <c:dPt>
            <c:idx val="1"/>
            <c:bubble3D val="0"/>
            <c:explosion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'Shelter Coverage &amp; Gaps'!$M$7:$N$7</c:f>
              <c:strCache>
                <c:ptCount val="2"/>
                <c:pt idx="0">
                  <c:v># Ind. Covered</c:v>
                </c:pt>
                <c:pt idx="1">
                  <c:v># Ind. Not Covered</c:v>
                </c:pt>
              </c:strCache>
            </c:strRef>
          </c:cat>
          <c:val>
            <c:numRef>
              <c:f>'Shelter Coverage &amp; Gaps'!$M$14:$N$14</c:f>
              <c:numCache>
                <c:formatCode>_-* #,##0_-;\-* #,##0_-;_-* "-"??_-;_-@_-</c:formatCode>
                <c:ptCount val="2"/>
                <c:pt idx="0" formatCode="#,##0">
                  <c:v>97611.879743883313</c:v>
                </c:pt>
                <c:pt idx="1">
                  <c:v>22483.120256116687</c:v>
                </c:pt>
              </c:numCache>
            </c:numRef>
          </c:val>
        </c:ser>
        <c:dLbls>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[3._shelter-nfi-cccm_rakhine_cluster_analysis_report_31_march_2018.xlsx]Shelter Progress!PivotTable3</c:name>
    <c:fmtId val="15"/>
  </c:pivotSource>
  <c:chart>
    <c:title>
      <c:tx>
        <c:rich>
          <a:bodyPr/>
          <a:lstStyle/>
          <a:p>
            <a:pPr algn="ctr" rtl="0">
              <a:defRPr lang="en-US" sz="1200" b="1" i="0" u="none" strike="noStrike" kern="1200" baseline="0">
                <a:solidFill>
                  <a:schemeClr val="tx1"/>
                </a:solidFill>
                <a:effectLst/>
                <a:latin typeface="+mn-lt"/>
                <a:ea typeface="+mn-ea"/>
                <a:cs typeface="+mn-cs"/>
              </a:defRPr>
            </a:pPr>
            <a:r>
              <a:rPr lang="en-US" sz="1200" b="1" i="0" u="none" strike="noStrike" kern="1200" baseline="0">
                <a:solidFill>
                  <a:schemeClr val="tx1"/>
                </a:solidFill>
                <a:effectLst/>
                <a:latin typeface="+mn-lt"/>
                <a:ea typeface="+mn-ea"/>
                <a:cs typeface="+mn-cs"/>
              </a:rPr>
              <a:t>Temporary Shelter Construction in Rakhine State by Agency </a:t>
            </a:r>
          </a:p>
        </c:rich>
      </c:tx>
      <c:layout>
        <c:manualLayout>
          <c:xMode val="edge"/>
          <c:yMode val="edge"/>
          <c:x val="0.23110164366742109"/>
          <c:y val="2.4419059816312396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6"/>
        <c:dLbl>
          <c:idx val="0"/>
          <c:layout>
            <c:manualLayout>
              <c:x val="-1.0259640990094121E-3"/>
              <c:y val="-0.31892862327083371"/>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dLbl>
          <c:idx val="0"/>
          <c:layout>
            <c:manualLayout>
              <c:x val="0"/>
              <c:y val="-0.22758403597103521"/>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dLbl>
          <c:idx val="0"/>
          <c:layout>
            <c:manualLayout>
              <c:x val="0"/>
              <c:y val="-8.7033596508295077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
              <c:y val="-9.9904694260552387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5765074034235566E-2"/>
          <c:y val="0.10767506341208158"/>
          <c:w val="0.91984601637063101"/>
          <c:h val="0.70086829884588231"/>
        </c:manualLayout>
      </c:layout>
      <c:barChart>
        <c:barDir val="col"/>
        <c:grouping val="stacked"/>
        <c:varyColors val="0"/>
        <c:ser>
          <c:idx val="0"/>
          <c:order val="0"/>
          <c:tx>
            <c:strRef>
              <c:f>'Shelter Progress'!$B$28</c:f>
              <c:strCache>
                <c:ptCount val="1"/>
                <c:pt idx="0">
                  <c:v>Total</c:v>
                </c:pt>
              </c:strCache>
            </c:strRef>
          </c:tx>
          <c:invertIfNegative val="0"/>
          <c:dLbls>
            <c:dLbl>
              <c:idx val="0"/>
              <c:layout>
                <c:manualLayout>
                  <c:x val="-1.0259640990094121E-3"/>
                  <c:y val="-0.31892862327083371"/>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22758403597103521"/>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8.703359650829507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
                  <c:y val="-9.990469426055238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7.48445932474529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3.8940518160310592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5.2416060528580888E-3"/>
                  <c:y val="-3.5261725432284313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
                  <c:y val="-3.858467476698798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0"/>
                  <c:y val="-3.71131576757774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2.6208030264291407E-3"/>
                  <c:y val="-3.489384615948168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2416060528580888E-3"/>
                  <c:y val="-3.8045153386817993E-2"/>
                </c:manualLayout>
              </c:layout>
              <c:dLblPos val="ctr"/>
              <c:showLegendKey val="0"/>
              <c:showVal val="1"/>
              <c:showCatName val="0"/>
              <c:showSerName val="0"/>
              <c:showPercent val="0"/>
              <c:showBubbleSize val="0"/>
              <c:extLst>
                <c:ext xmlns:c15="http://schemas.microsoft.com/office/drawing/2012/chart" uri="{CE6537A1-D6FC-4f65-9D91-7224C49458BB}"/>
              </c:extLst>
            </c:dLbl>
            <c:spPr/>
            <c:txPr>
              <a:bodyPr/>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Progress'!$A$29:$A$40</c:f>
              <c:strCache>
                <c:ptCount val="11"/>
                <c:pt idx="0">
                  <c:v>Government</c:v>
                </c:pt>
                <c:pt idx="1">
                  <c:v>UNHCR</c:v>
                </c:pt>
                <c:pt idx="2">
                  <c:v>CARE</c:v>
                </c:pt>
                <c:pt idx="3">
                  <c:v>DRC</c:v>
                </c:pt>
                <c:pt idx="4">
                  <c:v>MRF</c:v>
                </c:pt>
                <c:pt idx="5">
                  <c:v>MRCS</c:v>
                </c:pt>
                <c:pt idx="6">
                  <c:v>IRW</c:v>
                </c:pt>
                <c:pt idx="7">
                  <c:v>WFP</c:v>
                </c:pt>
                <c:pt idx="8">
                  <c:v>MAUK</c:v>
                </c:pt>
                <c:pt idx="9">
                  <c:v>Service City</c:v>
                </c:pt>
                <c:pt idx="10">
                  <c:v>ICRC</c:v>
                </c:pt>
              </c:strCache>
            </c:strRef>
          </c:cat>
          <c:val>
            <c:numRef>
              <c:f>'Shelter Progress'!$B$29:$B$40</c:f>
              <c:numCache>
                <c:formatCode>General</c:formatCode>
                <c:ptCount val="11"/>
                <c:pt idx="0">
                  <c:v>941</c:v>
                </c:pt>
                <c:pt idx="1">
                  <c:v>694</c:v>
                </c:pt>
                <c:pt idx="2">
                  <c:v>224</c:v>
                </c:pt>
                <c:pt idx="3">
                  <c:v>223</c:v>
                </c:pt>
                <c:pt idx="4">
                  <c:v>201</c:v>
                </c:pt>
                <c:pt idx="5">
                  <c:v>60</c:v>
                </c:pt>
                <c:pt idx="6">
                  <c:v>50</c:v>
                </c:pt>
                <c:pt idx="7">
                  <c:v>40</c:v>
                </c:pt>
                <c:pt idx="8">
                  <c:v>32</c:v>
                </c:pt>
                <c:pt idx="9">
                  <c:v>31</c:v>
                </c:pt>
                <c:pt idx="10">
                  <c:v>19</c:v>
                </c:pt>
              </c:numCache>
            </c:numRef>
          </c:val>
        </c:ser>
        <c:dLbls>
          <c:dLblPos val="inEnd"/>
          <c:showLegendKey val="0"/>
          <c:showVal val="1"/>
          <c:showCatName val="0"/>
          <c:showSerName val="0"/>
          <c:showPercent val="0"/>
          <c:showBubbleSize val="0"/>
        </c:dLbls>
        <c:gapWidth val="150"/>
        <c:overlap val="100"/>
        <c:axId val="617726112"/>
        <c:axId val="617726504"/>
      </c:barChart>
      <c:catAx>
        <c:axId val="61772611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617726504"/>
        <c:crosses val="autoZero"/>
        <c:auto val="1"/>
        <c:lblAlgn val="ctr"/>
        <c:lblOffset val="100"/>
        <c:noMultiLvlLbl val="0"/>
      </c:catAx>
      <c:valAx>
        <c:axId val="617726504"/>
        <c:scaling>
          <c:orientation val="minMax"/>
        </c:scaling>
        <c:delete val="1"/>
        <c:axPos val="l"/>
        <c:majorGridlines>
          <c:spPr>
            <a:ln>
              <a:noFill/>
            </a:ln>
          </c:spPr>
        </c:majorGridlines>
        <c:numFmt formatCode="General" sourceLinked="1"/>
        <c:majorTickMark val="out"/>
        <c:minorTickMark val="none"/>
        <c:tickLblPos val="nextTo"/>
        <c:crossAx val="617726112"/>
        <c:crosses val="autoZero"/>
        <c:crossBetween val="between"/>
      </c:valAx>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GB" sz="1100" b="1" baseline="0">
                <a:solidFill>
                  <a:schemeClr val="tx1"/>
                </a:solidFill>
                <a:effectLst/>
              </a:rPr>
              <a:t>Coverage by Shelter (# of HH) by Organization </a:t>
            </a:r>
            <a:endParaRPr lang="en-US" sz="1100" b="1">
              <a:solidFill>
                <a:schemeClr val="tx1"/>
              </a:solidFill>
              <a:effectLst/>
            </a:endParaRPr>
          </a:p>
        </c:rich>
      </c:tx>
      <c:layout>
        <c:manualLayout>
          <c:xMode val="edge"/>
          <c:yMode val="edge"/>
          <c:x val="0.2011804461942257"/>
          <c:y val="0"/>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0042913385826769"/>
          <c:y val="9.7228892698608488E-2"/>
          <c:w val="0.7424667541557306"/>
          <c:h val="0.7843563193254629"/>
        </c:manualLayout>
      </c:layout>
      <c:barChart>
        <c:barDir val="bar"/>
        <c:grouping val="clustered"/>
        <c:varyColors val="0"/>
        <c:ser>
          <c:idx val="0"/>
          <c:order val="0"/>
          <c:spPr>
            <a:solidFill>
              <a:schemeClr val="accent1"/>
            </a:solidFill>
            <a:ln>
              <a:noFill/>
            </a:ln>
            <a:effectLst/>
          </c:spPr>
          <c:invertIfNegative val="0"/>
          <c:dLbls>
            <c:dLbl>
              <c:idx val="2"/>
              <c:layout>
                <c:manualLayout>
                  <c:x val="3.0389361904757349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Summary (by agency)'!$D$28:$D$38</c:f>
              <c:strCache>
                <c:ptCount val="11"/>
                <c:pt idx="0">
                  <c:v>CARE</c:v>
                </c:pt>
                <c:pt idx="1">
                  <c:v>DRC</c:v>
                </c:pt>
                <c:pt idx="2">
                  <c:v>Government</c:v>
                </c:pt>
                <c:pt idx="3">
                  <c:v>ICRC</c:v>
                </c:pt>
                <c:pt idx="4">
                  <c:v>IRW</c:v>
                </c:pt>
                <c:pt idx="5">
                  <c:v>MAUK</c:v>
                </c:pt>
                <c:pt idx="6">
                  <c:v>MRCS</c:v>
                </c:pt>
                <c:pt idx="7">
                  <c:v>MRF</c:v>
                </c:pt>
                <c:pt idx="8">
                  <c:v>Service City</c:v>
                </c:pt>
                <c:pt idx="9">
                  <c:v>UNHCR</c:v>
                </c:pt>
                <c:pt idx="10">
                  <c:v>WFP</c:v>
                </c:pt>
              </c:strCache>
            </c:strRef>
          </c:cat>
          <c:val>
            <c:numRef>
              <c:f>'Shelter Summary (by agency)'!$E$28:$E$38</c:f>
              <c:numCache>
                <c:formatCode>_-* #,##0_-;\-* #,##0_-;_-* "-"??_-;_-@_-</c:formatCode>
                <c:ptCount val="11"/>
                <c:pt idx="0">
                  <c:v>1792</c:v>
                </c:pt>
                <c:pt idx="1">
                  <c:v>1736</c:v>
                </c:pt>
                <c:pt idx="2">
                  <c:v>8118</c:v>
                </c:pt>
                <c:pt idx="3">
                  <c:v>152</c:v>
                </c:pt>
                <c:pt idx="4">
                  <c:v>320</c:v>
                </c:pt>
                <c:pt idx="5">
                  <c:v>256</c:v>
                </c:pt>
                <c:pt idx="6">
                  <c:v>480</c:v>
                </c:pt>
                <c:pt idx="7">
                  <c:v>1762</c:v>
                </c:pt>
                <c:pt idx="8">
                  <c:v>248</c:v>
                </c:pt>
                <c:pt idx="9">
                  <c:v>4200</c:v>
                </c:pt>
                <c:pt idx="10">
                  <c:v>400</c:v>
                </c:pt>
              </c:numCache>
            </c:numRef>
          </c:val>
        </c:ser>
        <c:dLbls>
          <c:showLegendKey val="0"/>
          <c:showVal val="0"/>
          <c:showCatName val="0"/>
          <c:showSerName val="0"/>
          <c:showPercent val="0"/>
          <c:showBubbleSize val="0"/>
        </c:dLbls>
        <c:gapWidth val="35"/>
        <c:overlap val="100"/>
        <c:axId val="617727288"/>
        <c:axId val="617727680"/>
      </c:barChart>
      <c:catAx>
        <c:axId val="617727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17727680"/>
        <c:crosses val="autoZero"/>
        <c:auto val="1"/>
        <c:lblAlgn val="ctr"/>
        <c:lblOffset val="100"/>
        <c:noMultiLvlLbl val="0"/>
      </c:catAx>
      <c:valAx>
        <c:axId val="617727680"/>
        <c:scaling>
          <c:orientation val="minMax"/>
        </c:scaling>
        <c:delete val="0"/>
        <c:axPos val="b"/>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7727288"/>
        <c:crosses val="autoZero"/>
        <c:crossBetween val="between"/>
      </c:valAx>
      <c:spPr>
        <a:noFill/>
        <a:ln>
          <a:solidFill>
            <a:schemeClr val="bg1">
              <a:lumMod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78057742782148"/>
          <c:y val="7.4448710200236509E-2"/>
          <c:w val="0.71564002624671919"/>
          <c:h val="0.86866837419860354"/>
        </c:manualLayout>
      </c:layout>
      <c:barChart>
        <c:barDir val="bar"/>
        <c:grouping val="stacked"/>
        <c:varyColors val="0"/>
        <c:ser>
          <c:idx val="0"/>
          <c:order val="0"/>
          <c:spPr>
            <a:solidFill>
              <a:schemeClr val="accent4">
                <a:lumMod val="60000"/>
                <a:lumOff val="4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1"/>
          <c:order val="1"/>
          <c:spPr>
            <a:solidFill>
              <a:schemeClr val="accent6">
                <a:lumMod val="20000"/>
                <a:lumOff val="8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2"/>
          <c:order val="2"/>
          <c:spPr>
            <a:solidFill>
              <a:schemeClr val="accent6"/>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3"/>
          <c:order val="3"/>
          <c:spPr>
            <a:solidFill>
              <a:srgbClr val="002060"/>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4"/>
          <c:order val="4"/>
          <c:spPr>
            <a:solidFill>
              <a:schemeClr val="accent4">
                <a:lumMod val="6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5"/>
          <c:order val="5"/>
          <c:spPr>
            <a:solidFill>
              <a:schemeClr val="accent6">
                <a:lumMod val="6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6"/>
          <c:order val="6"/>
          <c:spPr>
            <a:solidFill>
              <a:schemeClr val="accent2">
                <a:lumMod val="80000"/>
                <a:lumOff val="2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7"/>
          <c:order val="7"/>
          <c:spPr>
            <a:solidFill>
              <a:schemeClr val="accent2">
                <a:lumMod val="5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8"/>
          <c:order val="8"/>
          <c:spPr>
            <a:solidFill>
              <a:schemeClr val="accent6">
                <a:lumMod val="80000"/>
                <a:lumOff val="2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9"/>
          <c:order val="9"/>
          <c:spPr>
            <a:solidFill>
              <a:schemeClr val="accent1">
                <a:lumMod val="75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dLbls>
          <c:showLegendKey val="0"/>
          <c:showVal val="0"/>
          <c:showCatName val="0"/>
          <c:showSerName val="0"/>
          <c:showPercent val="0"/>
          <c:showBubbleSize val="0"/>
        </c:dLbls>
        <c:gapWidth val="290"/>
        <c:overlap val="100"/>
        <c:axId val="629792672"/>
        <c:axId val="629793064"/>
      </c:barChart>
      <c:catAx>
        <c:axId val="6297926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9793064"/>
        <c:crosses val="autoZero"/>
        <c:auto val="1"/>
        <c:lblAlgn val="ctr"/>
        <c:lblOffset val="100"/>
        <c:noMultiLvlLbl val="0"/>
      </c:catAx>
      <c:valAx>
        <c:axId val="6297930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9792672"/>
        <c:crosses val="autoZero"/>
        <c:crossBetween val="between"/>
      </c:valAx>
      <c:spPr>
        <a:noFill/>
        <a:ln>
          <a:noFill/>
        </a:ln>
        <a:effectLst/>
      </c:spPr>
    </c:plotArea>
    <c:legend>
      <c:legendPos val="r"/>
      <c:layout>
        <c:manualLayout>
          <c:xMode val="edge"/>
          <c:yMode val="edge"/>
          <c:x val="0.91270800524934392"/>
          <c:y val="7.2766776826992077E-2"/>
          <c:w val="8.5119816272965859E-2"/>
          <c:h val="0.887936515647481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US" sz="1200" b="1">
                <a:solidFill>
                  <a:sysClr val="windowText" lastClr="000000"/>
                </a:solidFill>
              </a:rPr>
              <a:t># NFI Items Distributed (in</a:t>
            </a:r>
            <a:r>
              <a:rPr lang="en-US" sz="1200" b="1" baseline="0">
                <a:solidFill>
                  <a:sysClr val="windowText" lastClr="000000"/>
                </a:solidFill>
              </a:rPr>
              <a:t> 12 Months</a:t>
            </a:r>
            <a:r>
              <a:rPr lang="en-US" sz="1200" b="1">
                <a:solidFill>
                  <a:sysClr val="windowText" lastClr="000000"/>
                </a:solidFill>
              </a:rPr>
              <a:t>)</a:t>
            </a:r>
          </a:p>
        </c:rich>
      </c:tx>
      <c:layout>
        <c:manualLayout>
          <c:xMode val="edge"/>
          <c:yMode val="edge"/>
          <c:x val="4.8742423108674604E-2"/>
          <c:y val="3.027100877612741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8976096886713885E-2"/>
          <c:y val="0.13516424505185712"/>
          <c:w val="0.90708609789402128"/>
          <c:h val="0.5970052490137501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Distribution by 12 Months'!$C$130:$M$130</c:f>
              <c:strCache>
                <c:ptCount val="11"/>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strCache>
            </c:strRef>
          </c:cat>
          <c:val>
            <c:numRef>
              <c:f>'NFI Distribution by 12 Months'!$C$131:$M$131</c:f>
              <c:numCache>
                <c:formatCode>General</c:formatCode>
                <c:ptCount val="11"/>
                <c:pt idx="0">
                  <c:v>11814</c:v>
                </c:pt>
                <c:pt idx="1">
                  <c:v>7784</c:v>
                </c:pt>
                <c:pt idx="2">
                  <c:v>9427</c:v>
                </c:pt>
                <c:pt idx="3">
                  <c:v>6593</c:v>
                </c:pt>
                <c:pt idx="4">
                  <c:v>6</c:v>
                </c:pt>
                <c:pt idx="5">
                  <c:v>30237.5</c:v>
                </c:pt>
                <c:pt idx="6">
                  <c:v>560</c:v>
                </c:pt>
                <c:pt idx="7">
                  <c:v>0</c:v>
                </c:pt>
                <c:pt idx="8">
                  <c:v>0</c:v>
                </c:pt>
                <c:pt idx="9">
                  <c:v>689</c:v>
                </c:pt>
                <c:pt idx="10">
                  <c:v>37247</c:v>
                </c:pt>
              </c:numCache>
            </c:numRef>
          </c:val>
        </c:ser>
        <c:dLbls>
          <c:showLegendKey val="0"/>
          <c:showVal val="0"/>
          <c:showCatName val="0"/>
          <c:showSerName val="0"/>
          <c:showPercent val="0"/>
          <c:showBubbleSize val="0"/>
        </c:dLbls>
        <c:gapWidth val="58"/>
        <c:overlap val="100"/>
        <c:axId val="629793848"/>
        <c:axId val="629794240"/>
      </c:barChart>
      <c:catAx>
        <c:axId val="629793848"/>
        <c:scaling>
          <c:orientation val="minMax"/>
        </c:scaling>
        <c:delete val="0"/>
        <c:axPos val="b"/>
        <c:numFmt formatCode="General" sourceLinked="1"/>
        <c:majorTickMark val="none"/>
        <c:minorTickMark val="none"/>
        <c:tickLblPos val="nextTo"/>
        <c:spPr>
          <a:noFill/>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rot="-5400000" spcFirstLastPara="1" vertOverflow="ellipsis" wrap="square" anchor="ctr" anchorCtr="1"/>
          <a:lstStyle/>
          <a:p>
            <a:pPr>
              <a:defRPr sz="1010" b="0" i="0" u="none" strike="noStrike" kern="1200" baseline="0">
                <a:solidFill>
                  <a:sysClr val="windowText" lastClr="000000"/>
                </a:solidFill>
                <a:latin typeface="+mn-lt"/>
                <a:ea typeface="+mn-ea"/>
                <a:cs typeface="+mn-cs"/>
              </a:defRPr>
            </a:pPr>
            <a:endParaRPr lang="en-US"/>
          </a:p>
        </c:txPr>
        <c:crossAx val="629794240"/>
        <c:crosses val="autoZero"/>
        <c:auto val="1"/>
        <c:lblAlgn val="ctr"/>
        <c:lblOffset val="100"/>
        <c:noMultiLvlLbl val="0"/>
      </c:catAx>
      <c:valAx>
        <c:axId val="629794240"/>
        <c:scaling>
          <c:orientation val="minMax"/>
        </c:scaling>
        <c:delete val="1"/>
        <c:axPos val="l"/>
        <c:numFmt formatCode="General" sourceLinked="1"/>
        <c:majorTickMark val="none"/>
        <c:minorTickMark val="none"/>
        <c:tickLblPos val="nextTo"/>
        <c:crossAx val="629793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Household Coverage</a:t>
            </a:r>
            <a:r>
              <a:rPr lang="en-US" sz="1100" b="1" baseline="0">
                <a:solidFill>
                  <a:sysClr val="windowText" lastClr="000000"/>
                </a:solidFill>
              </a:rPr>
              <a:t> by item &amp;  </a:t>
            </a:r>
            <a:r>
              <a:rPr lang="en-US" sz="1100" b="1">
                <a:solidFill>
                  <a:sysClr val="windowText" lastClr="000000"/>
                </a:solidFill>
              </a:rPr>
              <a:t>Agency (in 12 Months) </a:t>
            </a:r>
          </a:p>
        </c:rich>
      </c:tx>
      <c:layout>
        <c:manualLayout>
          <c:xMode val="edge"/>
          <c:yMode val="edge"/>
          <c:x val="0.28214648392000091"/>
          <c:y val="1.6199376311256602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7906030526012237"/>
          <c:y val="0.15835336783757969"/>
          <c:w val="0.66753919793125971"/>
          <c:h val="0.77690262974919733"/>
        </c:manualLayout>
      </c:layout>
      <c:barChart>
        <c:barDir val="bar"/>
        <c:grouping val="stacked"/>
        <c:varyColors val="0"/>
        <c:ser>
          <c:idx val="1"/>
          <c:order val="1"/>
          <c:tx>
            <c:strRef>
              <c:f>'NFI Distribution by 12 Months'!$B$50</c:f>
              <c:strCache>
                <c:ptCount val="1"/>
                <c:pt idx="0">
                  <c:v>DRC</c:v>
                </c:pt>
              </c:strCache>
            </c:strRef>
          </c:tx>
          <c:spPr>
            <a:solidFill>
              <a:srgbClr val="FF0000"/>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f>'NFI Distribution by 12 Months'!$C$50:$M$50</c:f>
              <c:numCache>
                <c:formatCode>General</c:formatCode>
                <c:ptCount val="11"/>
                <c:pt idx="0">
                  <c:v>0</c:v>
                </c:pt>
                <c:pt idx="1">
                  <c:v>0</c:v>
                </c:pt>
                <c:pt idx="2">
                  <c:v>0</c:v>
                </c:pt>
                <c:pt idx="3">
                  <c:v>0</c:v>
                </c:pt>
                <c:pt idx="4">
                  <c:v>0</c:v>
                </c:pt>
                <c:pt idx="5">
                  <c:v>0</c:v>
                </c:pt>
                <c:pt idx="6">
                  <c:v>80</c:v>
                </c:pt>
                <c:pt idx="7">
                  <c:v>0</c:v>
                </c:pt>
                <c:pt idx="8">
                  <c:v>0</c:v>
                </c:pt>
                <c:pt idx="9">
                  <c:v>0</c:v>
                </c:pt>
                <c:pt idx="10">
                  <c:v>0</c:v>
                </c:pt>
              </c:numCache>
            </c:numRef>
          </c:val>
        </c:ser>
        <c:ser>
          <c:idx val="4"/>
          <c:order val="4"/>
          <c:tx>
            <c:strRef>
              <c:f>'NFI Distribution by 12 Months'!$B$53</c:f>
              <c:strCache>
                <c:ptCount val="1"/>
                <c:pt idx="0">
                  <c:v>MRF</c:v>
                </c:pt>
              </c:strCache>
              <c:extLst xmlns:c15="http://schemas.microsoft.com/office/drawing/2012/chart"/>
            </c:strRef>
          </c:tx>
          <c:spPr>
            <a:solidFill>
              <a:schemeClr val="accent4">
                <a:lumMod val="60000"/>
              </a:schemeClr>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extLst xmlns:c15="http://schemas.microsoft.com/office/drawing/2012/chart"/>
            </c:strRef>
          </c:cat>
          <c:val>
            <c:numRef>
              <c:f>'NFI Distribution by 12 Months'!$C$53:$M$53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extLst xmlns:c15="http://schemas.microsoft.com/office/drawing/2012/chart"/>
            </c:numRef>
          </c:val>
        </c:ser>
        <c:ser>
          <c:idx val="5"/>
          <c:order val="5"/>
          <c:tx>
            <c:strRef>
              <c:f>'NFI Distribution by 12 Months'!$B$54</c:f>
              <c:strCache>
                <c:ptCount val="1"/>
                <c:pt idx="0">
                  <c:v>NRC</c:v>
                </c:pt>
              </c:strCache>
            </c:strRef>
          </c:tx>
          <c:spPr>
            <a:solidFill>
              <a:schemeClr val="accent6"/>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f>'NFI Distribution by 12 Months'!$C$54:$M$54</c:f>
              <c:numCache>
                <c:formatCode>General</c:formatCode>
                <c:ptCount val="11"/>
                <c:pt idx="0">
                  <c:v>0</c:v>
                </c:pt>
                <c:pt idx="1">
                  <c:v>722</c:v>
                </c:pt>
                <c:pt idx="2">
                  <c:v>0</c:v>
                </c:pt>
                <c:pt idx="3">
                  <c:v>0</c:v>
                </c:pt>
                <c:pt idx="4">
                  <c:v>0</c:v>
                </c:pt>
                <c:pt idx="5">
                  <c:v>0</c:v>
                </c:pt>
                <c:pt idx="6">
                  <c:v>0</c:v>
                </c:pt>
                <c:pt idx="7">
                  <c:v>0</c:v>
                </c:pt>
                <c:pt idx="8">
                  <c:v>0</c:v>
                </c:pt>
                <c:pt idx="9">
                  <c:v>0</c:v>
                </c:pt>
                <c:pt idx="10">
                  <c:v>30</c:v>
                </c:pt>
              </c:numCache>
            </c:numRef>
          </c:val>
        </c:ser>
        <c:ser>
          <c:idx val="7"/>
          <c:order val="7"/>
          <c:tx>
            <c:strRef>
              <c:f>'NFI Distribution by 12 Months'!$B$56</c:f>
              <c:strCache>
                <c:ptCount val="1"/>
                <c:pt idx="0">
                  <c:v>SCI</c:v>
                </c:pt>
              </c:strCache>
              <c:extLst xmlns:c15="http://schemas.microsoft.com/office/drawing/2012/chart"/>
            </c:strRef>
          </c:tx>
          <c:spPr>
            <a:solidFill>
              <a:srgbClr val="FF7C80"/>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extLst xmlns:c15="http://schemas.microsoft.com/office/drawing/2012/chart"/>
            </c:strRef>
          </c:cat>
          <c:val>
            <c:numRef>
              <c:f>'NFI Distribution by 12 Months'!$C$56:$M$56</c:f>
              <c:numCache>
                <c:formatCode>General</c:formatCode>
                <c:ptCount val="11"/>
                <c:pt idx="0">
                  <c:v>0</c:v>
                </c:pt>
                <c:pt idx="1">
                  <c:v>0</c:v>
                </c:pt>
                <c:pt idx="2">
                  <c:v>0</c:v>
                </c:pt>
                <c:pt idx="3">
                  <c:v>0</c:v>
                </c:pt>
                <c:pt idx="4">
                  <c:v>6</c:v>
                </c:pt>
                <c:pt idx="5">
                  <c:v>0</c:v>
                </c:pt>
                <c:pt idx="6">
                  <c:v>0</c:v>
                </c:pt>
                <c:pt idx="7">
                  <c:v>0</c:v>
                </c:pt>
                <c:pt idx="8">
                  <c:v>0</c:v>
                </c:pt>
                <c:pt idx="9">
                  <c:v>0</c:v>
                </c:pt>
                <c:pt idx="10">
                  <c:v>720</c:v>
                </c:pt>
              </c:numCache>
              <c:extLst xmlns:c15="http://schemas.microsoft.com/office/drawing/2012/chart"/>
            </c:numRef>
          </c:val>
        </c:ser>
        <c:ser>
          <c:idx val="9"/>
          <c:order val="9"/>
          <c:tx>
            <c:strRef>
              <c:f>'NFI Distribution by 12 Months'!$B$58</c:f>
              <c:strCache>
                <c:ptCount val="1"/>
                <c:pt idx="0">
                  <c:v>UNHCR</c:v>
                </c:pt>
              </c:strCache>
              <c:extLst xmlns:c15="http://schemas.microsoft.com/office/drawing/2012/chart"/>
            </c:strRef>
          </c:tx>
          <c:spPr>
            <a:solidFill>
              <a:schemeClr val="accent1"/>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extLst xmlns:c15="http://schemas.microsoft.com/office/drawing/2012/chart"/>
            </c:strRef>
          </c:cat>
          <c:val>
            <c:numRef>
              <c:f>'NFI Distribution by 12 Months'!$C$58:$M$58</c:f>
              <c:numCache>
                <c:formatCode>General</c:formatCode>
                <c:ptCount val="11"/>
                <c:pt idx="0">
                  <c:v>6670</c:v>
                </c:pt>
                <c:pt idx="1">
                  <c:v>3680</c:v>
                </c:pt>
                <c:pt idx="2">
                  <c:v>4753</c:v>
                </c:pt>
                <c:pt idx="3">
                  <c:v>6270</c:v>
                </c:pt>
                <c:pt idx="4">
                  <c:v>0</c:v>
                </c:pt>
                <c:pt idx="5">
                  <c:v>6800</c:v>
                </c:pt>
                <c:pt idx="6">
                  <c:v>0</c:v>
                </c:pt>
                <c:pt idx="7">
                  <c:v>0</c:v>
                </c:pt>
                <c:pt idx="8">
                  <c:v>0</c:v>
                </c:pt>
                <c:pt idx="9">
                  <c:v>389</c:v>
                </c:pt>
                <c:pt idx="10">
                  <c:v>0</c:v>
                </c:pt>
              </c:numCache>
              <c:extLst xmlns:c15="http://schemas.microsoft.com/office/drawing/2012/chart"/>
            </c:numRef>
          </c:val>
        </c:ser>
        <c:ser>
          <c:idx val="10"/>
          <c:order val="10"/>
          <c:tx>
            <c:strRef>
              <c:f>'NFI Distribution by 12 Months'!$B$59</c:f>
              <c:strCache>
                <c:ptCount val="1"/>
                <c:pt idx="0">
                  <c:v>UNICEF </c:v>
                </c:pt>
              </c:strCache>
            </c:strRef>
          </c:tx>
          <c:spPr>
            <a:solidFill>
              <a:schemeClr val="accent4"/>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f>'NFI Distribution by 12 Months'!$C$59:$M$59</c:f>
              <c:numCache>
                <c:formatCode>General</c:formatCode>
                <c:ptCount val="11"/>
                <c:pt idx="0">
                  <c:v>0</c:v>
                </c:pt>
                <c:pt idx="1">
                  <c:v>1238</c:v>
                </c:pt>
                <c:pt idx="2">
                  <c:v>0</c:v>
                </c:pt>
                <c:pt idx="3">
                  <c:v>0</c:v>
                </c:pt>
                <c:pt idx="4">
                  <c:v>0</c:v>
                </c:pt>
                <c:pt idx="5">
                  <c:v>0</c:v>
                </c:pt>
                <c:pt idx="6">
                  <c:v>0</c:v>
                </c:pt>
                <c:pt idx="7">
                  <c:v>0</c:v>
                </c:pt>
                <c:pt idx="8">
                  <c:v>0</c:v>
                </c:pt>
                <c:pt idx="9">
                  <c:v>0</c:v>
                </c:pt>
                <c:pt idx="10">
                  <c:v>0</c:v>
                </c:pt>
              </c:numCache>
            </c:numRef>
          </c:val>
        </c:ser>
        <c:ser>
          <c:idx val="12"/>
          <c:order val="12"/>
          <c:tx>
            <c:strRef>
              <c:f>'NFI Distribution by 12 Months'!$B$61</c:f>
              <c:strCache>
                <c:ptCount val="1"/>
                <c:pt idx="0">
                  <c:v>ICRC</c:v>
                </c:pt>
              </c:strCache>
              <c:extLst xmlns:c15="http://schemas.microsoft.com/office/drawing/2012/chart"/>
            </c:strRef>
          </c:tx>
          <c:spPr>
            <a:solidFill>
              <a:schemeClr val="tx2"/>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extLst xmlns:c15="http://schemas.microsoft.com/office/drawing/2012/chart"/>
            </c:strRef>
          </c:cat>
          <c:val>
            <c:numRef>
              <c:f>'NFI Distribution by 12 Months'!$C$61:$M$61</c:f>
              <c:numCache>
                <c:formatCode>General</c:formatCode>
                <c:ptCount val="11"/>
                <c:pt idx="0">
                  <c:v>0</c:v>
                </c:pt>
                <c:pt idx="1">
                  <c:v>1784</c:v>
                </c:pt>
                <c:pt idx="2">
                  <c:v>0</c:v>
                </c:pt>
                <c:pt idx="3">
                  <c:v>0</c:v>
                </c:pt>
                <c:pt idx="4">
                  <c:v>0</c:v>
                </c:pt>
                <c:pt idx="5">
                  <c:v>0</c:v>
                </c:pt>
                <c:pt idx="6">
                  <c:v>0</c:v>
                </c:pt>
                <c:pt idx="7">
                  <c:v>0</c:v>
                </c:pt>
                <c:pt idx="8">
                  <c:v>0</c:v>
                </c:pt>
                <c:pt idx="9">
                  <c:v>0</c:v>
                </c:pt>
                <c:pt idx="10">
                  <c:v>0</c:v>
                </c:pt>
              </c:numCache>
              <c:extLst xmlns:c15="http://schemas.microsoft.com/office/drawing/2012/chart"/>
            </c:numRef>
          </c:val>
        </c:ser>
        <c:ser>
          <c:idx val="14"/>
          <c:order val="14"/>
          <c:tx>
            <c:strRef>
              <c:f>'NFI Distribution by 12 Months'!$B$63</c:f>
              <c:strCache>
                <c:ptCount val="1"/>
                <c:pt idx="0">
                  <c:v>Oxfam</c:v>
                </c:pt>
              </c:strCache>
              <c:extLst xmlns:c15="http://schemas.microsoft.com/office/drawing/2012/chart"/>
            </c:strRef>
          </c:tx>
          <c:spPr>
            <a:solidFill>
              <a:schemeClr val="accent4">
                <a:lumMod val="40000"/>
                <a:lumOff val="60000"/>
              </a:schemeClr>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extLst xmlns:c15="http://schemas.microsoft.com/office/drawing/2012/chart"/>
            </c:strRef>
          </c:cat>
          <c:val>
            <c:numRef>
              <c:f>'NFI Distribution by 12 Months'!$C$63:$M$63</c:f>
              <c:numCache>
                <c:formatCode>General</c:formatCode>
                <c:ptCount val="11"/>
                <c:pt idx="0">
                  <c:v>0</c:v>
                </c:pt>
                <c:pt idx="1">
                  <c:v>0</c:v>
                </c:pt>
                <c:pt idx="2">
                  <c:v>0</c:v>
                </c:pt>
                <c:pt idx="3">
                  <c:v>0</c:v>
                </c:pt>
                <c:pt idx="4">
                  <c:v>0</c:v>
                </c:pt>
                <c:pt idx="5">
                  <c:v>0</c:v>
                </c:pt>
                <c:pt idx="6">
                  <c:v>0</c:v>
                </c:pt>
                <c:pt idx="7">
                  <c:v>0</c:v>
                </c:pt>
                <c:pt idx="8">
                  <c:v>0</c:v>
                </c:pt>
                <c:pt idx="9">
                  <c:v>0</c:v>
                </c:pt>
                <c:pt idx="10">
                  <c:v>34880</c:v>
                </c:pt>
              </c:numCache>
              <c:extLst xmlns:c15="http://schemas.microsoft.com/office/drawing/2012/chart"/>
            </c:numRef>
          </c:val>
        </c:ser>
        <c:ser>
          <c:idx val="15"/>
          <c:order val="15"/>
          <c:tx>
            <c:strRef>
              <c:f>'NFI Distribution by 12 Months'!$B$64</c:f>
              <c:strCache>
                <c:ptCount val="1"/>
                <c:pt idx="0">
                  <c:v>IRW</c:v>
                </c:pt>
              </c:strCache>
            </c:strRef>
          </c:tx>
          <c:spPr>
            <a:solidFill>
              <a:schemeClr val="accent2"/>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f>'NFI Distribution by 12 Months'!$C$64:$M$64</c:f>
              <c:numCache>
                <c:formatCode>General</c:formatCode>
                <c:ptCount val="11"/>
                <c:pt idx="0">
                  <c:v>300</c:v>
                </c:pt>
                <c:pt idx="1">
                  <c:v>0</c:v>
                </c:pt>
                <c:pt idx="2">
                  <c:v>0</c:v>
                </c:pt>
                <c:pt idx="3">
                  <c:v>300</c:v>
                </c:pt>
                <c:pt idx="4">
                  <c:v>0</c:v>
                </c:pt>
                <c:pt idx="5">
                  <c:v>300</c:v>
                </c:pt>
                <c:pt idx="6">
                  <c:v>0</c:v>
                </c:pt>
                <c:pt idx="7">
                  <c:v>0</c:v>
                </c:pt>
                <c:pt idx="8">
                  <c:v>0</c:v>
                </c:pt>
                <c:pt idx="9">
                  <c:v>300</c:v>
                </c:pt>
                <c:pt idx="10">
                  <c:v>0</c:v>
                </c:pt>
              </c:numCache>
            </c:numRef>
          </c:val>
        </c:ser>
        <c:dLbls>
          <c:showLegendKey val="0"/>
          <c:showVal val="0"/>
          <c:showCatName val="0"/>
          <c:showSerName val="0"/>
          <c:showPercent val="0"/>
          <c:showBubbleSize val="0"/>
        </c:dLbls>
        <c:gapWidth val="25"/>
        <c:overlap val="100"/>
        <c:axId val="629795416"/>
        <c:axId val="629795808"/>
        <c:extLst>
          <c:ext xmlns:c15="http://schemas.microsoft.com/office/drawing/2012/chart" uri="{02D57815-91ED-43cb-92C2-25804820EDAC}">
            <c15:filteredBarSeries>
              <c15:ser>
                <c:idx val="0"/>
                <c:order val="0"/>
                <c:tx>
                  <c:strRef>
                    <c:extLst>
                      <c:ext uri="{02D57815-91ED-43cb-92C2-25804820EDAC}">
                        <c15:formulaRef>
                          <c15:sqref>'NFI Distribution by 12 Months'!$B$49</c15:sqref>
                        </c15:formulaRef>
                      </c:ext>
                    </c:extLst>
                    <c:strCache>
                      <c:ptCount val="1"/>
                      <c:pt idx="0">
                        <c:v>CDN</c:v>
                      </c:pt>
                    </c:strCache>
                  </c:strRef>
                </c:tx>
                <c:spPr>
                  <a:solidFill>
                    <a:srgbClr val="6699FF"/>
                  </a:solidFill>
                  <a:ln>
                    <a:noFill/>
                  </a:ln>
                  <a:effectLst/>
                </c:spPr>
                <c:invertIfNegative val="0"/>
                <c:cat>
                  <c:strRef>
                    <c:extLst>
                      <c:ex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c:ext uri="{02D57815-91ED-43cb-92C2-25804820EDAC}">
                        <c15:formulaRef>
                          <c15:sqref>'NFI Distribution by 12 Months'!$C$49:$M$49</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'NFI Distribution by 12 Months'!$B$51</c15:sqref>
                        </c15:formulaRef>
                      </c:ext>
                    </c:extLst>
                    <c:strCache>
                      <c:ptCount val="1"/>
                      <c:pt idx="0">
                        <c:v>Gov</c:v>
                      </c:pt>
                    </c:strCache>
                  </c:strRef>
                </c:tx>
                <c:spPr>
                  <a:solidFill>
                    <a:schemeClr val="accent1">
                      <a:lumMod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xmlns:c15="http://schemas.microsoft.com/office/drawing/2012/chart">
                      <c:ext xmlns:c15="http://schemas.microsoft.com/office/drawing/2012/chart" uri="{02D57815-91ED-43cb-92C2-25804820EDAC}">
                        <c15:formulaRef>
                          <c15:sqref>'NFI Distribution by 12 Months'!$C$51:$M$51</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'NFI Distribution by 12 Months'!$B$52</c15:sqref>
                        </c15:formulaRef>
                      </c:ext>
                    </c:extLst>
                    <c:strCache>
                      <c:ptCount val="1"/>
                      <c:pt idx="0">
                        <c:v>MHAA</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xmlns:c15="http://schemas.microsoft.com/office/drawing/2012/chart">
                      <c:ext xmlns:c15="http://schemas.microsoft.com/office/drawing/2012/chart" uri="{02D57815-91ED-43cb-92C2-25804820EDAC}">
                        <c15:formulaRef>
                          <c15:sqref>'NFI Distribution by 12 Months'!$C$52:$M$52</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15:filteredBarSeries>
              <c15:ser>
                <c:idx val="6"/>
                <c:order val="6"/>
                <c:tx>
                  <c:strRef>
                    <c:extLst xmlns:c15="http://schemas.microsoft.com/office/drawing/2012/chart">
                      <c:ext xmlns:c15="http://schemas.microsoft.com/office/drawing/2012/chart" uri="{02D57815-91ED-43cb-92C2-25804820EDAC}">
                        <c15:formulaRef>
                          <c15:sqref>'NFI Distribution by 12 Months'!$B$55</c15:sqref>
                        </c15:formulaRef>
                      </c:ext>
                    </c:extLst>
                    <c:strCache>
                      <c:ptCount val="1"/>
                      <c:pt idx="0">
                        <c:v>RI</c:v>
                      </c:pt>
                    </c:strCache>
                  </c:strRef>
                </c:tx>
                <c:spPr>
                  <a:solidFill>
                    <a:schemeClr val="tx1">
                      <a:lumMod val="75000"/>
                      <a:lumOff val="25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xmlns:c15="http://schemas.microsoft.com/office/drawing/2012/chart">
                      <c:ext xmlns:c15="http://schemas.microsoft.com/office/drawing/2012/chart" uri="{02D57815-91ED-43cb-92C2-25804820EDAC}">
                        <c15:formulaRef>
                          <c15:sqref>'NFI Distribution by 12 Months'!$C$55:$M$55</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15:filteredBarSeries>
              <c15:ser>
                <c:idx val="8"/>
                <c:order val="8"/>
                <c:tx>
                  <c:strRef>
                    <c:extLst xmlns:c15="http://schemas.microsoft.com/office/drawing/2012/chart">
                      <c:ext xmlns:c15="http://schemas.microsoft.com/office/drawing/2012/chart" uri="{02D57815-91ED-43cb-92C2-25804820EDAC}">
                        <c15:formulaRef>
                          <c15:sqref>'NFI Distribution by 12 Months'!$B$57</c15:sqref>
                        </c15:formulaRef>
                      </c:ext>
                    </c:extLst>
                    <c:strCache>
                      <c:ptCount val="1"/>
                      <c:pt idx="0">
                        <c:v>SI</c:v>
                      </c:pt>
                    </c:strCache>
                  </c:strRef>
                </c:tx>
                <c:spPr>
                  <a:solidFill>
                    <a:schemeClr val="accent4">
                      <a:lumMod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xmlns:c15="http://schemas.microsoft.com/office/drawing/2012/chart">
                      <c:ext xmlns:c15="http://schemas.microsoft.com/office/drawing/2012/chart" uri="{02D57815-91ED-43cb-92C2-25804820EDAC}">
                        <c15:formulaRef>
                          <c15:sqref>'NFI Distribution by 12 Months'!$C$57:$M$57</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15:filteredBarSeries>
              <c15:ser>
                <c:idx val="11"/>
                <c:order val="11"/>
                <c:tx>
                  <c:strRef>
                    <c:extLst xmlns:c15="http://schemas.microsoft.com/office/drawing/2012/chart">
                      <c:ext xmlns:c15="http://schemas.microsoft.com/office/drawing/2012/chart" uri="{02D57815-91ED-43cb-92C2-25804820EDAC}">
                        <c15:formulaRef>
                          <c15:sqref>'NFI Distribution by 12 Months'!$B$60</c15:sqref>
                        </c15:formulaRef>
                      </c:ext>
                    </c:extLst>
                    <c:strCache>
                      <c:ptCount val="1"/>
                      <c:pt idx="0">
                        <c:v>UNIQLO</c:v>
                      </c:pt>
                    </c:strCache>
                  </c:strRef>
                </c:tx>
                <c:spPr>
                  <a:solidFill>
                    <a:srgbClr val="FF0000"/>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xmlns:c15="http://schemas.microsoft.com/office/drawing/2012/chart">
                      <c:ext xmlns:c15="http://schemas.microsoft.com/office/drawing/2012/chart" uri="{02D57815-91ED-43cb-92C2-25804820EDAC}">
                        <c15:formulaRef>
                          <c15:sqref>'NFI Distribution by 12 Months'!$C$60:$M$60</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15:filteredBarSeries>
              <c15:ser>
                <c:idx val="13"/>
                <c:order val="13"/>
                <c:tx>
                  <c:strRef>
                    <c:extLst xmlns:c15="http://schemas.microsoft.com/office/drawing/2012/chart">
                      <c:ext xmlns:c15="http://schemas.microsoft.com/office/drawing/2012/chart" uri="{02D57815-91ED-43cb-92C2-25804820EDAC}">
                        <c15:formulaRef>
                          <c15:sqref>'NFI Distribution by 12 Months'!$B$62</c15:sqref>
                        </c15:formulaRef>
                      </c:ext>
                    </c:extLst>
                    <c:strCache>
                      <c:ptCount val="1"/>
                      <c:pt idx="0">
                        <c:v>SI/CDN</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xmlns:c15="http://schemas.microsoft.com/office/drawing/2012/chart">
                      <c:ext xmlns:c15="http://schemas.microsoft.com/office/drawing/2012/chart" uri="{02D57815-91ED-43cb-92C2-25804820EDAC}">
                        <c15:formulaRef>
                          <c15:sqref>'NFI Distribution by 12 Months'!$C$62:$M$62</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ext>
        </c:extLst>
      </c:barChart>
      <c:catAx>
        <c:axId val="629795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30" b="0" i="0" u="none" strike="noStrike" kern="1200" baseline="0">
                <a:solidFill>
                  <a:sysClr val="windowText" lastClr="000000"/>
                </a:solidFill>
                <a:latin typeface="+mn-lt"/>
                <a:ea typeface="+mn-ea"/>
                <a:cs typeface="+mn-cs"/>
              </a:defRPr>
            </a:pPr>
            <a:endParaRPr lang="en-US"/>
          </a:p>
        </c:txPr>
        <c:crossAx val="629795808"/>
        <c:crosses val="autoZero"/>
        <c:auto val="1"/>
        <c:lblAlgn val="ctr"/>
        <c:lblOffset val="100"/>
        <c:noMultiLvlLbl val="0"/>
      </c:catAx>
      <c:valAx>
        <c:axId val="6297958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9795416"/>
        <c:crosses val="autoZero"/>
        <c:crossBetween val="between"/>
      </c:valAx>
      <c:spPr>
        <a:noFill/>
        <a:ln w="25400">
          <a:noFill/>
        </a:ln>
        <a:effectLst/>
      </c:spPr>
    </c:plotArea>
    <c:legend>
      <c:legendPos val="r"/>
      <c:layout>
        <c:manualLayout>
          <c:xMode val="edge"/>
          <c:yMode val="edge"/>
          <c:x val="0.83984490973883164"/>
          <c:y val="2.2679126835759244E-2"/>
          <c:w val="0.13883120725522549"/>
          <c:h val="0.92872274423047096"/>
        </c:manualLayout>
      </c:layout>
      <c:overlay val="0"/>
      <c:spPr>
        <a:noFill/>
        <a:ln>
          <a:solidFill>
            <a:schemeClr val="accent1">
              <a:lumMod val="40000"/>
              <a:lumOff val="60000"/>
            </a:schemeClr>
          </a:solid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24" b="0" i="0" u="none" strike="noStrike" kern="1200" spc="0" baseline="0">
                <a:solidFill>
                  <a:schemeClr val="tx1">
                    <a:lumMod val="65000"/>
                    <a:lumOff val="35000"/>
                  </a:schemeClr>
                </a:solidFill>
                <a:latin typeface="+mn-lt"/>
                <a:ea typeface="+mn-ea"/>
                <a:cs typeface="+mn-cs"/>
              </a:defRPr>
            </a:pPr>
            <a:r>
              <a:rPr lang="en-US"/>
              <a:t>Household Coverage and Gap (in</a:t>
            </a:r>
            <a:r>
              <a:rPr lang="en-US" baseline="0"/>
              <a:t> 12 Months</a:t>
            </a:r>
            <a:r>
              <a:rPr lang="en-US"/>
              <a:t>)</a:t>
            </a:r>
          </a:p>
        </c:rich>
      </c:tx>
      <c:overlay val="0"/>
      <c:spPr>
        <a:noFill/>
        <a:ln>
          <a:noFill/>
        </a:ln>
        <a:effectLst/>
      </c:spPr>
      <c:txPr>
        <a:bodyPr rot="0" spcFirstLastPara="1" vertOverflow="ellipsis" vert="horz" wrap="square" anchor="ctr" anchorCtr="1"/>
        <a:lstStyle/>
        <a:p>
          <a:pPr>
            <a:defRPr sz="1224"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642605464728208E-2"/>
          <c:y val="0.11273131242301959"/>
          <c:w val="0.89135739006855663"/>
          <c:h val="0.55050029778610454"/>
        </c:manualLayout>
      </c:layout>
      <c:barChart>
        <c:barDir val="col"/>
        <c:grouping val="stacked"/>
        <c:varyColors val="0"/>
        <c:ser>
          <c:idx val="0"/>
          <c:order val="0"/>
          <c:tx>
            <c:strRef>
              <c:f>'NFI Summary'!$G$11</c:f>
              <c:strCache>
                <c:ptCount val="1"/>
                <c:pt idx="0">
                  <c:v>HH Coverage (%)</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102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Summary'!$D$12:$D$21</c:f>
              <c:strCache>
                <c:ptCount val="10"/>
                <c:pt idx="0">
                  <c:v>Mosquito net</c:v>
                </c:pt>
                <c:pt idx="1">
                  <c:v>Tarpaulin</c:v>
                </c:pt>
                <c:pt idx="2">
                  <c:v>Blanket</c:v>
                </c:pt>
                <c:pt idx="3">
                  <c:v>Kitchen Set</c:v>
                </c:pt>
                <c:pt idx="4">
                  <c:v>Complementary Kit</c:v>
                </c:pt>
                <c:pt idx="5">
                  <c:v>Plastic Mat</c:v>
                </c:pt>
                <c:pt idx="6">
                  <c:v>Adult Clothes </c:v>
                </c:pt>
                <c:pt idx="7">
                  <c:v>Children Clothes</c:v>
                </c:pt>
                <c:pt idx="8">
                  <c:v>Solar Lantern</c:v>
                </c:pt>
                <c:pt idx="9">
                  <c:v>NFI Core Kit</c:v>
                </c:pt>
              </c:strCache>
            </c:strRef>
          </c:cat>
          <c:val>
            <c:numRef>
              <c:f>'NFI Summary'!$G$12:$G$21</c:f>
              <c:numCache>
                <c:formatCode>0%</c:formatCode>
                <c:ptCount val="10"/>
                <c:pt idx="0">
                  <c:v>0.28210628566802931</c:v>
                </c:pt>
                <c:pt idx="1">
                  <c:v>0.3004816448779698</c:v>
                </c:pt>
                <c:pt idx="2">
                  <c:v>0.19237463067146962</c:v>
                </c:pt>
                <c:pt idx="3">
                  <c:v>0.26591654187072489</c:v>
                </c:pt>
                <c:pt idx="4">
                  <c:v>2.4284615695956612E-4</c:v>
                </c:pt>
                <c:pt idx="5">
                  <c:v>0.28736795240215324</c:v>
                </c:pt>
                <c:pt idx="6">
                  <c:v>3.2379487594608814E-3</c:v>
                </c:pt>
                <c:pt idx="7">
                  <c:v>0</c:v>
                </c:pt>
                <c:pt idx="8">
                  <c:v>2.7886833690856844E-2</c:v>
                </c:pt>
                <c:pt idx="9">
                  <c:v>1</c:v>
                </c:pt>
              </c:numCache>
            </c:numRef>
          </c:val>
        </c:ser>
        <c:ser>
          <c:idx val="1"/>
          <c:order val="1"/>
          <c:tx>
            <c:strRef>
              <c:f>'NFI Summary'!$I$11</c:f>
              <c:strCache>
                <c:ptCount val="1"/>
                <c:pt idx="0">
                  <c:v>HH Gap (%)</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2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Summary'!$D$12:$D$21</c:f>
              <c:strCache>
                <c:ptCount val="10"/>
                <c:pt idx="0">
                  <c:v>Mosquito net</c:v>
                </c:pt>
                <c:pt idx="1">
                  <c:v>Tarpaulin</c:v>
                </c:pt>
                <c:pt idx="2">
                  <c:v>Blanket</c:v>
                </c:pt>
                <c:pt idx="3">
                  <c:v>Kitchen Set</c:v>
                </c:pt>
                <c:pt idx="4">
                  <c:v>Complementary Kit</c:v>
                </c:pt>
                <c:pt idx="5">
                  <c:v>Plastic Mat</c:v>
                </c:pt>
                <c:pt idx="6">
                  <c:v>Adult Clothes </c:v>
                </c:pt>
                <c:pt idx="7">
                  <c:v>Children Clothes</c:v>
                </c:pt>
                <c:pt idx="8">
                  <c:v>Solar Lantern</c:v>
                </c:pt>
                <c:pt idx="9">
                  <c:v>NFI Core Kit</c:v>
                </c:pt>
              </c:strCache>
            </c:strRef>
          </c:cat>
          <c:val>
            <c:numRef>
              <c:f>'NFI Summary'!$I$12:$I$21</c:f>
              <c:numCache>
                <c:formatCode>0%</c:formatCode>
                <c:ptCount val="10"/>
                <c:pt idx="0">
                  <c:v>0.71789371433197069</c:v>
                </c:pt>
                <c:pt idx="1">
                  <c:v>0.6995183551220302</c:v>
                </c:pt>
                <c:pt idx="2">
                  <c:v>0.80762536932853035</c:v>
                </c:pt>
                <c:pt idx="3">
                  <c:v>0.73408345812927511</c:v>
                </c:pt>
                <c:pt idx="4">
                  <c:v>0.99975715384304042</c:v>
                </c:pt>
                <c:pt idx="5">
                  <c:v>0.71263204759784682</c:v>
                </c:pt>
                <c:pt idx="6">
                  <c:v>0.99676205124053907</c:v>
                </c:pt>
                <c:pt idx="7">
                  <c:v>1</c:v>
                </c:pt>
                <c:pt idx="8">
                  <c:v>0.97211316630914313</c:v>
                </c:pt>
                <c:pt idx="9">
                  <c:v>0</c:v>
                </c:pt>
              </c:numCache>
            </c:numRef>
          </c:val>
        </c:ser>
        <c:dLbls>
          <c:showLegendKey val="0"/>
          <c:showVal val="0"/>
          <c:showCatName val="0"/>
          <c:showSerName val="0"/>
          <c:showPercent val="0"/>
          <c:showBubbleSize val="0"/>
        </c:dLbls>
        <c:gapWidth val="98"/>
        <c:overlap val="100"/>
        <c:axId val="629796592"/>
        <c:axId val="629796984"/>
      </c:barChart>
      <c:catAx>
        <c:axId val="62979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20" b="0" i="0" u="none" strike="noStrike" kern="1200" baseline="0">
                <a:solidFill>
                  <a:schemeClr val="tx1">
                    <a:lumMod val="65000"/>
                    <a:lumOff val="35000"/>
                  </a:schemeClr>
                </a:solidFill>
                <a:latin typeface="+mn-lt"/>
                <a:ea typeface="+mn-ea"/>
                <a:cs typeface="+mn-cs"/>
              </a:defRPr>
            </a:pPr>
            <a:endParaRPr lang="en-US"/>
          </a:p>
        </c:txPr>
        <c:crossAx val="629796984"/>
        <c:crosses val="autoZero"/>
        <c:auto val="1"/>
        <c:lblAlgn val="ctr"/>
        <c:lblOffset val="100"/>
        <c:noMultiLvlLbl val="0"/>
      </c:catAx>
      <c:valAx>
        <c:axId val="629796984"/>
        <c:scaling>
          <c:orientation val="minMax"/>
        </c:scaling>
        <c:delete val="1"/>
        <c:axPos val="l"/>
        <c:numFmt formatCode="0%" sourceLinked="1"/>
        <c:majorTickMark val="none"/>
        <c:minorTickMark val="none"/>
        <c:tickLblPos val="nextTo"/>
        <c:crossAx val="629796592"/>
        <c:crosses val="autoZero"/>
        <c:crossBetween val="between"/>
      </c:valAx>
      <c:spPr>
        <a:noFill/>
        <a:ln w="25400">
          <a:noFill/>
        </a:ln>
        <a:effectLst/>
      </c:spPr>
    </c:plotArea>
    <c:legend>
      <c:legendPos val="b"/>
      <c:layout>
        <c:manualLayout>
          <c:xMode val="edge"/>
          <c:yMode val="edge"/>
          <c:x val="0.12485230594161718"/>
          <c:y val="0.92348279612204653"/>
          <c:w val="0.68118697633527292"/>
          <c:h val="6.9172486443054251E-2"/>
        </c:manualLayout>
      </c:layout>
      <c:overlay val="0"/>
      <c:spPr>
        <a:noFill/>
        <a:ln>
          <a:noFill/>
        </a:ln>
        <a:effectLst/>
      </c:spPr>
      <c:txPr>
        <a:bodyPr rot="0" spcFirstLastPara="1" vertOverflow="ellipsis" vert="horz" wrap="square" anchor="ctr" anchorCtr="1"/>
        <a:lstStyle/>
        <a:p>
          <a:pPr>
            <a:defRPr sz="102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2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[3._shelter-nfi-cccm_rakhine_cluster_analysis_report_31_march_2018.xlsx]Camp Analysis!PivotTable14</c:name>
    <c:fmtId val="13"/>
  </c:pivotSource>
  <c:chart>
    <c:title>
      <c:tx>
        <c:rich>
          <a:bodyPr/>
          <a:lstStyle/>
          <a:p>
            <a:pPr>
              <a:defRPr/>
            </a:pPr>
            <a:r>
              <a:rPr lang="en-US" sz="1200"/>
              <a:t>IDP</a:t>
            </a:r>
            <a:r>
              <a:rPr lang="en-US" sz="1200" baseline="0"/>
              <a:t> Population (</a:t>
            </a:r>
            <a:r>
              <a:rPr lang="en-US" sz="1200" b="0" baseline="0"/>
              <a:t>126,408)</a:t>
            </a:r>
            <a:endParaRPr lang="en-US" sz="1200" b="0"/>
          </a:p>
        </c:rich>
      </c:tx>
      <c:layout>
        <c:manualLayout>
          <c:xMode val="edge"/>
          <c:yMode val="edge"/>
          <c:x val="0.32602477418619125"/>
          <c:y val="1.5849594517656312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2">
              <a:lumMod val="75000"/>
            </a:schemeClr>
          </a:solidFill>
          <a:ln>
            <a:solidFill>
              <a:schemeClr val="tx1"/>
            </a:solidFill>
          </a:ln>
        </c:spPr>
        <c:marker>
          <c:symbol val="none"/>
        </c:marker>
      </c:pivotFmt>
      <c:pivotFmt>
        <c:idx val="7"/>
        <c:spPr>
          <a:solidFill>
            <a:schemeClr val="accent1"/>
          </a:solidFill>
          <a:ln>
            <a:solidFill>
              <a:schemeClr val="tx1"/>
            </a:solidFill>
          </a:ln>
          <a:effectLst>
            <a:outerShdw blurRad="50800" dist="50800" dir="5400000" algn="ctr" rotWithShape="0">
              <a:schemeClr val="bg1"/>
            </a:outerShdw>
          </a:effectLst>
        </c:spPr>
        <c:marker>
          <c:symbol val="none"/>
        </c:marker>
      </c:pivotFmt>
      <c:pivotFmt>
        <c:idx val="8"/>
        <c:spPr>
          <a:solidFill>
            <a:srgbClr val="FFFF00"/>
          </a:solidFill>
          <a:ln>
            <a:solidFill>
              <a:schemeClr val="tx1"/>
            </a:solidFill>
          </a:ln>
        </c:spPr>
        <c:marker>
          <c:symbol val="none"/>
        </c:marker>
      </c:pivotFmt>
      <c:pivotFmt>
        <c:idx val="9"/>
        <c:spPr>
          <a:solidFill>
            <a:schemeClr val="accent6">
              <a:lumMod val="75000"/>
            </a:schemeClr>
          </a:solidFill>
          <a:ln>
            <a:solidFill>
              <a:schemeClr val="tx1"/>
            </a:solidFill>
          </a:ln>
        </c:spPr>
        <c:marker>
          <c:symbol val="none"/>
        </c:marker>
      </c:pivotFmt>
    </c:pivotFmts>
    <c:plotArea>
      <c:layout>
        <c:manualLayout>
          <c:layoutTarget val="inner"/>
          <c:xMode val="edge"/>
          <c:yMode val="edge"/>
          <c:x val="0.23557927597036979"/>
          <c:y val="0.1066194179405411"/>
          <c:w val="0.69666228359700166"/>
          <c:h val="0.6969657359060828"/>
        </c:manualLayout>
      </c:layout>
      <c:barChart>
        <c:barDir val="bar"/>
        <c:grouping val="stacked"/>
        <c:varyColors val="0"/>
        <c:ser>
          <c:idx val="0"/>
          <c:order val="0"/>
          <c:tx>
            <c:strRef>
              <c:f>'Camp Analysis'!$B$186:$B$187</c:f>
              <c:strCache>
                <c:ptCount val="1"/>
                <c:pt idx="0">
                  <c:v>Host Families</c:v>
                </c:pt>
              </c:strCache>
            </c:strRef>
          </c:tx>
          <c:spPr>
            <a:solidFill>
              <a:schemeClr val="accent2">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spPr>
            <a:solidFill>
              <a:schemeClr val="accent1"/>
            </a:solidFill>
            <a:ln>
              <a:solidFill>
                <a:schemeClr val="tx1"/>
              </a:solidFill>
            </a:ln>
            <a:effectLst>
              <a:outerShdw blurRad="50800" dist="50800" dir="5400000" algn="ctr" rotWithShape="0">
                <a:schemeClr val="bg1"/>
              </a:outerShdw>
            </a:effectLst>
          </c:spPr>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2606</c:v>
                </c:pt>
                <c:pt idx="2">
                  <c:v>17233</c:v>
                </c:pt>
                <c:pt idx="3">
                  <c:v>82379</c:v>
                </c:pt>
                <c:pt idx="4">
                  <c:v>1050</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13049</c:v>
                </c:pt>
              </c:numCache>
            </c:numRef>
          </c:val>
        </c:ser>
        <c:ser>
          <c:idx val="3"/>
          <c:order val="3"/>
          <c:tx>
            <c:strRef>
              <c:f>'Camp Analysis'!$E$186:$E$187</c:f>
              <c:strCache>
                <c:ptCount val="1"/>
                <c:pt idx="0">
                  <c:v>Individual House</c:v>
                </c:pt>
              </c:strCache>
            </c:strRef>
          </c:tx>
          <c:spPr>
            <a:solidFill>
              <a:schemeClr val="accent6">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4592</c:v>
                </c:pt>
              </c:numCache>
            </c:numRef>
          </c:val>
        </c:ser>
        <c:dLbls>
          <c:showLegendKey val="0"/>
          <c:showVal val="0"/>
          <c:showCatName val="0"/>
          <c:showSerName val="0"/>
          <c:showPercent val="0"/>
          <c:showBubbleSize val="0"/>
        </c:dLbls>
        <c:gapWidth val="75"/>
        <c:overlap val="100"/>
        <c:axId val="416093800"/>
        <c:axId val="416094192"/>
      </c:barChart>
      <c:catAx>
        <c:axId val="416093800"/>
        <c:scaling>
          <c:orientation val="minMax"/>
        </c:scaling>
        <c:delete val="0"/>
        <c:axPos val="l"/>
        <c:numFmt formatCode="General" sourceLinked="0"/>
        <c:majorTickMark val="out"/>
        <c:minorTickMark val="none"/>
        <c:tickLblPos val="nextTo"/>
        <c:txPr>
          <a:bodyPr/>
          <a:lstStyle/>
          <a:p>
            <a:pPr>
              <a:defRPr sz="1200" baseline="0"/>
            </a:pPr>
            <a:endParaRPr lang="en-US"/>
          </a:p>
        </c:txPr>
        <c:crossAx val="416094192"/>
        <c:crosses val="autoZero"/>
        <c:auto val="1"/>
        <c:lblAlgn val="ctr"/>
        <c:lblOffset val="100"/>
        <c:noMultiLvlLbl val="0"/>
      </c:catAx>
      <c:valAx>
        <c:axId val="416094192"/>
        <c:scaling>
          <c:orientation val="minMax"/>
        </c:scaling>
        <c:delete val="0"/>
        <c:axPos val="b"/>
        <c:majorGridlines/>
        <c:numFmt formatCode="#,##0" sourceLinked="0"/>
        <c:majorTickMark val="out"/>
        <c:minorTickMark val="none"/>
        <c:tickLblPos val="nextTo"/>
        <c:crossAx val="416093800"/>
        <c:crosses val="autoZero"/>
        <c:crossBetween val="between"/>
      </c:valAx>
      <c:spPr>
        <a:ln>
          <a:solidFill>
            <a:schemeClr val="tx1"/>
          </a:solidFill>
        </a:ln>
      </c:spPr>
    </c:plotArea>
    <c:legend>
      <c:legendPos val="b"/>
      <c:layout>
        <c:manualLayout>
          <c:xMode val="edge"/>
          <c:yMode val="edge"/>
          <c:x val="0"/>
          <c:y val="0.79825546432881744"/>
          <c:w val="0.59894339263515406"/>
          <c:h val="0.19024206510355038"/>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[3._shelter-nfi-cccm_rakhine_cluster_analysis_report_31_march_2018.xlsx]Camp Analysis!PivotTable4</c:name>
    <c:fmtId val="5"/>
  </c:pivotSource>
  <c:chart>
    <c:autoTitleDeleted val="0"/>
    <c:pivotFmts>
      <c:pivotFmt>
        <c:idx val="0"/>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effectLst>
            <a:glow rad="76200">
              <a:schemeClr val="accent1">
                <a:alpha val="33000"/>
              </a:schemeClr>
            </a:glow>
          </a:effectLst>
        </c:spPr>
        <c:marker>
          <c:symbol val="none"/>
        </c:marker>
        <c:dLbl>
          <c:idx val="0"/>
          <c:spPr>
            <a:noFill/>
            <a:ln>
              <a:noFill/>
            </a:ln>
            <a:effectLst/>
          </c:spPr>
          <c:txPr>
            <a:bodyPr wrap="square" lIns="38100" tIns="19050" rIns="38100" bIns="19050" anchor="ctr">
              <a:spAutoFit/>
            </a:bodyPr>
            <a:lstStyle/>
            <a:p>
              <a:pPr>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pivotFmt>
      <c:pivotFmt>
        <c:idx val="7"/>
        <c:dLbl>
          <c:idx val="0"/>
          <c:layout>
            <c:manualLayout>
              <c:x val="4.1446759516109953E-3"/>
              <c:y val="2.4020005242780432E-2"/>
            </c:manualLayout>
          </c:layout>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3331484002856238"/>
                  <c:h val="0.11420829586341999"/>
                </c:manualLayout>
              </c15:layout>
            </c:ext>
          </c:extLst>
        </c:dLbl>
      </c:pivotFmt>
      <c:pivotFmt>
        <c:idx val="8"/>
        <c:dLbl>
          <c:idx val="0"/>
          <c:layout>
            <c:manualLayout>
              <c:x val="-3.2742940017727465E-3"/>
              <c:y val="-2.0045269014019353E-2"/>
            </c:manualLayout>
          </c:layout>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2502548812534016"/>
                  <c:h val="0.11420829586341999"/>
                </c:manualLayout>
              </c15:layout>
            </c:ext>
          </c:extLst>
        </c:dLbl>
      </c:pivotFmt>
    </c:pivotFmts>
    <c:plotArea>
      <c:layout>
        <c:manualLayout>
          <c:layoutTarget val="inner"/>
          <c:xMode val="edge"/>
          <c:yMode val="edge"/>
          <c:x val="0.30852583260406519"/>
          <c:y val="8.5028218585402007E-2"/>
          <c:w val="0.7158908498506652"/>
          <c:h val="0.8326195683872849"/>
        </c:manualLayout>
      </c:layout>
      <c:barChart>
        <c:barDir val="col"/>
        <c:grouping val="stacked"/>
        <c:varyColors val="0"/>
        <c:ser>
          <c:idx val="0"/>
          <c:order val="0"/>
          <c:tx>
            <c:strRef>
              <c:f>'Camp Analysis'!$B$45:$B$46</c:f>
              <c:strCache>
                <c:ptCount val="1"/>
                <c:pt idx="0">
                  <c:v>Camp Management</c:v>
                </c:pt>
              </c:strCache>
            </c:strRef>
          </c:tx>
          <c:invertIfNegative val="0"/>
          <c:dLbls>
            <c:dLbl>
              <c:idx val="0"/>
              <c:layout>
                <c:manualLayout>
                  <c:x val="4.1446759516109953E-3"/>
                  <c:y val="2.4020005242780432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3331484002856238"/>
                      <c:h val="0.11420829586341999"/>
                    </c:manualLayout>
                  </c15:layout>
                </c:ext>
              </c:extLst>
            </c:dLbl>
            <c:spPr>
              <a:noFill/>
              <a:ln>
                <a:noFill/>
              </a:ln>
              <a:effectLst/>
            </c:spPr>
            <c:txPr>
              <a:bodyPr wrap="square" lIns="38100" tIns="19050" rIns="38100" bIns="19050" anchor="ctr">
                <a:spAutoFit/>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Analysis'!$B$47</c:f>
              <c:numCache>
                <c:formatCode>General</c:formatCode>
                <c:ptCount val="1"/>
                <c:pt idx="0">
                  <c:v>117253</c:v>
                </c:pt>
              </c:numCache>
            </c:numRef>
          </c:val>
        </c:ser>
        <c:ser>
          <c:idx val="1"/>
          <c:order val="1"/>
          <c:tx>
            <c:strRef>
              <c:f>'Camp Analysis'!$C$45:$C$46</c:f>
              <c:strCache>
                <c:ptCount val="1"/>
                <c:pt idx="0">
                  <c:v>Focal Point</c:v>
                </c:pt>
              </c:strCache>
            </c:strRef>
          </c:tx>
          <c:spPr>
            <a:effectLst>
              <a:glow rad="76200">
                <a:schemeClr val="accent1">
                  <a:alpha val="33000"/>
                </a:schemeClr>
              </a:glow>
            </a:effectLst>
          </c:spPr>
          <c:invertIfNegative val="0"/>
          <c:dLbls>
            <c:dLbl>
              <c:idx val="0"/>
              <c:layout>
                <c:manualLayout>
                  <c:x val="-3.2742940017727465E-3"/>
                  <c:y val="-2.0045269014019353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2502548812534016"/>
                      <c:h val="0.11420829586341999"/>
                    </c:manualLayout>
                  </c15:layout>
                </c:ext>
              </c:extLst>
            </c:dLbl>
            <c:spPr>
              <a:noFill/>
              <a:ln>
                <a:noFill/>
              </a:ln>
              <a:effectLst/>
            </c:spPr>
            <c:txPr>
              <a:bodyPr wrap="square" lIns="38100" tIns="19050" rIns="38100" bIns="19050" anchor="ctr">
                <a:spAutoFit/>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Analysis'!$C$47</c:f>
              <c:numCache>
                <c:formatCode>General</c:formatCode>
                <c:ptCount val="1"/>
                <c:pt idx="0">
                  <c:v>10321</c:v>
                </c:pt>
              </c:numCache>
            </c:numRef>
          </c:val>
        </c:ser>
        <c:dLbls>
          <c:dLblPos val="inBase"/>
          <c:showLegendKey val="0"/>
          <c:showVal val="1"/>
          <c:showCatName val="0"/>
          <c:showSerName val="0"/>
          <c:showPercent val="0"/>
          <c:showBubbleSize val="0"/>
        </c:dLbls>
        <c:gapWidth val="94"/>
        <c:overlap val="100"/>
        <c:axId val="416468408"/>
        <c:axId val="416468800"/>
      </c:barChart>
      <c:catAx>
        <c:axId val="416468408"/>
        <c:scaling>
          <c:orientation val="minMax"/>
        </c:scaling>
        <c:delete val="1"/>
        <c:axPos val="b"/>
        <c:numFmt formatCode="General" sourceLinked="0"/>
        <c:majorTickMark val="out"/>
        <c:minorTickMark val="none"/>
        <c:tickLblPos val="nextTo"/>
        <c:crossAx val="416468800"/>
        <c:crosses val="autoZero"/>
        <c:auto val="1"/>
        <c:lblAlgn val="ctr"/>
        <c:lblOffset val="100"/>
        <c:noMultiLvlLbl val="0"/>
      </c:catAx>
      <c:valAx>
        <c:axId val="416468800"/>
        <c:scaling>
          <c:orientation val="minMax"/>
          <c:max val="120000"/>
          <c:min val="0"/>
        </c:scaling>
        <c:delete val="0"/>
        <c:axPos val="l"/>
        <c:majorGridlines/>
        <c:numFmt formatCode="General" sourceLinked="1"/>
        <c:majorTickMark val="out"/>
        <c:minorTickMark val="none"/>
        <c:tickLblPos val="nextTo"/>
        <c:crossAx val="416468408"/>
        <c:crosses val="autoZero"/>
        <c:crossBetween val="between"/>
        <c:majorUnit val="20000"/>
        <c:minorUnit val="1000"/>
      </c:valAx>
    </c:plotArea>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Type of Settlement</a:t>
            </a:r>
          </a:p>
        </c:rich>
      </c:tx>
      <c:layout>
        <c:manualLayout>
          <c:xMode val="edge"/>
          <c:yMode val="edge"/>
          <c:x val="0.24014014240785303"/>
          <c:y val="3.1481472874342137E-2"/>
        </c:manualLayout>
      </c:layout>
      <c:overlay val="0"/>
    </c:title>
    <c:autoTitleDeleted val="0"/>
    <c:plotArea>
      <c:layout/>
      <c:pieChart>
        <c:varyColors val="1"/>
        <c:ser>
          <c:idx val="0"/>
          <c:order val="0"/>
          <c:spPr>
            <a:ln>
              <a:solidFill>
                <a:schemeClr val="tx1"/>
              </a:solidFill>
            </a:ln>
          </c:spPr>
          <c:dPt>
            <c:idx val="0"/>
            <c:bubble3D val="0"/>
            <c:spPr>
              <a:ln w="15875" cap="sq">
                <a:solidFill>
                  <a:schemeClr val="tx1"/>
                </a:solidFill>
              </a:ln>
            </c:spPr>
          </c:dPt>
          <c:dPt>
            <c:idx val="1"/>
            <c:bubble3D val="0"/>
            <c:spPr>
              <a:solidFill>
                <a:srgbClr val="FFFF00"/>
              </a:solidFill>
              <a:ln>
                <a:solidFill>
                  <a:schemeClr val="tx1"/>
                </a:solidFill>
              </a:ln>
            </c:spPr>
          </c:dPt>
          <c:dPt>
            <c:idx val="2"/>
            <c:bubble3D val="0"/>
            <c:spPr>
              <a:solidFill>
                <a:srgbClr val="C46200"/>
              </a:solidFill>
              <a:ln>
                <a:solidFill>
                  <a:schemeClr val="tx1"/>
                </a:solidFill>
              </a:ln>
            </c:spPr>
          </c:dPt>
          <c:dPt>
            <c:idx val="3"/>
            <c:bubble3D val="0"/>
            <c:spPr>
              <a:solidFill>
                <a:schemeClr val="accent6">
                  <a:lumMod val="75000"/>
                </a:schemeClr>
              </a:solidFill>
              <a:ln>
                <a:solidFill>
                  <a:schemeClr val="tx1"/>
                </a:solidFill>
              </a:ln>
            </c:spPr>
          </c:dPt>
          <c:dLbls>
            <c:dLbl>
              <c:idx val="0"/>
              <c:layout>
                <c:manualLayout>
                  <c:x val="-1.7733116769908585E-2"/>
                  <c:y val="-0.2022619562203021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12704774080943371"/>
                  <c:y val="6.777998292687839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340571266472495E-2"/>
                  <c:y val="6.611883946153047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2595469684353948E-2"/>
                  <c:y val="4.164343480624772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Sheet2!$A$5:$A$8</c:f>
              <c:strCache>
                <c:ptCount val="4"/>
                <c:pt idx="0">
                  <c:v>Planned Camps</c:v>
                </c:pt>
                <c:pt idx="1">
                  <c:v>Self-Settled Camps</c:v>
                </c:pt>
                <c:pt idx="2">
                  <c:v>Host Community</c:v>
                </c:pt>
                <c:pt idx="3">
                  <c:v>Individual House</c:v>
                </c:pt>
              </c:strCache>
            </c:strRef>
          </c:cat>
          <c:val>
            <c:numRef>
              <c:f>Sheet2!$B$5:$B$8</c:f>
              <c:numCache>
                <c:formatCode>_-* #,##0_-;\-* #,##0_-;_-* "-"??_-;_-@_-</c:formatCode>
                <c:ptCount val="4"/>
                <c:pt idx="0">
                  <c:v>103268</c:v>
                </c:pt>
                <c:pt idx="1">
                  <c:v>13595</c:v>
                </c:pt>
                <c:pt idx="2">
                  <c:v>6119</c:v>
                </c:pt>
                <c:pt idx="3">
                  <c:v>4592</c:v>
                </c:pt>
              </c:numCache>
            </c:numRef>
          </c:val>
        </c:ser>
        <c:dLbls>
          <c:showLegendKey val="0"/>
          <c:showVal val="0"/>
          <c:showCatName val="0"/>
          <c:showSerName val="0"/>
          <c:showPercent val="0"/>
          <c:showBubbleSize val="0"/>
          <c:showLeaderLines val="1"/>
        </c:dLbls>
        <c:firstSliceAng val="124"/>
      </c:pieChart>
    </c:plotArea>
    <c:legend>
      <c:legendPos val="b"/>
      <c:overlay val="0"/>
      <c:spPr>
        <a:effectLst>
          <a:glow rad="50800">
            <a:schemeClr val="accent1">
              <a:alpha val="38000"/>
            </a:schemeClr>
          </a:glow>
        </a:effectLst>
      </c:spPr>
      <c:txPr>
        <a:bodyPr/>
        <a:lstStyle/>
        <a:p>
          <a:pPr>
            <a:defRPr sz="1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pivotSource>
    <c:name>[3._shelter-nfi-cccm_rakhine_cluster_analysis_report_31_march_2018.xlsx]Camp Analysis!PivotTable13</c:name>
    <c:fmtId val="24"/>
  </c:pivotSource>
  <c:chart>
    <c:title>
      <c:tx>
        <c:rich>
          <a:bodyPr/>
          <a:lstStyle/>
          <a:p>
            <a:pPr>
              <a:defRPr sz="1200"/>
            </a:pPr>
            <a:r>
              <a:rPr lang="en-US" sz="1200"/>
              <a:t>Locations </a:t>
            </a:r>
            <a:r>
              <a:rPr lang="en-US" sz="1200" b="0"/>
              <a:t>(23)</a:t>
            </a:r>
          </a:p>
        </c:rich>
      </c:tx>
      <c:layout>
        <c:manualLayout>
          <c:xMode val="edge"/>
          <c:yMode val="edge"/>
          <c:x val="0.15449352048851925"/>
          <c:y val="2.6948337882246334E-2"/>
        </c:manualLayout>
      </c:layout>
      <c:overlay val="0"/>
    </c:title>
    <c:autoTitleDeleted val="0"/>
    <c:pivotFmts>
      <c:pivotFmt>
        <c:idx val="0"/>
      </c:pivotFmt>
      <c:pivotFmt>
        <c:idx val="1"/>
      </c:pivotFmt>
      <c:pivotFmt>
        <c:idx val="2"/>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
        <c:idx val="9"/>
        <c:marker>
          <c:symbol val="none"/>
        </c:marker>
      </c:pivotFmt>
      <c:pivotFmt>
        <c:idx val="10"/>
        <c:spPr>
          <a:solidFill>
            <a:schemeClr val="accent2">
              <a:lumMod val="75000"/>
            </a:schemeClr>
          </a:solidFill>
          <a:ln>
            <a:solidFill>
              <a:schemeClr val="tx1"/>
            </a:solidFill>
          </a:ln>
        </c:spPr>
        <c:marker>
          <c:symbol val="none"/>
        </c:marker>
      </c:pivotFmt>
      <c:pivotFmt>
        <c:idx val="11"/>
        <c:spPr>
          <a:solidFill>
            <a:schemeClr val="accent1"/>
          </a:solidFill>
          <a:ln>
            <a:solidFill>
              <a:schemeClr val="tx1"/>
            </a:solidFill>
          </a:ln>
        </c:spPr>
        <c:marker>
          <c:symbol val="none"/>
        </c:marker>
      </c:pivotFmt>
      <c:pivotFmt>
        <c:idx val="12"/>
        <c:spPr>
          <a:solidFill>
            <a:srgbClr val="FFFF00"/>
          </a:solidFill>
          <a:ln>
            <a:solidFill>
              <a:schemeClr val="tx1"/>
            </a:solidFill>
          </a:ln>
        </c:spPr>
        <c:marker>
          <c:symbol val="none"/>
        </c:marker>
      </c:pivotFmt>
      <c:pivotFmt>
        <c:idx val="13"/>
        <c:spPr>
          <a:solidFill>
            <a:schemeClr val="accent6">
              <a:lumMod val="75000"/>
            </a:schemeClr>
          </a:solidFill>
          <a:ln>
            <a:solidFill>
              <a:schemeClr val="tx1"/>
            </a:solidFill>
          </a:ln>
        </c:spPr>
        <c:marker>
          <c:symbol val="none"/>
        </c:marker>
      </c:pivotFmt>
    </c:pivotFmts>
    <c:plotArea>
      <c:layout>
        <c:manualLayout>
          <c:layoutTarget val="inner"/>
          <c:xMode val="edge"/>
          <c:yMode val="edge"/>
          <c:x val="8.8211157470089244E-2"/>
          <c:y val="0.13095546758815652"/>
          <c:w val="0.8413645657760217"/>
          <c:h val="0.79548215625149044"/>
        </c:manualLayout>
      </c:layout>
      <c:barChart>
        <c:barDir val="bar"/>
        <c:grouping val="stacked"/>
        <c:varyColors val="0"/>
        <c:ser>
          <c:idx val="0"/>
          <c:order val="0"/>
          <c:tx>
            <c:strRef>
              <c:f>'Camp Analysis'!$B$170:$B$171</c:f>
              <c:strCache>
                <c:ptCount val="1"/>
                <c:pt idx="0">
                  <c:v>Host Families</c:v>
                </c:pt>
              </c:strCache>
            </c:strRef>
          </c:tx>
          <c:spPr>
            <a:solidFill>
              <a:schemeClr val="accent2">
                <a:lumMod val="75000"/>
              </a:schemeClr>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Analysis'!$B$172:$B$177</c:f>
              <c:numCache>
                <c:formatCode>General</c:formatCode>
                <c:ptCount val="5"/>
                <c:pt idx="3">
                  <c:v>3</c:v>
                </c:pt>
              </c:numCache>
            </c:numRef>
          </c:val>
        </c:ser>
        <c:ser>
          <c:idx val="1"/>
          <c:order val="1"/>
          <c:tx>
            <c:strRef>
              <c:f>'Camp Analysis'!$C$170:$C$171</c:f>
              <c:strCache>
                <c:ptCount val="1"/>
                <c:pt idx="0">
                  <c:v>Planned Camp</c:v>
                </c:pt>
              </c:strCache>
            </c:strRef>
          </c:tx>
          <c:spPr>
            <a:solidFill>
              <a:schemeClr val="accent1"/>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Analysis'!$C$172:$C$177</c:f>
              <c:numCache>
                <c:formatCode>General</c:formatCode>
                <c:ptCount val="5"/>
                <c:pt idx="1">
                  <c:v>1</c:v>
                </c:pt>
                <c:pt idx="2">
                  <c:v>4</c:v>
                </c:pt>
                <c:pt idx="3">
                  <c:v>11</c:v>
                </c:pt>
                <c:pt idx="4">
                  <c:v>1</c:v>
                </c:pt>
              </c:numCache>
            </c:numRef>
          </c:val>
        </c:ser>
        <c:ser>
          <c:idx val="2"/>
          <c:order val="2"/>
          <c:tx>
            <c:strRef>
              <c:f>'Camp Analysis'!$D$170:$D$171</c:f>
              <c:strCache>
                <c:ptCount val="1"/>
                <c:pt idx="0">
                  <c:v>Self Settled Camp</c:v>
                </c:pt>
              </c:strCache>
            </c:strRef>
          </c:tx>
          <c:spPr>
            <a:solidFill>
              <a:srgbClr val="FFFF00"/>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Analysis'!$D$172:$D$177</c:f>
              <c:numCache>
                <c:formatCode>General</c:formatCode>
                <c:ptCount val="5"/>
                <c:pt idx="0">
                  <c:v>1</c:v>
                </c:pt>
                <c:pt idx="3">
                  <c:v>1</c:v>
                </c:pt>
              </c:numCache>
            </c:numRef>
          </c:val>
        </c:ser>
        <c:ser>
          <c:idx val="3"/>
          <c:order val="3"/>
          <c:tx>
            <c:strRef>
              <c:f>'Camp Analysis'!$E$170:$E$171</c:f>
              <c:strCache>
                <c:ptCount val="1"/>
                <c:pt idx="0">
                  <c:v>Individual House</c:v>
                </c:pt>
              </c:strCache>
            </c:strRef>
          </c:tx>
          <c:spPr>
            <a:solidFill>
              <a:schemeClr val="accent6">
                <a:lumMod val="75000"/>
              </a:schemeClr>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Analysis'!$E$172:$E$177</c:f>
              <c:numCache>
                <c:formatCode>General</c:formatCode>
                <c:ptCount val="5"/>
                <c:pt idx="2">
                  <c:v>1</c:v>
                </c:pt>
              </c:numCache>
            </c:numRef>
          </c:val>
        </c:ser>
        <c:dLbls>
          <c:showLegendKey val="0"/>
          <c:showVal val="0"/>
          <c:showCatName val="0"/>
          <c:showSerName val="0"/>
          <c:showPercent val="0"/>
          <c:showBubbleSize val="0"/>
        </c:dLbls>
        <c:gapWidth val="75"/>
        <c:overlap val="100"/>
        <c:axId val="416470368"/>
        <c:axId val="416470760"/>
      </c:barChart>
      <c:catAx>
        <c:axId val="416470368"/>
        <c:scaling>
          <c:orientation val="minMax"/>
        </c:scaling>
        <c:delete val="1"/>
        <c:axPos val="r"/>
        <c:numFmt formatCode="General" sourceLinked="0"/>
        <c:majorTickMark val="none"/>
        <c:minorTickMark val="none"/>
        <c:tickLblPos val="nextTo"/>
        <c:crossAx val="416470760"/>
        <c:crosses val="autoZero"/>
        <c:auto val="1"/>
        <c:lblAlgn val="ctr"/>
        <c:lblOffset val="100"/>
        <c:noMultiLvlLbl val="0"/>
      </c:catAx>
      <c:valAx>
        <c:axId val="416470760"/>
        <c:scaling>
          <c:orientation val="maxMin"/>
        </c:scaling>
        <c:delete val="0"/>
        <c:axPos val="b"/>
        <c:majorGridlines/>
        <c:numFmt formatCode="General" sourceLinked="1"/>
        <c:majorTickMark val="none"/>
        <c:minorTickMark val="none"/>
        <c:tickLblPos val="nextTo"/>
        <c:spPr>
          <a:ln w="9525">
            <a:noFill/>
          </a:ln>
        </c:spPr>
        <c:crossAx val="416470368"/>
        <c:crosses val="autoZero"/>
        <c:crossBetween val="between"/>
      </c:valAx>
      <c:spPr>
        <a:solidFill>
          <a:schemeClr val="bg1">
            <a:alpha val="97000"/>
          </a:schemeClr>
        </a:solidFill>
        <a:ln>
          <a:solidFill>
            <a:schemeClr val="tx1"/>
          </a:solidFill>
        </a:ln>
      </c:spPr>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[3._shelter-nfi-cccm_rakhine_cluster_analysis_report_31_march_2018.xlsx]Camp Analysis!PivotTable14</c:name>
    <c:fmtId val="20"/>
  </c:pivotSource>
  <c:chart>
    <c:title>
      <c:tx>
        <c:rich>
          <a:bodyPr/>
          <a:lstStyle/>
          <a:p>
            <a:pPr>
              <a:defRPr/>
            </a:pPr>
            <a:r>
              <a:rPr lang="en-US" sz="1200"/>
              <a:t>IDP</a:t>
            </a:r>
            <a:r>
              <a:rPr lang="en-US" sz="1200" baseline="0"/>
              <a:t> Population (</a:t>
            </a:r>
            <a:r>
              <a:rPr lang="en-US" sz="1200" b="0" baseline="0"/>
              <a:t>127,574)</a:t>
            </a:r>
            <a:endParaRPr lang="en-US" sz="1200" b="0"/>
          </a:p>
        </c:rich>
      </c:tx>
      <c:layout>
        <c:manualLayout>
          <c:xMode val="edge"/>
          <c:yMode val="edge"/>
          <c:x val="0.3230032773624073"/>
          <c:y val="2.3806043271716683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
        <c:idx val="9"/>
        <c:marker>
          <c:symbol val="none"/>
        </c:marker>
      </c:pivotFmt>
      <c:pivotFmt>
        <c:idx val="10"/>
        <c:spPr>
          <a:solidFill>
            <a:schemeClr val="accent2">
              <a:lumMod val="75000"/>
            </a:schemeClr>
          </a:solidFill>
          <a:ln>
            <a:solidFill>
              <a:schemeClr val="tx1"/>
            </a:solidFill>
          </a:ln>
        </c:spPr>
        <c:marker>
          <c:symbol val="none"/>
        </c:marker>
      </c:pivotFmt>
      <c:pivotFmt>
        <c:idx val="11"/>
        <c:spPr>
          <a:solidFill>
            <a:schemeClr val="accent1"/>
          </a:solidFill>
          <a:ln>
            <a:solidFill>
              <a:schemeClr val="tx1"/>
            </a:solidFill>
          </a:ln>
        </c:spPr>
        <c:marker>
          <c:symbol val="none"/>
        </c:marker>
      </c:pivotFmt>
      <c:pivotFmt>
        <c:idx val="12"/>
        <c:spPr>
          <a:solidFill>
            <a:srgbClr val="FFFF00"/>
          </a:solidFill>
          <a:ln>
            <a:solidFill>
              <a:schemeClr val="tx1"/>
            </a:solidFill>
          </a:ln>
        </c:spPr>
        <c:marker>
          <c:symbol val="none"/>
        </c:marker>
      </c:pivotFmt>
      <c:pivotFmt>
        <c:idx val="13"/>
        <c:spPr>
          <a:solidFill>
            <a:schemeClr val="accent6">
              <a:lumMod val="75000"/>
            </a:schemeClr>
          </a:solidFill>
          <a:ln>
            <a:solidFill>
              <a:schemeClr val="tx1"/>
            </a:solidFill>
          </a:ln>
        </c:spPr>
        <c:marker>
          <c:symbol val="none"/>
        </c:marker>
      </c:pivotFmt>
    </c:pivotFmts>
    <c:plotArea>
      <c:layout>
        <c:manualLayout>
          <c:layoutTarget val="inner"/>
          <c:xMode val="edge"/>
          <c:yMode val="edge"/>
          <c:x val="0.22951854459932114"/>
          <c:y val="0.10661948387728691"/>
          <c:w val="0.69666228359700166"/>
          <c:h val="0.6889576340672855"/>
        </c:manualLayout>
      </c:layout>
      <c:barChart>
        <c:barDir val="bar"/>
        <c:grouping val="stacked"/>
        <c:varyColors val="0"/>
        <c:ser>
          <c:idx val="0"/>
          <c:order val="0"/>
          <c:tx>
            <c:strRef>
              <c:f>'Camp Analysis'!$B$186:$B$187</c:f>
              <c:strCache>
                <c:ptCount val="1"/>
                <c:pt idx="0">
                  <c:v>Host Families</c:v>
                </c:pt>
              </c:strCache>
            </c:strRef>
          </c:tx>
          <c:spPr>
            <a:solidFill>
              <a:schemeClr val="accent2">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spPr>
            <a:solidFill>
              <a:schemeClr val="accent1"/>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2606</c:v>
                </c:pt>
                <c:pt idx="2">
                  <c:v>17233</c:v>
                </c:pt>
                <c:pt idx="3">
                  <c:v>82379</c:v>
                </c:pt>
                <c:pt idx="4">
                  <c:v>1050</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13049</c:v>
                </c:pt>
              </c:numCache>
            </c:numRef>
          </c:val>
        </c:ser>
        <c:ser>
          <c:idx val="3"/>
          <c:order val="3"/>
          <c:tx>
            <c:strRef>
              <c:f>'Camp Analysis'!$E$186:$E$187</c:f>
              <c:strCache>
                <c:ptCount val="1"/>
                <c:pt idx="0">
                  <c:v>Individual House</c:v>
                </c:pt>
              </c:strCache>
            </c:strRef>
          </c:tx>
          <c:spPr>
            <a:solidFill>
              <a:schemeClr val="accent6">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4592</c:v>
                </c:pt>
              </c:numCache>
            </c:numRef>
          </c:val>
        </c:ser>
        <c:dLbls>
          <c:showLegendKey val="0"/>
          <c:showVal val="0"/>
          <c:showCatName val="0"/>
          <c:showSerName val="0"/>
          <c:showPercent val="0"/>
          <c:showBubbleSize val="0"/>
        </c:dLbls>
        <c:gapWidth val="75"/>
        <c:overlap val="100"/>
        <c:axId val="416471544"/>
        <c:axId val="416621560"/>
      </c:barChart>
      <c:catAx>
        <c:axId val="416471544"/>
        <c:scaling>
          <c:orientation val="minMax"/>
        </c:scaling>
        <c:delete val="0"/>
        <c:axPos val="l"/>
        <c:numFmt formatCode="General" sourceLinked="0"/>
        <c:majorTickMark val="out"/>
        <c:minorTickMark val="none"/>
        <c:tickLblPos val="nextTo"/>
        <c:txPr>
          <a:bodyPr/>
          <a:lstStyle/>
          <a:p>
            <a:pPr>
              <a:defRPr sz="1200" baseline="0"/>
            </a:pPr>
            <a:endParaRPr lang="en-US"/>
          </a:p>
        </c:txPr>
        <c:crossAx val="416621560"/>
        <c:crosses val="autoZero"/>
        <c:auto val="1"/>
        <c:lblAlgn val="ctr"/>
        <c:lblOffset val="100"/>
        <c:noMultiLvlLbl val="0"/>
      </c:catAx>
      <c:valAx>
        <c:axId val="416621560"/>
        <c:scaling>
          <c:orientation val="minMax"/>
        </c:scaling>
        <c:delete val="0"/>
        <c:axPos val="b"/>
        <c:majorGridlines/>
        <c:numFmt formatCode="#,##0" sourceLinked="0"/>
        <c:majorTickMark val="out"/>
        <c:minorTickMark val="none"/>
        <c:tickLblPos val="nextTo"/>
        <c:crossAx val="416471544"/>
        <c:crosses val="autoZero"/>
        <c:crossBetween val="between"/>
      </c:valAx>
      <c:spPr>
        <a:ln>
          <a:solidFill>
            <a:schemeClr val="tx1"/>
          </a:solidFill>
        </a:ln>
      </c:spPr>
    </c:plotArea>
    <c:legend>
      <c:legendPos val="b"/>
      <c:layout>
        <c:manualLayout>
          <c:xMode val="edge"/>
          <c:yMode val="edge"/>
          <c:x val="0"/>
          <c:y val="0.88992125092062768"/>
          <c:w val="0.87898033163320466"/>
          <c:h val="0.10545925135155529"/>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0304124828433"/>
          <c:y val="0.11100009699718036"/>
          <c:w val="0.62070341207349078"/>
          <c:h val="0.79983224654346707"/>
        </c:manualLayout>
      </c:layout>
      <c:pieChart>
        <c:varyColors val="1"/>
        <c:ser>
          <c:idx val="0"/>
          <c:order val="0"/>
          <c:dPt>
            <c:idx val="0"/>
            <c:bubble3D val="0"/>
            <c:spPr>
              <a:effectLst>
                <a:outerShdw blurRad="50800" dist="50800" dir="5400000" algn="ctr" rotWithShape="0">
                  <a:srgbClr val="000000">
                    <a:alpha val="62000"/>
                  </a:srgbClr>
                </a:outerShdw>
              </a:effectLst>
            </c:spPr>
          </c:dPt>
          <c:dPt>
            <c:idx val="1"/>
            <c:bubble3D val="0"/>
            <c:spPr>
              <a:solidFill>
                <a:srgbClr val="FFFF00"/>
              </a:solidFill>
            </c:spPr>
          </c:dPt>
          <c:dPt>
            <c:idx val="2"/>
            <c:bubble3D val="0"/>
            <c:spPr>
              <a:solidFill>
                <a:schemeClr val="accent2"/>
              </a:solidFill>
            </c:spPr>
          </c:dPt>
          <c:dPt>
            <c:idx val="3"/>
            <c:bubble3D val="0"/>
            <c:spPr>
              <a:solidFill>
                <a:srgbClr val="FFC000"/>
              </a:solidFill>
            </c:spPr>
          </c:dPt>
          <c:dLbls>
            <c:dLbl>
              <c:idx val="1"/>
              <c:layout>
                <c:manualLayout>
                  <c:x val="-0.1000279492033869"/>
                  <c:y val="3.841229148681996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6319434465401E-2"/>
                  <c:y val="-1.882334475632414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7870556476949204E-3"/>
                  <c:y val="7.7606578247486511E-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Sheet2!$A$5:$A$8</c15:sqref>
                  </c15:fullRef>
                </c:ext>
              </c:extLst>
              <c:f>Sheet2!$A$5:$A$8</c:f>
              <c:strCache>
                <c:ptCount val="4"/>
                <c:pt idx="0">
                  <c:v>Planned Camps</c:v>
                </c:pt>
                <c:pt idx="1">
                  <c:v>Self-Settled Camps</c:v>
                </c:pt>
                <c:pt idx="2">
                  <c:v>Host Community</c:v>
                </c:pt>
                <c:pt idx="3">
                  <c:v>Individual House</c:v>
                </c:pt>
              </c:strCache>
            </c:strRef>
          </c:cat>
          <c:val>
            <c:numRef>
              <c:extLst>
                <c:ext xmlns:c15="http://schemas.microsoft.com/office/drawing/2012/chart" uri="{02D57815-91ED-43cb-92C2-25804820EDAC}">
                  <c15:fullRef>
                    <c15:sqref>Sheet2!$B$5:$B$10</c15:sqref>
                  </c15:fullRef>
                </c:ext>
              </c:extLst>
              <c:f>Sheet2!$B$5:$B$8</c:f>
              <c:numCache>
                <c:formatCode>_-* #,##0_-;\-* #,##0_-;_-* "-"??_-;_-@_-</c:formatCode>
                <c:ptCount val="4"/>
                <c:pt idx="0">
                  <c:v>103268</c:v>
                </c:pt>
                <c:pt idx="1">
                  <c:v>13595</c:v>
                </c:pt>
                <c:pt idx="2">
                  <c:v>6119</c:v>
                </c:pt>
                <c:pt idx="3">
                  <c:v>4592</c:v>
                </c:pt>
              </c:numCache>
            </c:numRef>
          </c:val>
          <c:extLst>
            <c:ext xmlns:c15="http://schemas.microsoft.com/office/drawing/2012/chart" uri="{02D57815-91ED-43cb-92C2-25804820EDAC}">
              <c15:categoryFilterExceptions>
                <c15:categoryFilterException>
                  <c15:sqref>Sheet2!$B$9</c15:sqref>
                  <c15:bubble3D val="0"/>
                  <c15:dLbl>
                    <c:idx val="3"/>
                    <c:delete val="1"/>
                    <c:extLst>
                      <c:ext uri="{CE6537A1-D6FC-4f65-9D91-7224C49458BB}"/>
                    </c:extLst>
                  </c15:dLbl>
                </c15:categoryFilterException>
                <c15:categoryFilterException>
                  <c15:sqref>Sheet2!$B$10</c15:sqref>
                  <c15:dLbl>
                    <c:idx val="3"/>
                    <c:delete val="1"/>
                    <c:extLst>
                      <c:ext uri="{CE6537A1-D6FC-4f65-9D91-7224C49458BB}"/>
                    </c:extLst>
                  </c15:dLbl>
                </c15:categoryFilterException>
              </c15:categoryFilterExceptions>
            </c:ext>
          </c:extLst>
        </c:ser>
        <c:dLbls>
          <c:showLegendKey val="0"/>
          <c:showVal val="0"/>
          <c:showCatName val="0"/>
          <c:showSerName val="0"/>
          <c:showPercent val="0"/>
          <c:showBubbleSize val="0"/>
          <c:showLeaderLines val="1"/>
        </c:dLbls>
        <c:firstSliceAng val="122"/>
      </c:pieChart>
    </c:plotArea>
    <c:legend>
      <c:legendPos val="r"/>
      <c:layout>
        <c:manualLayout>
          <c:xMode val="edge"/>
          <c:yMode val="edge"/>
          <c:x val="0.71868772105762702"/>
          <c:y val="0.13160192185279168"/>
          <c:w val="0.24012824610540315"/>
          <c:h val="0.32040599576215761"/>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1"/>
            <c:bubble3D val="0"/>
            <c:spPr>
              <a:solidFill>
                <a:srgbClr val="FFFF00"/>
              </a:solidFill>
            </c:spPr>
          </c:dPt>
          <c:dPt>
            <c:idx val="2"/>
            <c:bubble3D val="0"/>
            <c:spPr>
              <a:solidFill>
                <a:schemeClr val="accent2"/>
              </a:solidFill>
            </c:spPr>
          </c:dPt>
          <c:cat>
            <c:strRef>
              <c:f>Sheet2!$A$5:$A$7</c:f>
              <c:strCache>
                <c:ptCount val="3"/>
                <c:pt idx="0">
                  <c:v>Planned Camps</c:v>
                </c:pt>
                <c:pt idx="1">
                  <c:v>Self-Settled Camps</c:v>
                </c:pt>
                <c:pt idx="2">
                  <c:v>Host Community</c:v>
                </c:pt>
              </c:strCache>
            </c:strRef>
          </c:cat>
          <c:val>
            <c:numRef>
              <c:f>Sheet2!$B$5:$B$7</c:f>
              <c:numCache>
                <c:formatCode>_-* #,##0_-;\-* #,##0_-;_-* "-"??_-;_-@_-</c:formatCode>
                <c:ptCount val="3"/>
                <c:pt idx="0">
                  <c:v>103268</c:v>
                </c:pt>
                <c:pt idx="1">
                  <c:v>13595</c:v>
                </c:pt>
                <c:pt idx="2">
                  <c:v>6119</c:v>
                </c:pt>
              </c:numCache>
            </c:numRef>
          </c:val>
        </c:ser>
        <c:dLbls>
          <c:showLegendKey val="0"/>
          <c:showVal val="0"/>
          <c:showCatName val="0"/>
          <c:showSerName val="0"/>
          <c:showPercent val="0"/>
          <c:showBubbleSize val="0"/>
          <c:showLeaderLines val="1"/>
        </c:dLbls>
        <c:firstSliceAng val="124"/>
      </c:pieChart>
    </c:plotArea>
    <c:legend>
      <c:legendPos val="r"/>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_Tracking!A1"/><Relationship Id="rId13" Type="http://schemas.openxmlformats.org/officeDocument/2006/relationships/hyperlink" Target="#'Camp Analysis'!R1C1"/><Relationship Id="rId18" Type="http://schemas.openxmlformats.org/officeDocument/2006/relationships/hyperlink" Target="#'NFI Distribution (by Tship)'!R1C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17" Type="http://schemas.openxmlformats.org/officeDocument/2006/relationships/hyperlink" Target="#'NFI Tracking'!R1C1"/><Relationship Id="rId2" Type="http://schemas.openxmlformats.org/officeDocument/2006/relationships/hyperlink" Target="#Camp_List!A1"/><Relationship Id="rId16" Type="http://schemas.openxmlformats.org/officeDocument/2006/relationships/hyperlink" Target="#'Shelter Progress'!A1"/><Relationship Id="rId1" Type="http://schemas.openxmlformats.org/officeDocument/2006/relationships/hyperlink" Target="#Camp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5" Type="http://schemas.openxmlformats.org/officeDocument/2006/relationships/hyperlink" Target="#'Shelter Tracking'!R1C1"/><Relationship Id="rId10" Type="http://schemas.openxmlformats.org/officeDocument/2006/relationships/hyperlink" Target="#ShelterAgency!A1"/><Relationship Id="rId19" Type="http://schemas.openxmlformats.org/officeDocument/2006/relationships/hyperlink" Target="#'Shelter Summary (by agency)'!A1"/><Relationship Id="rId4" Type="http://schemas.openxmlformats.org/officeDocument/2006/relationships/hyperlink" Target="#Shelter_Progress!A1"/><Relationship Id="rId9" Type="http://schemas.openxmlformats.org/officeDocument/2006/relationships/hyperlink" Target="#NFIAnalysis!A1"/><Relationship Id="rId14" Type="http://schemas.openxmlformats.org/officeDocument/2006/relationships/hyperlink" Target="#'Camp List'!R1C1"/></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8" Type="http://schemas.openxmlformats.org/officeDocument/2006/relationships/hyperlink" Target="#'Camp List (printable) '!R1C1"/><Relationship Id="rId3" Type="http://schemas.openxmlformats.org/officeDocument/2006/relationships/image" Target="../media/image17.png"/><Relationship Id="rId7" Type="http://schemas.openxmlformats.org/officeDocument/2006/relationships/hyperlink" Target="#'Camp Analysis'!R1C1"/><Relationship Id="rId2" Type="http://schemas.openxmlformats.org/officeDocument/2006/relationships/image" Target="../media/image6.png"/><Relationship Id="rId1" Type="http://schemas.openxmlformats.org/officeDocument/2006/relationships/chart" Target="../charts/chart15.xml"/><Relationship Id="rId6" Type="http://schemas.openxmlformats.org/officeDocument/2006/relationships/hyperlink" Target="#'Camp List'!R1C1"/><Relationship Id="rId5" Type="http://schemas.openxmlformats.org/officeDocument/2006/relationships/chart" Target="../charts/chart16.xml"/><Relationship Id="rId4" Type="http://schemas.openxmlformats.org/officeDocument/2006/relationships/hyperlink" Target="#Home!A1"/><Relationship Id="rId9" Type="http://schemas.openxmlformats.org/officeDocument/2006/relationships/hyperlink" Target="#'CCCM Dashboard'!R1C1"/></Relationships>
</file>

<file path=xl/drawings/_rels/drawing1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18.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hyperlink" Target="#'Shelter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Coverage &amp; Gaps'!A1"/><Relationship Id="rId5" Type="http://schemas.openxmlformats.org/officeDocument/2006/relationships/hyperlink" Target="#'Shelter Progress'!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image" Target="../media/image7.png"/><Relationship Id="rId7" Type="http://schemas.openxmlformats.org/officeDocument/2006/relationships/hyperlink" Target="#'Shelter Coverage &amp; Gaps'!A1"/><Relationship Id="rId2" Type="http://schemas.openxmlformats.org/officeDocument/2006/relationships/image" Target="../media/image6.png"/><Relationship Id="rId1" Type="http://schemas.openxmlformats.org/officeDocument/2006/relationships/chart" Target="../charts/chart17.xml"/><Relationship Id="rId6" Type="http://schemas.openxmlformats.org/officeDocument/2006/relationships/hyperlink" Target="#'Shelter Progress'!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chart" Target="../charts/chart20.xml"/><Relationship Id="rId7" Type="http://schemas.openxmlformats.org/officeDocument/2006/relationships/hyperlink" Target="#'Shelter Progress'!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Summary (by agency)'!A1"/><Relationship Id="rId5" Type="http://schemas.openxmlformats.org/officeDocument/2006/relationships/hyperlink" Target="#Home!A1"/><Relationship Id="rId4" Type="http://schemas.openxmlformats.org/officeDocument/2006/relationships/hyperlink" Target="#'Shelter Tracking'!R1C1"/></Relationships>
</file>

<file path=xl/drawings/_rels/drawing19.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image" Target="../media/image7.png"/><Relationship Id="rId7" Type="http://schemas.openxmlformats.org/officeDocument/2006/relationships/hyperlink" Target="#'Shelter Coverage &amp; Gaps'!A1"/><Relationship Id="rId2" Type="http://schemas.openxmlformats.org/officeDocument/2006/relationships/image" Target="../media/image6.png"/><Relationship Id="rId1" Type="http://schemas.openxmlformats.org/officeDocument/2006/relationships/chart" Target="../charts/chart21.xml"/><Relationship Id="rId6" Type="http://schemas.openxmlformats.org/officeDocument/2006/relationships/hyperlink" Target="#'Shelter Progress'!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image" Target="../media/image8.png"/><Relationship Id="rId2" Type="http://schemas.openxmlformats.org/officeDocument/2006/relationships/hyperlink" Target="#'Camp List'!R1C1"/><Relationship Id="rId1" Type="http://schemas.openxmlformats.org/officeDocument/2006/relationships/image" Target="../media/image6.png"/><Relationship Id="rId6" Type="http://schemas.openxmlformats.org/officeDocument/2006/relationships/hyperlink" Target="#'CCCM Dashboard'!R1C1"/><Relationship Id="rId5" Type="http://schemas.openxmlformats.org/officeDocument/2006/relationships/hyperlink" Target="#'Camp List (printable) '!R1C1"/><Relationship Id="rId4" Type="http://schemas.openxmlformats.org/officeDocument/2006/relationships/hyperlink" Target="#'Camp Analysis'!R1C1"/></Relationships>
</file>

<file path=xl/drawings/_rels/drawing21.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Distribution by Year'!A1"/><Relationship Id="rId5" Type="http://schemas.openxmlformats.org/officeDocument/2006/relationships/hyperlink" Target="#Home!A1"/><Relationship Id="rId4" Type="http://schemas.openxmlformats.org/officeDocument/2006/relationships/hyperlink" Target="#'NFI Tracking'!R1C1"/></Relationships>
</file>

<file path=xl/drawings/_rels/drawing23.xml.rels><?xml version="1.0" encoding="UTF-8" standalone="yes"?>
<Relationships xmlns="http://schemas.openxmlformats.org/package/2006/relationships"><Relationship Id="rId3" Type="http://schemas.openxmlformats.org/officeDocument/2006/relationships/hyperlink" Target="#'NFI Tracking'!R1C1"/><Relationship Id="rId7" Type="http://schemas.openxmlformats.org/officeDocument/2006/relationships/chart" Target="../charts/chart24.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24.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hyperlink" Target="https://www.sheltercluster.org/sites/default/files/docs/sphere_handbook_2011_english.pdf" TargetMode="External"/><Relationship Id="rId7" Type="http://schemas.openxmlformats.org/officeDocument/2006/relationships/hyperlink" Target="#'NFI Summary'!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Distribution by Year'!A1"/><Relationship Id="rId11" Type="http://schemas.openxmlformats.org/officeDocument/2006/relationships/chart" Target="../charts/chart27.xml"/><Relationship Id="rId5" Type="http://schemas.openxmlformats.org/officeDocument/2006/relationships/hyperlink" Target="#Home!A1"/><Relationship Id="rId10" Type="http://schemas.openxmlformats.org/officeDocument/2006/relationships/image" Target="../media/image19.jpeg"/><Relationship Id="rId4" Type="http://schemas.openxmlformats.org/officeDocument/2006/relationships/hyperlink" Target="#'NFI Tracking'!R1C1"/><Relationship Id="rId9" Type="http://schemas.openxmlformats.org/officeDocument/2006/relationships/chart" Target="../charts/chart26.xml"/></Relationships>
</file>

<file path=xl/drawings/_rels/drawing25.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hyperlink" Target="#'Camp Analysis'!R1C1"/><Relationship Id="rId13" Type="http://schemas.openxmlformats.org/officeDocument/2006/relationships/chart" Target="../charts/chart5.xml"/><Relationship Id="rId3" Type="http://schemas.openxmlformats.org/officeDocument/2006/relationships/image" Target="../media/image7.png"/><Relationship Id="rId7" Type="http://schemas.openxmlformats.org/officeDocument/2006/relationships/hyperlink" Target="#Home!A1"/><Relationship Id="rId12"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image" Target="../media/image10.png"/><Relationship Id="rId6" Type="http://schemas.openxmlformats.org/officeDocument/2006/relationships/hyperlink" Target="#'Camp List'!R1C1"/><Relationship Id="rId11" Type="http://schemas.openxmlformats.org/officeDocument/2006/relationships/chart" Target="../charts/chart3.xml"/><Relationship Id="rId5" Type="http://schemas.openxmlformats.org/officeDocument/2006/relationships/chart" Target="../charts/chart2.xml"/><Relationship Id="rId15" Type="http://schemas.openxmlformats.org/officeDocument/2006/relationships/chart" Target="../charts/chart7.xml"/><Relationship Id="rId10" Type="http://schemas.openxmlformats.org/officeDocument/2006/relationships/hyperlink" Target="#'CCCM Dashboard'!R1C1"/><Relationship Id="rId4" Type="http://schemas.openxmlformats.org/officeDocument/2006/relationships/chart" Target="../charts/chart1.xml"/><Relationship Id="rId9" Type="http://schemas.openxmlformats.org/officeDocument/2006/relationships/hyperlink" Target="#'Camp List (printable) '!R1C1"/><Relationship Id="rId1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hyperlink" Target="#'CCCM Dashboard'!R1C1"/><Relationship Id="rId3" Type="http://schemas.openxmlformats.org/officeDocument/2006/relationships/image" Target="../media/image7.png"/><Relationship Id="rId7" Type="http://schemas.openxmlformats.org/officeDocument/2006/relationships/hyperlink" Target="#'Camp List (printable) '!R1C1"/><Relationship Id="rId2" Type="http://schemas.openxmlformats.org/officeDocument/2006/relationships/image" Target="../media/image6.png"/><Relationship Id="rId1" Type="http://schemas.openxmlformats.org/officeDocument/2006/relationships/chart" Target="../charts/chart11.xml"/><Relationship Id="rId6" Type="http://schemas.openxmlformats.org/officeDocument/2006/relationships/hyperlink" Target="#'Camp Analysis'!R1C1"/><Relationship Id="rId5" Type="http://schemas.openxmlformats.org/officeDocument/2006/relationships/hyperlink" Target="#Home!A1"/><Relationship Id="rId4" Type="http://schemas.openxmlformats.org/officeDocument/2006/relationships/hyperlink" Target="#'Camp List'!R1C1"/><Relationship Id="rId9"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19" name="Rounded Rectangle 18">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20" name="Rounded Rectangle 19"/>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21" name="Rounded Rectangle 20">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22" name="Rounded Rectangle 21">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23" name="Rounded Rectangle 22">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24"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25"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26"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27" name="Rounded Rectangle 26">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28" name="Rounded Rectangle 27">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29" name="Rounded Rectangle 28">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30" name="Picture 29"/>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31" name="Picture 30"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32" name="Rounded Rectangle 31">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33" name="Rounded Rectangle 32"/>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34" name="Rounded Rectangle 33">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35" name="Rounded Rectangle 34">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36" name="Rounded Rectangle 35">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37"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38"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39"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40" name="Rounded Rectangle 39">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41" name="Rounded Rectangle 40">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42" name="Rounded Rectangle 41">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43" name="Picture 42"/>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44" name="Picture 43"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45" name="Rounded Rectangle 44">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6" name="Rounded Rectangle 45"/>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47" name="Rounded Rectangle 46">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48" name="Rounded Rectangle 47">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49" name="Rounded Rectangle 48">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50"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51"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52"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53" name="Rounded Rectangle 5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54" name="Rounded Rectangle 53">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55" name="Rounded Rectangle 54">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56" name="Picture 55"/>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58" name="Rounded Rectangle 57">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59" name="Rounded Rectangle 58"/>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0" name="Rounded Rectangle 59">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61" name="Rounded Rectangle 60">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62" name="Rounded Rectangle 61">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63"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64"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65"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66" name="Rounded Rectangle 65">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67" name="Rounded Rectangle 66">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68" name="Rounded Rectangle 67">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71" name="Rounded Rectangle 70">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72" name="Rounded Rectangle 71"/>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73" name="Rounded Rectangle 72">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4" name="Rounded Rectangle 73">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75" name="Rounded Rectangle 74">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76"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77"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78"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79" name="Rounded Rectangle 78">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80" name="Rounded Rectangle 79">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81" name="Rounded Rectangle 80">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82" name="Picture 81"/>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84" name="Rounded Rectangle 83">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85" name="Rounded Rectangle 84"/>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86" name="Rounded Rectangle 85">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87" name="Rounded Rectangle 86">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8" name="Rounded Rectangle 87">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8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9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9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92" name="Rounded Rectangle 91">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93" name="Rounded Rectangle 92">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94" name="Rounded Rectangle 93">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2</xdr:row>
      <xdr:rowOff>166687</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4083843" y="226219"/>
          <a:ext cx="1951844" cy="4881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97" name="Rounded Rectangle 96">
          <a:hlinkClick xmlns:r="http://schemas.openxmlformats.org/officeDocument/2006/relationships" r:id="rId13"/>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98" name="Rounded Rectangle 97"/>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99" name="Rounded Rectangle 98">
          <a:hlinkClick xmlns:r="http://schemas.openxmlformats.org/officeDocument/2006/relationships" r:id="rId14"/>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100" name="Rounded Rectangle 99">
          <a:hlinkClick xmlns:r="http://schemas.openxmlformats.org/officeDocument/2006/relationships" r:id="rId15"/>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101" name="Rounded Rectangle 100">
          <a:hlinkClick xmlns:r="http://schemas.openxmlformats.org/officeDocument/2006/relationships" r:id="rId16"/>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102"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3"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04"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05" name="Rounded Rectangle 104">
          <a:hlinkClick xmlns:r="http://schemas.openxmlformats.org/officeDocument/2006/relationships" r:id="rId17"/>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06" name="Rounded Rectangle 105">
          <a:hlinkClick xmlns:r="http://schemas.openxmlformats.org/officeDocument/2006/relationships" r:id="rId18"/>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07" name="Rounded Rectangle 106">
          <a:hlinkClick xmlns:r="http://schemas.openxmlformats.org/officeDocument/2006/relationships" r:id="rId19"/>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25</xdr:col>
          <xdr:colOff>247650</xdr:colOff>
          <xdr:row>13</xdr:row>
          <xdr:rowOff>161925</xdr:rowOff>
        </xdr:from>
        <xdr:to>
          <xdr:col>28</xdr:col>
          <xdr:colOff>9525</xdr:colOff>
          <xdr:row>15</xdr:row>
          <xdr:rowOff>104775</xdr:rowOff>
        </xdr:to>
        <xdr:sp macro="" textlink="">
          <xdr:nvSpPr>
            <xdr:cNvPr id="1025" name="Print_Report"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9</xdr:row>
          <xdr:rowOff>28575</xdr:rowOff>
        </xdr:from>
        <xdr:to>
          <xdr:col>27</xdr:col>
          <xdr:colOff>514350</xdr:colOff>
          <xdr:row>11</xdr:row>
          <xdr:rowOff>95250</xdr:rowOff>
        </xdr:to>
        <xdr:sp macro="" textlink="">
          <xdr:nvSpPr>
            <xdr:cNvPr id="1027" name="Export_Data"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12</xdr:col>
      <xdr:colOff>76540</xdr:colOff>
      <xdr:row>7</xdr:row>
      <xdr:rowOff>154782</xdr:rowOff>
    </xdr:from>
    <xdr:to>
      <xdr:col>19</xdr:col>
      <xdr:colOff>738186</xdr:colOff>
      <xdr:row>32</xdr:row>
      <xdr:rowOff>97633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378704</xdr:colOff>
      <xdr:row>31</xdr:row>
      <xdr:rowOff>126236</xdr:rowOff>
    </xdr:from>
    <xdr:to>
      <xdr:col>15</xdr:col>
      <xdr:colOff>361032</xdr:colOff>
      <xdr:row>55</xdr:row>
      <xdr:rowOff>126235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562319</xdr:colOff>
      <xdr:row>2</xdr:row>
      <xdr:rowOff>119496</xdr:rowOff>
    </xdr:from>
    <xdr:to>
      <xdr:col>15</xdr:col>
      <xdr:colOff>275421</xdr:colOff>
      <xdr:row>3</xdr:row>
      <xdr:rowOff>77067</xdr:rowOff>
    </xdr:to>
    <xdr:grpSp>
      <xdr:nvGrpSpPr>
        <xdr:cNvPr id="16" name="Group 15"/>
        <xdr:cNvGrpSpPr/>
      </xdr:nvGrpSpPr>
      <xdr:grpSpPr>
        <a:xfrm>
          <a:off x="5542861" y="693291"/>
          <a:ext cx="3362440" cy="324800"/>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9647004" y="317500"/>
            <a:ext cx="3040614"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103283</xdr:colOff>
      <xdr:row>1</xdr:row>
      <xdr:rowOff>61627</xdr:rowOff>
    </xdr:from>
    <xdr:to>
      <xdr:col>2</xdr:col>
      <xdr:colOff>575060</xdr:colOff>
      <xdr:row>1</xdr:row>
      <xdr:rowOff>355753</xdr:rowOff>
    </xdr:to>
    <xdr:sp macro="" textlink="">
      <xdr:nvSpPr>
        <xdr:cNvPr id="22" name="Rounded Rectangle 21">
          <a:hlinkClick xmlns:r="http://schemas.openxmlformats.org/officeDocument/2006/relationships" r:id="rId4"/>
        </xdr:cNvPr>
        <xdr:cNvSpPr/>
      </xdr:nvSpPr>
      <xdr:spPr>
        <a:xfrm>
          <a:off x="103283" y="61627"/>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413132</xdr:colOff>
      <xdr:row>5</xdr:row>
      <xdr:rowOff>172137</xdr:rowOff>
    </xdr:from>
    <xdr:to>
      <xdr:col>15</xdr:col>
      <xdr:colOff>367228</xdr:colOff>
      <xdr:row>29</xdr:row>
      <xdr:rowOff>172136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292659</xdr:colOff>
      <xdr:row>1</xdr:row>
      <xdr:rowOff>84579</xdr:rowOff>
    </xdr:from>
    <xdr:to>
      <xdr:col>5</xdr:col>
      <xdr:colOff>156213</xdr:colOff>
      <xdr:row>1</xdr:row>
      <xdr:rowOff>378705</xdr:rowOff>
    </xdr:to>
    <xdr:sp macro="" textlink="">
      <xdr:nvSpPr>
        <xdr:cNvPr id="14" name="Rounded Rectangle 13">
          <a:hlinkClick xmlns:r="http://schemas.openxmlformats.org/officeDocument/2006/relationships" r:id="rId6"/>
        </xdr:cNvPr>
        <xdr:cNvSpPr/>
      </xdr:nvSpPr>
      <xdr:spPr>
        <a:xfrm>
          <a:off x="1509105"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220168</xdr:colOff>
      <xdr:row>1</xdr:row>
      <xdr:rowOff>84579</xdr:rowOff>
    </xdr:from>
    <xdr:to>
      <xdr:col>10</xdr:col>
      <xdr:colOff>83722</xdr:colOff>
      <xdr:row>1</xdr:row>
      <xdr:rowOff>378705</xdr:rowOff>
    </xdr:to>
    <xdr:sp macro="" textlink="">
      <xdr:nvSpPr>
        <xdr:cNvPr id="15" name="Rounded Rectangle 14">
          <a:hlinkClick xmlns:r="http://schemas.openxmlformats.org/officeDocument/2006/relationships" r:id="rId7"/>
        </xdr:cNvPr>
        <xdr:cNvSpPr/>
      </xdr:nvSpPr>
      <xdr:spPr>
        <a:xfrm>
          <a:off x="4477728"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21470</xdr:colOff>
      <xdr:row>1</xdr:row>
      <xdr:rowOff>84579</xdr:rowOff>
    </xdr:from>
    <xdr:to>
      <xdr:col>7</xdr:col>
      <xdr:colOff>493247</xdr:colOff>
      <xdr:row>1</xdr:row>
      <xdr:rowOff>378705</xdr:rowOff>
    </xdr:to>
    <xdr:sp macro="" textlink="">
      <xdr:nvSpPr>
        <xdr:cNvPr id="19" name="Rounded Rectangle 18">
          <a:hlinkClick xmlns:r="http://schemas.openxmlformats.org/officeDocument/2006/relationships" r:id="rId8"/>
        </xdr:cNvPr>
        <xdr:cNvSpPr/>
      </xdr:nvSpPr>
      <xdr:spPr>
        <a:xfrm>
          <a:off x="3062584"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372941</xdr:colOff>
      <xdr:row>1</xdr:row>
      <xdr:rowOff>96485</xdr:rowOff>
    </xdr:from>
    <xdr:to>
      <xdr:col>12</xdr:col>
      <xdr:colOff>236495</xdr:colOff>
      <xdr:row>1</xdr:row>
      <xdr:rowOff>390611</xdr:rowOff>
    </xdr:to>
    <xdr:sp macro="" textlink="">
      <xdr:nvSpPr>
        <xdr:cNvPr id="20" name="Rounded Rectangle 19">
          <a:hlinkClick xmlns:r="http://schemas.openxmlformats.org/officeDocument/2006/relationships" r:id="rId9"/>
        </xdr:cNvPr>
        <xdr:cNvSpPr/>
      </xdr:nvSpPr>
      <xdr:spPr>
        <a:xfrm>
          <a:off x="5846947" y="96485"/>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1227773</xdr:colOff>
      <xdr:row>1</xdr:row>
      <xdr:rowOff>272142</xdr:rowOff>
    </xdr:from>
    <xdr:to>
      <xdr:col>4</xdr:col>
      <xdr:colOff>4441371</xdr:colOff>
      <xdr:row>5</xdr:row>
      <xdr:rowOff>188322</xdr:rowOff>
    </xdr:to>
    <xdr:grpSp>
      <xdr:nvGrpSpPr>
        <xdr:cNvPr id="2" name="Group 1"/>
        <xdr:cNvGrpSpPr/>
      </xdr:nvGrpSpPr>
      <xdr:grpSpPr>
        <a:xfrm>
          <a:off x="4441780" y="394606"/>
          <a:ext cx="4449127" cy="81425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320842</xdr:colOff>
      <xdr:row>1</xdr:row>
      <xdr:rowOff>83401</xdr:rowOff>
    </xdr:from>
    <xdr:to>
      <xdr:col>7</xdr:col>
      <xdr:colOff>130340</xdr:colOff>
      <xdr:row>2</xdr:row>
      <xdr:rowOff>40972</xdr:rowOff>
    </xdr:to>
    <xdr:grpSp>
      <xdr:nvGrpSpPr>
        <xdr:cNvPr id="5" name="Group 4"/>
        <xdr:cNvGrpSpPr/>
      </xdr:nvGrpSpPr>
      <xdr:grpSpPr>
        <a:xfrm>
          <a:off x="3836021" y="536972"/>
          <a:ext cx="4356551" cy="411143"/>
          <a:chOff x="6500812" y="317500"/>
          <a:chExt cx="6186805"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373764" y="317500"/>
            <a:ext cx="3313853"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250658</xdr:colOff>
      <xdr:row>8</xdr:row>
      <xdr:rowOff>50131</xdr:rowOff>
    </xdr:from>
    <xdr:to>
      <xdr:col>11</xdr:col>
      <xdr:colOff>454134</xdr:colOff>
      <xdr:row>20</xdr:row>
      <xdr:rowOff>55264</xdr:rowOff>
    </xdr:to>
    <mc:AlternateContent xmlns:mc="http://schemas.openxmlformats.org/markup-compatibility/2006" xmlns:a14="http://schemas.microsoft.com/office/drawing/2010/main">
      <mc:Choice Requires="a14">
        <xdr:graphicFrame macro="">
          <xdr:nvGraphicFramePr>
            <xdr:cNvPr id="8" name="TOWNSHIP_NAME 2"/>
            <xdr:cNvGraphicFramePr/>
          </xdr:nvGraphicFramePr>
          <xdr:xfrm>
            <a:off x="0" y="0"/>
            <a:ext cx="0" cy="0"/>
          </xdr:xfrm>
          <a:graphic>
            <a:graphicData uri="http://schemas.microsoft.com/office/drawing/2010/slicer">
              <sle:slicer xmlns:sle="http://schemas.microsoft.com/office/drawing/2010/slicer" name="TOWNSHIP_NAME 2"/>
            </a:graphicData>
          </a:graphic>
        </xdr:graphicFrame>
      </mc:Choice>
      <mc:Fallback xmlns="">
        <xdr:sp macro="" textlink="">
          <xdr:nvSpPr>
            <xdr:cNvPr id="0" name=""/>
            <xdr:cNvSpPr>
              <a:spLocks noTextEdit="1"/>
            </xdr:cNvSpPr>
          </xdr:nvSpPr>
          <xdr:spPr>
            <a:xfrm>
              <a:off x="8947890" y="2454060"/>
              <a:ext cx="1938387" cy="213691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9" name="Rounded Rectangle 8">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0" name="Rounded Rectangle 9">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1" name="Rounded Rectangle 10">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2" name="Rounded Rectangle 11">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3" name="Rounded Rectangle 12">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22114</xdr:colOff>
      <xdr:row>0</xdr:row>
      <xdr:rowOff>0</xdr:rowOff>
    </xdr:from>
    <xdr:to>
      <xdr:col>1</xdr:col>
      <xdr:colOff>1102114</xdr:colOff>
      <xdr:row>0</xdr:row>
      <xdr:rowOff>360000</xdr:rowOff>
    </xdr:to>
    <xdr:sp macro="" textlink="">
      <xdr:nvSpPr>
        <xdr:cNvPr id="18" name="Rounded Rectangle 17">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9" name="Rounded Rectangle 18">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20" name="Rounded Rectangle 19">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21" name="Rounded Rectangle 20">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22" name="Rounded Rectangle 21">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352425</xdr:colOff>
      <xdr:row>1</xdr:row>
      <xdr:rowOff>157842</xdr:rowOff>
    </xdr:from>
    <xdr:to>
      <xdr:col>6</xdr:col>
      <xdr:colOff>638175</xdr:colOff>
      <xdr:row>5</xdr:row>
      <xdr:rowOff>19050</xdr:rowOff>
    </xdr:to>
    <xdr:grpSp>
      <xdr:nvGrpSpPr>
        <xdr:cNvPr id="2" name="Group 1"/>
        <xdr:cNvGrpSpPr/>
      </xdr:nvGrpSpPr>
      <xdr:grpSpPr>
        <a:xfrm>
          <a:off x="3724275" y="310242"/>
          <a:ext cx="3228975" cy="527958"/>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884464</xdr:colOff>
      <xdr:row>1</xdr:row>
      <xdr:rowOff>79035</xdr:rowOff>
    </xdr:from>
    <xdr:to>
      <xdr:col>5</xdr:col>
      <xdr:colOff>1689553</xdr:colOff>
      <xdr:row>2</xdr:row>
      <xdr:rowOff>214767</xdr:rowOff>
    </xdr:to>
    <xdr:grpSp>
      <xdr:nvGrpSpPr>
        <xdr:cNvPr id="5" name="Group 4"/>
        <xdr:cNvGrpSpPr/>
      </xdr:nvGrpSpPr>
      <xdr:grpSpPr>
        <a:xfrm>
          <a:off x="3345089" y="532606"/>
          <a:ext cx="4524375" cy="407875"/>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446911" y="317500"/>
            <a:ext cx="324070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1107281</xdr:colOff>
      <xdr:row>0</xdr:row>
      <xdr:rowOff>0</xdr:rowOff>
    </xdr:from>
    <xdr:to>
      <xdr:col>2</xdr:col>
      <xdr:colOff>1297781</xdr:colOff>
      <xdr:row>0</xdr:row>
      <xdr:rowOff>360000</xdr:rowOff>
    </xdr:to>
    <xdr:sp macro="" textlink="">
      <xdr:nvSpPr>
        <xdr:cNvPr id="8" name="Rounded Rectangle 7">
          <a:hlinkClick xmlns:r="http://schemas.openxmlformats.org/officeDocument/2006/relationships" r:id="rId3"/>
        </xdr:cNvPr>
        <xdr:cNvSpPr/>
      </xdr:nvSpPr>
      <xdr:spPr>
        <a:xfrm>
          <a:off x="1797844" y="0"/>
          <a:ext cx="130968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583406</xdr:colOff>
      <xdr:row>0</xdr:row>
      <xdr:rowOff>360000</xdr:rowOff>
    </xdr:to>
    <xdr:sp macro="" textlink="">
      <xdr:nvSpPr>
        <xdr:cNvPr id="9" name="Rounded Rectangle 8">
          <a:hlinkClick xmlns:r="http://schemas.openxmlformats.org/officeDocument/2006/relationships" r:id="rId4"/>
        </xdr:cNvPr>
        <xdr:cNvSpPr/>
      </xdr:nvSpPr>
      <xdr:spPr>
        <a:xfrm>
          <a:off x="0" y="0"/>
          <a:ext cx="127396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95250</xdr:colOff>
      <xdr:row>0</xdr:row>
      <xdr:rowOff>0</xdr:rowOff>
    </xdr:from>
    <xdr:to>
      <xdr:col>4</xdr:col>
      <xdr:colOff>635667</xdr:colOff>
      <xdr:row>0</xdr:row>
      <xdr:rowOff>360000</xdr:rowOff>
    </xdr:to>
    <xdr:sp macro="" textlink="">
      <xdr:nvSpPr>
        <xdr:cNvPr id="11" name="Rounded Rectangle 10">
          <a:hlinkClick xmlns:r="http://schemas.openxmlformats.org/officeDocument/2006/relationships" r:id="rId5"/>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5</xdr:col>
      <xdr:colOff>315232</xdr:colOff>
      <xdr:row>0</xdr:row>
      <xdr:rowOff>0</xdr:rowOff>
    </xdr:from>
    <xdr:to>
      <xdr:col>6</xdr:col>
      <xdr:colOff>462643</xdr:colOff>
      <xdr:row>0</xdr:row>
      <xdr:rowOff>360000</xdr:rowOff>
    </xdr:to>
    <xdr:sp macro="" textlink="">
      <xdr:nvSpPr>
        <xdr:cNvPr id="12" name="Rounded Rectangle 11">
          <a:hlinkClick xmlns:r="http://schemas.openxmlformats.org/officeDocument/2006/relationships" r:id="rId6"/>
        </xdr:cNvPr>
        <xdr:cNvSpPr/>
      </xdr:nvSpPr>
      <xdr:spPr>
        <a:xfrm>
          <a:off x="6495143" y="0"/>
          <a:ext cx="184830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110758</xdr:colOff>
      <xdr:row>3</xdr:row>
      <xdr:rowOff>188286</xdr:rowOff>
    </xdr:from>
    <xdr:to>
      <xdr:col>18</xdr:col>
      <xdr:colOff>132908</xdr:colOff>
      <xdr:row>13</xdr:row>
      <xdr:rowOff>33226</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768</xdr:colOff>
      <xdr:row>0</xdr:row>
      <xdr:rowOff>235008</xdr:rowOff>
    </xdr:from>
    <xdr:to>
      <xdr:col>14</xdr:col>
      <xdr:colOff>850202</xdr:colOff>
      <xdr:row>1</xdr:row>
      <xdr:rowOff>319516</xdr:rowOff>
    </xdr:to>
    <xdr:grpSp>
      <xdr:nvGrpSpPr>
        <xdr:cNvPr id="11" name="Group 10"/>
        <xdr:cNvGrpSpPr/>
      </xdr:nvGrpSpPr>
      <xdr:grpSpPr>
        <a:xfrm>
          <a:off x="13845245" y="235008"/>
          <a:ext cx="4194259" cy="538607"/>
          <a:chOff x="5664473" y="282738"/>
          <a:chExt cx="7023145" cy="607777"/>
        </a:xfrm>
      </xdr:grpSpPr>
      <xdr:pic>
        <xdr:nvPicPr>
          <xdr:cNvPr id="12" name="Picture 11"/>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64473" y="282738"/>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1029050</xdr:colOff>
      <xdr:row>0</xdr:row>
      <xdr:rowOff>0</xdr:rowOff>
    </xdr:from>
    <xdr:to>
      <xdr:col>2</xdr:col>
      <xdr:colOff>875199</xdr:colOff>
      <xdr:row>0</xdr:row>
      <xdr:rowOff>360000</xdr:rowOff>
    </xdr:to>
    <xdr:sp macro="" textlink="">
      <xdr:nvSpPr>
        <xdr:cNvPr id="18" name="Rounded Rectangle 17">
          <a:hlinkClick xmlns:r="http://schemas.openxmlformats.org/officeDocument/2006/relationships" r:id="rId4"/>
        </xdr:cNvPr>
        <xdr:cNvSpPr/>
      </xdr:nvSpPr>
      <xdr:spPr>
        <a:xfrm>
          <a:off x="1837567" y="0"/>
          <a:ext cx="169577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155058</xdr:colOff>
      <xdr:row>0</xdr:row>
      <xdr:rowOff>0</xdr:rowOff>
    </xdr:from>
    <xdr:to>
      <xdr:col>1</xdr:col>
      <xdr:colOff>425698</xdr:colOff>
      <xdr:row>0</xdr:row>
      <xdr:rowOff>360000</xdr:rowOff>
    </xdr:to>
    <xdr:sp macro="" textlink="">
      <xdr:nvSpPr>
        <xdr:cNvPr id="19" name="Rounded Rectangle 18">
          <a:hlinkClick xmlns:r="http://schemas.openxmlformats.org/officeDocument/2006/relationships" r:id="rId5"/>
        </xdr:cNvPr>
        <xdr:cNvSpPr/>
      </xdr:nvSpPr>
      <xdr:spPr>
        <a:xfrm>
          <a:off x="155058" y="0"/>
          <a:ext cx="107915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143983</xdr:colOff>
      <xdr:row>0</xdr:row>
      <xdr:rowOff>0</xdr:rowOff>
    </xdr:from>
    <xdr:to>
      <xdr:col>4</xdr:col>
      <xdr:colOff>1174014</xdr:colOff>
      <xdr:row>0</xdr:row>
      <xdr:rowOff>360000</xdr:rowOff>
    </xdr:to>
    <xdr:sp macro="" textlink="">
      <xdr:nvSpPr>
        <xdr:cNvPr id="21" name="Rounded Rectangle 20">
          <a:hlinkClick xmlns:r="http://schemas.openxmlformats.org/officeDocument/2006/relationships" r:id="rId6"/>
        </xdr:cNvPr>
        <xdr:cNvSpPr/>
      </xdr:nvSpPr>
      <xdr:spPr>
        <a:xfrm>
          <a:off x="4253024" y="0"/>
          <a:ext cx="183854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1871773</xdr:colOff>
      <xdr:row>0</xdr:row>
      <xdr:rowOff>0</xdr:rowOff>
    </xdr:from>
    <xdr:to>
      <xdr:col>6</xdr:col>
      <xdr:colOff>356863</xdr:colOff>
      <xdr:row>0</xdr:row>
      <xdr:rowOff>360000</xdr:rowOff>
    </xdr:to>
    <xdr:sp macro="" textlink="">
      <xdr:nvSpPr>
        <xdr:cNvPr id="22" name="Rounded Rectangle 21">
          <a:hlinkClick xmlns:r="http://schemas.openxmlformats.org/officeDocument/2006/relationships" r:id="rId7"/>
        </xdr:cNvPr>
        <xdr:cNvSpPr/>
      </xdr:nvSpPr>
      <xdr:spPr>
        <a:xfrm>
          <a:off x="6789331" y="0"/>
          <a:ext cx="159732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12</xdr:col>
      <xdr:colOff>67559</xdr:colOff>
      <xdr:row>13</xdr:row>
      <xdr:rowOff>129141</xdr:rowOff>
    </xdr:from>
    <xdr:to>
      <xdr:col>17</xdr:col>
      <xdr:colOff>653459</xdr:colOff>
      <xdr:row>24</xdr:row>
      <xdr:rowOff>166135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139553</xdr:colOff>
      <xdr:row>24</xdr:row>
      <xdr:rowOff>84838</xdr:rowOff>
    </xdr:from>
    <xdr:to>
      <xdr:col>9</xdr:col>
      <xdr:colOff>409796</xdr:colOff>
      <xdr:row>39</xdr:row>
      <xdr:rowOff>3765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3314595" y="730424"/>
          <a:ext cx="4595957"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412750</xdr:colOff>
      <xdr:row>3</xdr:row>
      <xdr:rowOff>0</xdr:rowOff>
    </xdr:from>
    <xdr:to>
      <xdr:col>5</xdr:col>
      <xdr:colOff>628195</xdr:colOff>
      <xdr:row>21</xdr:row>
      <xdr:rowOff>15874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307863</xdr:colOff>
      <xdr:row>0</xdr:row>
      <xdr:rowOff>0</xdr:rowOff>
    </xdr:from>
    <xdr:to>
      <xdr:col>2</xdr:col>
      <xdr:colOff>152425</xdr:colOff>
      <xdr:row>0</xdr:row>
      <xdr:rowOff>360000</xdr:rowOff>
    </xdr:to>
    <xdr:sp macro="" textlink="">
      <xdr:nvSpPr>
        <xdr:cNvPr id="16" name="Rounded Rectangle 15">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142219</xdr:colOff>
      <xdr:row>0</xdr:row>
      <xdr:rowOff>360000</xdr:rowOff>
    </xdr:to>
    <xdr:sp macro="" textlink="">
      <xdr:nvSpPr>
        <xdr:cNvPr id="17" name="Rounded Rectangle 16">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303894</xdr:colOff>
      <xdr:row>0</xdr:row>
      <xdr:rowOff>0</xdr:rowOff>
    </xdr:from>
    <xdr:to>
      <xdr:col>4</xdr:col>
      <xdr:colOff>327050</xdr:colOff>
      <xdr:row>0</xdr:row>
      <xdr:rowOff>360000</xdr:rowOff>
    </xdr:to>
    <xdr:sp macro="" textlink="">
      <xdr:nvSpPr>
        <xdr:cNvPr id="18" name="Rounded Rectangle 17">
          <a:hlinkClick xmlns:r="http://schemas.openxmlformats.org/officeDocument/2006/relationships" r:id="rId6"/>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2</xdr:col>
      <xdr:colOff>377031</xdr:colOff>
      <xdr:row>0</xdr:row>
      <xdr:rowOff>0</xdr:rowOff>
    </xdr:from>
    <xdr:to>
      <xdr:col>3</xdr:col>
      <xdr:colOff>138250</xdr:colOff>
      <xdr:row>0</xdr:row>
      <xdr:rowOff>360000</xdr:rowOff>
    </xdr:to>
    <xdr:sp macro="" textlink="">
      <xdr:nvSpPr>
        <xdr:cNvPr id="19" name="Rounded Rectangle 18">
          <a:hlinkClick xmlns:r="http://schemas.openxmlformats.org/officeDocument/2006/relationships" r:id="rId7"/>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585675</xdr:colOff>
      <xdr:row>0</xdr:row>
      <xdr:rowOff>0</xdr:rowOff>
    </xdr:from>
    <xdr:to>
      <xdr:col>4</xdr:col>
      <xdr:colOff>2025675</xdr:colOff>
      <xdr:row>0</xdr:row>
      <xdr:rowOff>360000</xdr:rowOff>
    </xdr:to>
    <xdr:sp macro="" textlink="">
      <xdr:nvSpPr>
        <xdr:cNvPr id="20" name="Rounded Rectangle 19">
          <a:hlinkClick xmlns:r="http://schemas.openxmlformats.org/officeDocument/2006/relationships" r:id="rId8"/>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8.xml><?xml version="1.0" encoding="utf-8"?>
<c:userShapes xmlns:c="http://schemas.openxmlformats.org/drawingml/2006/chart">
  <cdr:absSizeAnchor xmlns:cdr="http://schemas.openxmlformats.org/drawingml/2006/chartDrawing">
    <cdr:from>
      <cdr:x>0.00998</cdr:x>
      <cdr:y>0.03804</cdr:y>
    </cdr:from>
    <cdr:ext cx="5387974" cy="256327"/>
    <cdr:sp macro="" textlink="">
      <cdr:nvSpPr>
        <cdr:cNvPr id="2" name="TextBox 3"/>
        <cdr:cNvSpPr txBox="1">
          <a:spLocks xmlns:a="http://schemas.openxmlformats.org/drawingml/2006/main"/>
        </cdr:cNvSpPr>
      </cdr:nvSpPr>
      <cdr:spPr>
        <a:xfrm xmlns:a="http://schemas.openxmlformats.org/drawingml/2006/main">
          <a:off x="54428" y="127411"/>
          <a:ext cx="5387974" cy="25632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9.xml><?xml version="1.0" encoding="utf-8"?>
<xdr:wsDr xmlns:xdr="http://schemas.openxmlformats.org/drawingml/2006/spreadsheetDrawing" xmlns:a="http://schemas.openxmlformats.org/drawingml/2006/main">
  <xdr:oneCellAnchor>
    <xdr:from>
      <xdr:col>8</xdr:col>
      <xdr:colOff>0</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14</xdr:col>
      <xdr:colOff>325425</xdr:colOff>
      <xdr:row>21</xdr:row>
      <xdr:rowOff>102621</xdr:rowOff>
    </xdr:from>
    <xdr:to>
      <xdr:col>16</xdr:col>
      <xdr:colOff>99206</xdr:colOff>
      <xdr:row>23</xdr:row>
      <xdr:rowOff>150246</xdr:rowOff>
    </xdr:to>
    <xdr:sp macro="" textlink="">
      <xdr:nvSpPr>
        <xdr:cNvPr id="19" name="Oval 18"/>
        <xdr:cNvSpPr/>
      </xdr:nvSpPr>
      <xdr:spPr>
        <a:xfrm>
          <a:off x="15065363" y="4817496"/>
          <a:ext cx="750093" cy="381000"/>
        </a:xfrm>
        <a:prstGeom prst="ellipse">
          <a:avLst/>
        </a:pr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solidFill>
              <a:latin typeface="Arial Black" pitchFamily="34" charset="0"/>
            </a:rPr>
            <a:t>9</a:t>
          </a:r>
        </a:p>
      </xdr:txBody>
    </xdr:sp>
    <xdr:clientData/>
  </xdr:twoCellAnchor>
  <xdr:twoCellAnchor>
    <xdr:from>
      <xdr:col>1</xdr:col>
      <xdr:colOff>71422</xdr:colOff>
      <xdr:row>5</xdr:row>
      <xdr:rowOff>90974</xdr:rowOff>
    </xdr:from>
    <xdr:to>
      <xdr:col>7</xdr:col>
      <xdr:colOff>488157</xdr:colOff>
      <xdr:row>12</xdr:row>
      <xdr:rowOff>190499</xdr:rowOff>
    </xdr:to>
    <xdr:grpSp>
      <xdr:nvGrpSpPr>
        <xdr:cNvPr id="2" name="Group 1"/>
        <xdr:cNvGrpSpPr/>
      </xdr:nvGrpSpPr>
      <xdr:grpSpPr>
        <a:xfrm>
          <a:off x="250016" y="1638787"/>
          <a:ext cx="6048391" cy="1980712"/>
          <a:chOff x="6847115" y="1720128"/>
          <a:chExt cx="4201318" cy="1534291"/>
        </a:xfrm>
      </xdr:grpSpPr>
      <xdr:grpSp>
        <xdr:nvGrpSpPr>
          <xdr:cNvPr id="3" name="Group 2"/>
          <xdr:cNvGrpSpPr/>
        </xdr:nvGrpSpPr>
        <xdr:grpSpPr>
          <a:xfrm>
            <a:off x="6847116" y="2287731"/>
            <a:ext cx="4201317" cy="368003"/>
            <a:chOff x="3966433" y="11279709"/>
            <a:chExt cx="1465089" cy="120781"/>
          </a:xfrm>
          <a:effectLst>
            <a:outerShdw blurRad="63500" sx="102000" sy="102000" algn="ctr" rotWithShape="0">
              <a:prstClr val="black">
                <a:alpha val="40000"/>
              </a:prstClr>
            </a:outerShdw>
          </a:effectLst>
        </xdr:grpSpPr>
        <xdr:sp macro="" textlink="">
          <xdr:nvSpPr>
            <xdr:cNvPr id="4" name="Rectangle 3"/>
            <xdr:cNvSpPr/>
          </xdr:nvSpPr>
          <xdr:spPr>
            <a:xfrm>
              <a:off x="3971682" y="11286876"/>
              <a:ext cx="686922" cy="113614"/>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66433" y="11293339"/>
              <a:ext cx="680634" cy="1017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1">
                  <a:solidFill>
                    <a:schemeClr val="dk1"/>
                  </a:solidFill>
                  <a:effectLst/>
                  <a:latin typeface="+mn-lt"/>
                  <a:ea typeface="+mn-ea"/>
                  <a:cs typeface="+mn-cs"/>
                </a:rPr>
                <a:t>Estimated</a:t>
              </a:r>
              <a:r>
                <a:rPr lang="en-GB" sz="1200" b="1" baseline="0">
                  <a:solidFill>
                    <a:schemeClr val="dk1"/>
                  </a:solidFill>
                  <a:effectLst/>
                  <a:latin typeface="+mn-lt"/>
                  <a:ea typeface="+mn-ea"/>
                  <a:cs typeface="+mn-cs"/>
                </a:rPr>
                <a:t> number  of </a:t>
              </a:r>
              <a:r>
                <a:rPr lang="en-GB" sz="1200" b="1">
                  <a:solidFill>
                    <a:schemeClr val="dk1"/>
                  </a:solidFill>
                  <a:effectLst/>
                  <a:latin typeface="+mn-lt"/>
                  <a:ea typeface="+mn-ea"/>
                  <a:cs typeface="+mn-cs"/>
                </a:rPr>
                <a:t>IDPs</a:t>
              </a:r>
              <a:r>
                <a:rPr lang="en-GB" sz="1200" b="1" baseline="0">
                  <a:solidFill>
                    <a:schemeClr val="dk1"/>
                  </a:solidFill>
                  <a:effectLst/>
                  <a:latin typeface="+mn-lt"/>
                  <a:ea typeface="+mn-ea"/>
                  <a:cs typeface="+mn-cs"/>
                </a:rPr>
                <a:t> </a:t>
              </a:r>
              <a:endParaRPr lang="en-GB" sz="1200" b="1">
                <a:effectLst/>
                <a:latin typeface="+mn-lt"/>
              </a:endParaRPr>
            </a:p>
          </xdr:txBody>
        </xdr:sp>
        <xdr:sp macro="" textlink="$K$14">
          <xdr:nvSpPr>
            <xdr:cNvPr id="6" name="Rectangle 5"/>
            <xdr:cNvSpPr/>
          </xdr:nvSpPr>
          <xdr:spPr>
            <a:xfrm>
              <a:off x="4707632" y="11279709"/>
              <a:ext cx="723890" cy="105360"/>
            </a:xfrm>
            <a:prstGeom prst="rect">
              <a:avLst/>
            </a:prstGeom>
            <a:solidFill>
              <a:schemeClr val="bg1">
                <a:lumMod val="50000"/>
              </a:schemeClr>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D028916F-8721-41C8-BE7B-3BC3E0072BAB}" type="TxLink">
                <a:rPr lang="en-US" sz="1800" b="1">
                  <a:latin typeface="+mn-lt"/>
                </a:rPr>
                <a:pPr algn="ctr"/>
                <a:t> 127,574 </a:t>
              </a:fld>
              <a:endParaRPr lang="en-US" sz="1800" b="1">
                <a:latin typeface="+mn-lt"/>
              </a:endParaRPr>
            </a:p>
          </xdr:txBody>
        </xdr:sp>
      </xdr:grpSp>
      <xdr:grpSp>
        <xdr:nvGrpSpPr>
          <xdr:cNvPr id="11" name="Group 10"/>
          <xdr:cNvGrpSpPr/>
        </xdr:nvGrpSpPr>
        <xdr:grpSpPr>
          <a:xfrm>
            <a:off x="6847115" y="1720128"/>
            <a:ext cx="4193046" cy="382298"/>
            <a:chOff x="3984729" y="11293717"/>
            <a:chExt cx="1458098" cy="131347"/>
          </a:xfrm>
          <a:effectLst>
            <a:outerShdw blurRad="63500" sx="102000" sy="102000" algn="ctr" rotWithShape="0">
              <a:prstClr val="black">
                <a:alpha val="40000"/>
              </a:prstClr>
            </a:outerShdw>
          </a:effectLst>
        </xdr:grpSpPr>
        <xdr:sp macro="" textlink="$L$14">
          <xdr:nvSpPr>
            <xdr:cNvPr id="12" name="Rectangle 11"/>
            <xdr:cNvSpPr/>
          </xdr:nvSpPr>
          <xdr:spPr>
            <a:xfrm>
              <a:off x="4717525" y="11294420"/>
              <a:ext cx="725302" cy="109636"/>
            </a:xfrm>
            <a:prstGeom prst="rect">
              <a:avLst/>
            </a:prstGeom>
            <a:solidFill>
              <a:schemeClr val="bg1">
                <a:lumMod val="50000"/>
              </a:schemeClr>
            </a:solidFill>
            <a:ln w="6350">
              <a:noFill/>
            </a:ln>
            <a:effectLst>
              <a:outerShdw blurRad="50800" dist="50800" dir="5400000" algn="ctr" rotWithShape="0">
                <a:schemeClr val="bg1"/>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FAAFB2F6-2583-4C41-B14A-BA815F573CBB}" type="TxLink">
                <a:rPr lang="en-US" sz="1800" b="1">
                  <a:latin typeface="+mn-lt"/>
                </a:rPr>
                <a:pPr algn="ctr"/>
                <a:t> 23 </a:t>
              </a:fld>
              <a:endParaRPr lang="en-US" sz="1800" b="1">
                <a:latin typeface="+mn-lt"/>
              </a:endParaRPr>
            </a:p>
          </xdr:txBody>
        </xdr:sp>
        <xdr:sp macro="" textlink="">
          <xdr:nvSpPr>
            <xdr:cNvPr id="13" name="Rectangle 12"/>
            <xdr:cNvSpPr/>
          </xdr:nvSpPr>
          <xdr:spPr>
            <a:xfrm>
              <a:off x="3988722" y="11296876"/>
              <a:ext cx="689109" cy="115340"/>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4" name="TextBox 13"/>
            <xdr:cNvSpPr txBox="1"/>
          </xdr:nvSpPr>
          <xdr:spPr>
            <a:xfrm>
              <a:off x="3984729" y="11293717"/>
              <a:ext cx="690227" cy="131347"/>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1">
                  <a:solidFill>
                    <a:schemeClr val="dk1"/>
                  </a:solidFill>
                  <a:effectLst/>
                  <a:latin typeface="+mn-lt"/>
                  <a:ea typeface="+mn-ea"/>
                  <a:cs typeface="+mn-cs"/>
                </a:rPr>
                <a:t>Number of  IDP Locations</a:t>
              </a:r>
              <a:endParaRPr lang="en-GB" sz="1200" b="1">
                <a:effectLst/>
                <a:latin typeface="+mn-lt"/>
              </a:endParaRPr>
            </a:p>
          </xdr:txBody>
        </xdr:sp>
      </xdr:grpSp>
      <xdr:grpSp>
        <xdr:nvGrpSpPr>
          <xdr:cNvPr id="28" name="Group 27"/>
          <xdr:cNvGrpSpPr/>
        </xdr:nvGrpSpPr>
        <xdr:grpSpPr>
          <a:xfrm>
            <a:off x="6862917" y="2873442"/>
            <a:ext cx="4177242" cy="380977"/>
            <a:chOff x="3980769" y="11264753"/>
            <a:chExt cx="1459629" cy="141715"/>
          </a:xfrm>
          <a:effectLst>
            <a:outerShdw blurRad="63500" sx="102000" sy="102000" algn="ctr" rotWithShape="0">
              <a:prstClr val="black">
                <a:alpha val="40000"/>
              </a:prstClr>
            </a:outerShdw>
          </a:effectLst>
        </xdr:grpSpPr>
        <xdr:sp macro="" textlink="">
          <xdr:nvSpPr>
            <xdr:cNvPr id="29" name="Rectangle 28"/>
            <xdr:cNvSpPr/>
          </xdr:nvSpPr>
          <xdr:spPr>
            <a:xfrm>
              <a:off x="3984453" y="11274370"/>
              <a:ext cx="681470" cy="126315"/>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30" name="TextBox 29"/>
            <xdr:cNvSpPr txBox="1"/>
          </xdr:nvSpPr>
          <xdr:spPr>
            <a:xfrm>
              <a:off x="3980769" y="11264753"/>
              <a:ext cx="725696" cy="141715"/>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Ins="36000" rtlCol="0" anchor="t"/>
            <a:lstStyle/>
            <a:p>
              <a:r>
                <a:rPr lang="en-GB" sz="1100" b="1">
                  <a:solidFill>
                    <a:srgbClr val="FF0000"/>
                  </a:solidFill>
                  <a:effectLst/>
                  <a:latin typeface="+mn-lt"/>
                  <a:ea typeface="+mn-ea"/>
                  <a:cs typeface="+mn-cs"/>
                </a:rPr>
                <a:t>Estimated number of IDPs not covered</a:t>
              </a:r>
              <a:r>
                <a:rPr lang="en-GB" sz="1100" b="1" baseline="0">
                  <a:solidFill>
                    <a:srgbClr val="FF0000"/>
                  </a:solidFill>
                  <a:effectLst/>
                  <a:latin typeface="+mn-lt"/>
                  <a:ea typeface="+mn-ea"/>
                  <a:cs typeface="+mn-cs"/>
                </a:rPr>
                <a:t> </a:t>
              </a:r>
              <a:r>
                <a:rPr lang="en-GB" sz="1100" b="1">
                  <a:solidFill>
                    <a:srgbClr val="FF0000"/>
                  </a:solidFill>
                  <a:effectLst/>
                  <a:latin typeface="+mn-lt"/>
                  <a:ea typeface="+mn-ea"/>
                  <a:cs typeface="+mn-cs"/>
                </a:rPr>
                <a:t>by the Shelter Cluster</a:t>
              </a:r>
              <a:endParaRPr lang="en-GB" sz="1100" b="1">
                <a:solidFill>
                  <a:srgbClr val="FF0000"/>
                </a:solidFill>
                <a:effectLst/>
                <a:latin typeface="+mn-lt"/>
              </a:endParaRPr>
            </a:p>
          </xdr:txBody>
        </xdr:sp>
        <xdr:sp macro="" textlink="$N$14">
          <xdr:nvSpPr>
            <xdr:cNvPr id="31" name="Rectangle 30"/>
            <xdr:cNvSpPr/>
          </xdr:nvSpPr>
          <xdr:spPr>
            <a:xfrm>
              <a:off x="4708013" y="11274115"/>
              <a:ext cx="732385" cy="114854"/>
            </a:xfrm>
            <a:prstGeom prst="rect">
              <a:avLst/>
            </a:prstGeom>
            <a:solidFill>
              <a:srgbClr val="FF000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E572AD3-44BD-4FFE-9CE2-262068B45CBE}" type="TxLink">
                <a:rPr lang="en-US" sz="1800" b="1">
                  <a:latin typeface="+mn-lt"/>
                </a:rPr>
                <a:pPr algn="ctr"/>
                <a:t> 22,483 </a:t>
              </a:fld>
              <a:endParaRPr lang="en-US" sz="1800" b="1">
                <a:latin typeface="+mn-lt"/>
              </a:endParaRPr>
            </a:p>
          </xdr:txBody>
        </xdr:sp>
      </xdr:grpSp>
    </xdr:grpSp>
    <xdr:clientData/>
  </xdr:twoCellAnchor>
  <xdr:twoCellAnchor>
    <xdr:from>
      <xdr:col>1</xdr:col>
      <xdr:colOff>71437</xdr:colOff>
      <xdr:row>16</xdr:row>
      <xdr:rowOff>250031</xdr:rowOff>
    </xdr:from>
    <xdr:to>
      <xdr:col>5</xdr:col>
      <xdr:colOff>250031</xdr:colOff>
      <xdr:row>34</xdr:row>
      <xdr:rowOff>47624</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292553</xdr:colOff>
      <xdr:row>1</xdr:row>
      <xdr:rowOff>309313</xdr:rowOff>
    </xdr:from>
    <xdr:to>
      <xdr:col>14</xdr:col>
      <xdr:colOff>797718</xdr:colOff>
      <xdr:row>3</xdr:row>
      <xdr:rowOff>190500</xdr:rowOff>
    </xdr:to>
    <xdr:grpSp>
      <xdr:nvGrpSpPr>
        <xdr:cNvPr id="35" name="Group 34"/>
        <xdr:cNvGrpSpPr/>
      </xdr:nvGrpSpPr>
      <xdr:grpSpPr>
        <a:xfrm>
          <a:off x="6971959" y="761751"/>
          <a:ext cx="6958353" cy="524124"/>
          <a:chOff x="6106696" y="239409"/>
          <a:chExt cx="6580922" cy="684664"/>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06696" y="239409"/>
            <a:ext cx="2369344" cy="68466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242258</xdr:colOff>
      <xdr:row>35</xdr:row>
      <xdr:rowOff>62361</xdr:rowOff>
    </xdr:from>
    <xdr:to>
      <xdr:col>8</xdr:col>
      <xdr:colOff>202404</xdr:colOff>
      <xdr:row>37</xdr:row>
      <xdr:rowOff>166688</xdr:rowOff>
    </xdr:to>
    <xdr:sp macro="" textlink="">
      <xdr:nvSpPr>
        <xdr:cNvPr id="48" name="TextBox 47"/>
        <xdr:cNvSpPr txBox="1"/>
      </xdr:nvSpPr>
      <xdr:spPr>
        <a:xfrm>
          <a:off x="420852" y="8742017"/>
          <a:ext cx="6460958" cy="48532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clientData/>
  </xdr:twoCellAnchor>
  <xdr:twoCellAnchor>
    <xdr:from>
      <xdr:col>5</xdr:col>
      <xdr:colOff>261937</xdr:colOff>
      <xdr:row>0</xdr:row>
      <xdr:rowOff>0</xdr:rowOff>
    </xdr:from>
    <xdr:to>
      <xdr:col>6</xdr:col>
      <xdr:colOff>1104925</xdr:colOff>
      <xdr:row>0</xdr:row>
      <xdr:rowOff>360000</xdr:rowOff>
    </xdr:to>
    <xdr:sp macro="" textlink="">
      <xdr:nvSpPr>
        <xdr:cNvPr id="39" name="Rounded Rectangle 38">
          <a:hlinkClick xmlns:r="http://schemas.openxmlformats.org/officeDocument/2006/relationships" r:id="rId4"/>
        </xdr:cNvPr>
        <xdr:cNvSpPr/>
      </xdr:nvSpPr>
      <xdr:spPr>
        <a:xfrm>
          <a:off x="3238500" y="0"/>
          <a:ext cx="21050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1</xdr:col>
      <xdr:colOff>273843</xdr:colOff>
      <xdr:row>0</xdr:row>
      <xdr:rowOff>0</xdr:rowOff>
    </xdr:from>
    <xdr:to>
      <xdr:col>3</xdr:col>
      <xdr:colOff>595313</xdr:colOff>
      <xdr:row>0</xdr:row>
      <xdr:rowOff>360000</xdr:rowOff>
    </xdr:to>
    <xdr:sp macro="" textlink="">
      <xdr:nvSpPr>
        <xdr:cNvPr id="42" name="Rounded Rectangle 41">
          <a:hlinkClick xmlns:r="http://schemas.openxmlformats.org/officeDocument/2006/relationships" r:id="rId5"/>
        </xdr:cNvPr>
        <xdr:cNvSpPr/>
      </xdr:nvSpPr>
      <xdr:spPr>
        <a:xfrm>
          <a:off x="273843" y="0"/>
          <a:ext cx="185737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460375</xdr:colOff>
      <xdr:row>0</xdr:row>
      <xdr:rowOff>0</xdr:rowOff>
    </xdr:from>
    <xdr:to>
      <xdr:col>9</xdr:col>
      <xdr:colOff>250030</xdr:colOff>
      <xdr:row>0</xdr:row>
      <xdr:rowOff>360000</xdr:rowOff>
    </xdr:to>
    <xdr:sp macro="" textlink="">
      <xdr:nvSpPr>
        <xdr:cNvPr id="52" name="Rounded Rectangle 51">
          <a:hlinkClick xmlns:r="http://schemas.openxmlformats.org/officeDocument/2006/relationships" r:id="rId6"/>
        </xdr:cNvPr>
        <xdr:cNvSpPr/>
      </xdr:nvSpPr>
      <xdr:spPr>
        <a:xfrm>
          <a:off x="6092031" y="0"/>
          <a:ext cx="177799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10</xdr:col>
      <xdr:colOff>226218</xdr:colOff>
      <xdr:row>0</xdr:row>
      <xdr:rowOff>0</xdr:rowOff>
    </xdr:from>
    <xdr:to>
      <xdr:col>12</xdr:col>
      <xdr:colOff>95250</xdr:colOff>
      <xdr:row>0</xdr:row>
      <xdr:rowOff>360000</xdr:rowOff>
    </xdr:to>
    <xdr:sp macro="" textlink="">
      <xdr:nvSpPr>
        <xdr:cNvPr id="53" name="Rounded Rectangle 52">
          <a:hlinkClick xmlns:r="http://schemas.openxmlformats.org/officeDocument/2006/relationships" r:id="rId7"/>
        </xdr:cNvPr>
        <xdr:cNvSpPr/>
      </xdr:nvSpPr>
      <xdr:spPr>
        <a:xfrm>
          <a:off x="8870156" y="0"/>
          <a:ext cx="189309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8</xdr:col>
      <xdr:colOff>333374</xdr:colOff>
      <xdr:row>16</xdr:row>
      <xdr:rowOff>-1</xdr:rowOff>
    </xdr:from>
    <xdr:to>
      <xdr:col>14</xdr:col>
      <xdr:colOff>845343</xdr:colOff>
      <xdr:row>34</xdr:row>
      <xdr:rowOff>881062</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369094</xdr:colOff>
      <xdr:row>16</xdr:row>
      <xdr:rowOff>119064</xdr:rowOff>
    </xdr:from>
    <xdr:to>
      <xdr:col>8</xdr:col>
      <xdr:colOff>452438</xdr:colOff>
      <xdr:row>34</xdr:row>
      <xdr:rowOff>595315</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173831</xdr:colOff>
      <xdr:row>34</xdr:row>
      <xdr:rowOff>904875</xdr:rowOff>
    </xdr:from>
    <xdr:to>
      <xdr:col>16</xdr:col>
      <xdr:colOff>0</xdr:colOff>
      <xdr:row>34</xdr:row>
      <xdr:rowOff>904875</xdr:rowOff>
    </xdr:to>
    <xdr:cxnSp macro="">
      <xdr:nvCxnSpPr>
        <xdr:cNvPr id="9" name="Straight Connector 8"/>
        <xdr:cNvCxnSpPr/>
      </xdr:nvCxnSpPr>
      <xdr:spPr>
        <a:xfrm>
          <a:off x="173831" y="8632031"/>
          <a:ext cx="1406604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107156</xdr:colOff>
      <xdr:row>35</xdr:row>
      <xdr:rowOff>59531</xdr:rowOff>
    </xdr:from>
    <xdr:to>
      <xdr:col>15</xdr:col>
      <xdr:colOff>48524</xdr:colOff>
      <xdr:row>37</xdr:row>
      <xdr:rowOff>67530</xdr:rowOff>
    </xdr:to>
    <xdr:sp macro="" textlink="">
      <xdr:nvSpPr>
        <xdr:cNvPr id="32" name="TextBox 31"/>
        <xdr:cNvSpPr txBox="1">
          <a:spLocks/>
        </xdr:cNvSpPr>
      </xdr:nvSpPr>
      <xdr:spPr>
        <a:xfrm>
          <a:off x="5917406" y="8739187"/>
          <a:ext cx="829955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contact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1601932</xdr:colOff>
      <xdr:row>1</xdr:row>
      <xdr:rowOff>246529</xdr:rowOff>
    </xdr:from>
    <xdr:to>
      <xdr:col>9</xdr:col>
      <xdr:colOff>97413</xdr:colOff>
      <xdr:row>2</xdr:row>
      <xdr:rowOff>100011</xdr:rowOff>
    </xdr:to>
    <xdr:pic>
      <xdr:nvPicPr>
        <xdr:cNvPr id="10" name="Picture 9"/>
        <xdr:cNvPicPr>
          <a:picLocks noChangeAspect="1"/>
        </xdr:cNvPicPr>
      </xdr:nvPicPr>
      <xdr:blipFill>
        <a:blip xmlns:r="http://schemas.openxmlformats.org/officeDocument/2006/relationships" r:embed="rId1"/>
        <a:stretch>
          <a:fillRect/>
        </a:stretch>
      </xdr:blipFill>
      <xdr:spPr>
        <a:xfrm>
          <a:off x="9243580" y="668660"/>
          <a:ext cx="1915822" cy="308084"/>
        </a:xfrm>
        <a:prstGeom prst="rect">
          <a:avLst/>
        </a:prstGeom>
      </xdr:spPr>
    </xdr:pic>
    <xdr:clientData/>
  </xdr:twoCellAnchor>
  <xdr:twoCellAnchor>
    <xdr:from>
      <xdr:col>3</xdr:col>
      <xdr:colOff>33555</xdr:colOff>
      <xdr:row>0</xdr:row>
      <xdr:rowOff>0</xdr:rowOff>
    </xdr:from>
    <xdr:to>
      <xdr:col>4</xdr:col>
      <xdr:colOff>612999</xdr:colOff>
      <xdr:row>0</xdr:row>
      <xdr:rowOff>360000</xdr:rowOff>
    </xdr:to>
    <xdr:sp macro="" textlink="">
      <xdr:nvSpPr>
        <xdr:cNvPr id="28" name="Rounded Rectangle 27">
          <a:hlinkClick xmlns:r="http://schemas.openxmlformats.org/officeDocument/2006/relationships" r:id="rId2"/>
        </xdr:cNvPr>
        <xdr:cNvSpPr/>
      </xdr:nvSpPr>
      <xdr:spPr>
        <a:xfrm>
          <a:off x="2988470" y="0"/>
          <a:ext cx="157523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1</xdr:colOff>
      <xdr:row>0</xdr:row>
      <xdr:rowOff>0</xdr:rowOff>
    </xdr:from>
    <xdr:to>
      <xdr:col>1</xdr:col>
      <xdr:colOff>649433</xdr:colOff>
      <xdr:row>0</xdr:row>
      <xdr:rowOff>360000</xdr:rowOff>
    </xdr:to>
    <xdr:sp macro="" textlink="">
      <xdr:nvSpPr>
        <xdr:cNvPr id="29" name="Rounded Rectangle 28">
          <a:hlinkClick xmlns:r="http://schemas.openxmlformats.org/officeDocument/2006/relationships" r:id="rId3"/>
        </xdr:cNvPr>
        <xdr:cNvSpPr/>
      </xdr:nvSpPr>
      <xdr:spPr>
        <a:xfrm>
          <a:off x="1" y="0"/>
          <a:ext cx="177511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6</xdr:col>
      <xdr:colOff>616961</xdr:colOff>
      <xdr:row>0</xdr:row>
      <xdr:rowOff>0</xdr:rowOff>
    </xdr:from>
    <xdr:to>
      <xdr:col>7</xdr:col>
      <xdr:colOff>550273</xdr:colOff>
      <xdr:row>0</xdr:row>
      <xdr:rowOff>360000</xdr:rowOff>
    </xdr:to>
    <xdr:sp macro="" textlink="">
      <xdr:nvSpPr>
        <xdr:cNvPr id="30" name="Rounded Rectangle 29">
          <a:hlinkClick xmlns:r="http://schemas.openxmlformats.org/officeDocument/2006/relationships" r:id="rId4"/>
        </xdr:cNvPr>
        <xdr:cNvSpPr/>
      </xdr:nvSpPr>
      <xdr:spPr>
        <a:xfrm>
          <a:off x="7187046" y="0"/>
          <a:ext cx="10806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146122</xdr:colOff>
      <xdr:row>0</xdr:row>
      <xdr:rowOff>0</xdr:rowOff>
    </xdr:from>
    <xdr:to>
      <xdr:col>5</xdr:col>
      <xdr:colOff>1168978</xdr:colOff>
      <xdr:row>0</xdr:row>
      <xdr:rowOff>360000</xdr:rowOff>
    </xdr:to>
    <xdr:sp macro="" textlink="">
      <xdr:nvSpPr>
        <xdr:cNvPr id="31" name="Rounded Rectangle 30">
          <a:hlinkClick xmlns:r="http://schemas.openxmlformats.org/officeDocument/2006/relationships" r:id="rId5"/>
        </xdr:cNvPr>
        <xdr:cNvSpPr/>
      </xdr:nvSpPr>
      <xdr:spPr>
        <a:xfrm>
          <a:off x="5363224" y="0"/>
          <a:ext cx="102285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1578118</xdr:colOff>
      <xdr:row>0</xdr:row>
      <xdr:rowOff>1082</xdr:rowOff>
    </xdr:from>
    <xdr:to>
      <xdr:col>8</xdr:col>
      <xdr:colOff>768494</xdr:colOff>
      <xdr:row>0</xdr:row>
      <xdr:rowOff>361082</xdr:rowOff>
    </xdr:to>
    <xdr:sp macro="" textlink="">
      <xdr:nvSpPr>
        <xdr:cNvPr id="32" name="Rounded Rectangle 31">
          <a:hlinkClick xmlns:r="http://schemas.openxmlformats.org/officeDocument/2006/relationships" r:id="rId6"/>
        </xdr:cNvPr>
        <xdr:cNvSpPr/>
      </xdr:nvSpPr>
      <xdr:spPr>
        <a:xfrm>
          <a:off x="9219766" y="1082"/>
          <a:ext cx="12577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6</xdr:col>
      <xdr:colOff>292245</xdr:colOff>
      <xdr:row>1</xdr:row>
      <xdr:rowOff>75767</xdr:rowOff>
    </xdr:from>
    <xdr:to>
      <xdr:col>7</xdr:col>
      <xdr:colOff>692727</xdr:colOff>
      <xdr:row>2</xdr:row>
      <xdr:rowOff>223592</xdr:rowOff>
    </xdr:to>
    <xdr:pic>
      <xdr:nvPicPr>
        <xdr:cNvPr id="12" name="Picture 11" descr="CCCM sdc-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11279" y="497898"/>
          <a:ext cx="1547812" cy="602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absSizeAnchor xmlns:cdr="http://schemas.openxmlformats.org/drawingml/2006/chartDrawing">
    <cdr:from>
      <cdr:x>0</cdr:x>
      <cdr:y>0</cdr:y>
    </cdr:from>
    <cdr:ext cx="2155031" cy="261937"/>
    <cdr:sp macro="" textlink="">
      <cdr:nvSpPr>
        <cdr:cNvPr id="4" name="TextBox 3"/>
        <cdr:cNvSpPr txBox="1">
          <a:spLocks xmlns:a="http://schemas.openxmlformats.org/drawingml/2006/main"/>
        </cdr:cNvSpPr>
      </cdr:nvSpPr>
      <cdr:spPr>
        <a:xfrm xmlns:a="http://schemas.openxmlformats.org/drawingml/2006/main">
          <a:off x="0" y="0"/>
          <a:ext cx="2155031" cy="261937"/>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100" b="1" baseline="0">
              <a:latin typeface="Calibri (Body)"/>
            </a:rPr>
            <a:t>Overall</a:t>
          </a:r>
          <a:r>
            <a:rPr lang="en-GB" sz="1100" b="1" baseline="0">
              <a:latin typeface="Franklin Gothic Medium Cond" pitchFamily="34" charset="0"/>
            </a:rPr>
            <a:t> </a:t>
          </a:r>
          <a:r>
            <a:rPr lang="en-GB" sz="1100" b="1" baseline="0">
              <a:latin typeface="Calibri (Body)"/>
            </a:rPr>
            <a:t>Shelter Situation</a:t>
          </a:r>
          <a:endParaRPr lang="en-GB" sz="1100" b="1">
            <a:latin typeface="Calibri (Body)"/>
          </a:endParaRPr>
        </a:p>
      </cdr:txBody>
    </cdr:sp>
  </cdr:absSizeAnchor>
</c:userShapes>
</file>

<file path=xl/drawings/drawing21.xml><?xml version="1.0" encoding="utf-8"?>
<xdr:wsDr xmlns:xdr="http://schemas.openxmlformats.org/drawingml/2006/spreadsheetDrawing" xmlns:a="http://schemas.openxmlformats.org/drawingml/2006/main">
  <xdr:twoCellAnchor>
    <xdr:from>
      <xdr:col>2</xdr:col>
      <xdr:colOff>941293</xdr:colOff>
      <xdr:row>1</xdr:row>
      <xdr:rowOff>128773</xdr:rowOff>
    </xdr:from>
    <xdr:to>
      <xdr:col>10</xdr:col>
      <xdr:colOff>67236</xdr:colOff>
      <xdr:row>3</xdr:row>
      <xdr:rowOff>1867</xdr:rowOff>
    </xdr:to>
    <xdr:grpSp>
      <xdr:nvGrpSpPr>
        <xdr:cNvPr id="10" name="Group 9"/>
        <xdr:cNvGrpSpPr/>
      </xdr:nvGrpSpPr>
      <xdr:grpSpPr>
        <a:xfrm>
          <a:off x="2599764" y="588214"/>
          <a:ext cx="6958854" cy="511829"/>
          <a:chOff x="5835677" y="381792"/>
          <a:chExt cx="6081231" cy="560240"/>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2" y="486155"/>
            <a:ext cx="3030876" cy="404359"/>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35677" y="381792"/>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280147</xdr:colOff>
      <xdr:row>0</xdr:row>
      <xdr:rowOff>22412</xdr:rowOff>
    </xdr:from>
    <xdr:to>
      <xdr:col>3</xdr:col>
      <xdr:colOff>896471</xdr:colOff>
      <xdr:row>0</xdr:row>
      <xdr:rowOff>382412</xdr:rowOff>
    </xdr:to>
    <xdr:sp macro="" textlink="">
      <xdr:nvSpPr>
        <xdr:cNvPr id="9" name="Rounded Rectangle 8">
          <a:hlinkClick xmlns:r="http://schemas.openxmlformats.org/officeDocument/2006/relationships" r:id="rId3"/>
        </xdr:cNvPr>
        <xdr:cNvSpPr/>
      </xdr:nvSpPr>
      <xdr:spPr>
        <a:xfrm>
          <a:off x="2229971" y="22412"/>
          <a:ext cx="162485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526677</xdr:colOff>
      <xdr:row>0</xdr:row>
      <xdr:rowOff>360000</xdr:rowOff>
    </xdr:to>
    <xdr:sp macro="" textlink="">
      <xdr:nvSpPr>
        <xdr:cNvPr id="12" name="Rounded Rectangle 11">
          <a:hlinkClick xmlns:r="http://schemas.openxmlformats.org/officeDocument/2006/relationships" r:id="rId4"/>
        </xdr:cNvPr>
        <xdr:cNvSpPr/>
      </xdr:nvSpPr>
      <xdr:spPr>
        <a:xfrm>
          <a:off x="0" y="0"/>
          <a:ext cx="146797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83576</xdr:colOff>
      <xdr:row>0</xdr:row>
      <xdr:rowOff>44824</xdr:rowOff>
    </xdr:from>
    <xdr:to>
      <xdr:col>6</xdr:col>
      <xdr:colOff>795618</xdr:colOff>
      <xdr:row>0</xdr:row>
      <xdr:rowOff>404824</xdr:rowOff>
    </xdr:to>
    <xdr:sp macro="" textlink="">
      <xdr:nvSpPr>
        <xdr:cNvPr id="15" name="Rounded Rectangle 14">
          <a:hlinkClick xmlns:r="http://schemas.openxmlformats.org/officeDocument/2006/relationships" r:id="rId5"/>
        </xdr:cNvPr>
        <xdr:cNvSpPr/>
      </xdr:nvSpPr>
      <xdr:spPr>
        <a:xfrm>
          <a:off x="4846076" y="44824"/>
          <a:ext cx="16645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Progress</a:t>
          </a:r>
        </a:p>
      </xdr:txBody>
    </xdr:sp>
    <xdr:clientData/>
  </xdr:twoCellAnchor>
  <xdr:twoCellAnchor>
    <xdr:from>
      <xdr:col>7</xdr:col>
      <xdr:colOff>687930</xdr:colOff>
      <xdr:row>0</xdr:row>
      <xdr:rowOff>56029</xdr:rowOff>
    </xdr:from>
    <xdr:to>
      <xdr:col>9</xdr:col>
      <xdr:colOff>784412</xdr:colOff>
      <xdr:row>0</xdr:row>
      <xdr:rowOff>416029</xdr:rowOff>
    </xdr:to>
    <xdr:sp macro="" textlink="">
      <xdr:nvSpPr>
        <xdr:cNvPr id="16" name="Rounded Rectangle 15">
          <a:hlinkClick xmlns:r="http://schemas.openxmlformats.org/officeDocument/2006/relationships" r:id="rId6"/>
        </xdr:cNvPr>
        <xdr:cNvSpPr/>
      </xdr:nvSpPr>
      <xdr:spPr>
        <a:xfrm>
          <a:off x="7456283" y="56029"/>
          <a:ext cx="181098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11</xdr:col>
      <xdr:colOff>0</xdr:colOff>
      <xdr:row>1</xdr:row>
      <xdr:rowOff>239474</xdr:rowOff>
    </xdr:from>
    <xdr:to>
      <xdr:col>28</xdr:col>
      <xdr:colOff>50800</xdr:colOff>
      <xdr:row>1</xdr:row>
      <xdr:rowOff>873124</xdr:rowOff>
    </xdr:to>
    <xdr:grpSp>
      <xdr:nvGrpSpPr>
        <xdr:cNvPr id="10" name="Group 9"/>
        <xdr:cNvGrpSpPr/>
      </xdr:nvGrpSpPr>
      <xdr:grpSpPr>
        <a:xfrm>
          <a:off x="5588000" y="696674"/>
          <a:ext cx="8610600" cy="633650"/>
          <a:chOff x="6500812" y="332729"/>
          <a:chExt cx="6186806" cy="560240"/>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9430171" y="469087"/>
            <a:ext cx="3257447" cy="421428"/>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481694</xdr:colOff>
      <xdr:row>0</xdr:row>
      <xdr:rowOff>25400</xdr:rowOff>
    </xdr:from>
    <xdr:to>
      <xdr:col>4</xdr:col>
      <xdr:colOff>175444</xdr:colOff>
      <xdr:row>0</xdr:row>
      <xdr:rowOff>385400</xdr:rowOff>
    </xdr:to>
    <xdr:sp macro="" textlink="">
      <xdr:nvSpPr>
        <xdr:cNvPr id="13" name="Rounded Rectangle 12">
          <a:hlinkClick xmlns:r="http://schemas.openxmlformats.org/officeDocument/2006/relationships" r:id="rId4"/>
        </xdr:cNvPr>
        <xdr:cNvSpPr/>
      </xdr:nvSpPr>
      <xdr:spPr>
        <a:xfrm>
          <a:off x="1980294" y="25400"/>
          <a:ext cx="11923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519250</xdr:colOff>
      <xdr:row>0</xdr:row>
      <xdr:rowOff>360000</xdr:rowOff>
    </xdr:to>
    <xdr:sp macro="" textlink="">
      <xdr:nvSpPr>
        <xdr:cNvPr id="14" name="Rounded Rectangle 13">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8</xdr:col>
      <xdr:colOff>273050</xdr:colOff>
      <xdr:row>0</xdr:row>
      <xdr:rowOff>25400</xdr:rowOff>
    </xdr:from>
    <xdr:to>
      <xdr:col>14</xdr:col>
      <xdr:colOff>342900</xdr:colOff>
      <xdr:row>0</xdr:row>
      <xdr:rowOff>385400</xdr:rowOff>
    </xdr:to>
    <xdr:sp macro="" textlink="">
      <xdr:nvSpPr>
        <xdr:cNvPr id="15" name="Rounded Rectangle 14">
          <a:hlinkClick xmlns:r="http://schemas.openxmlformats.org/officeDocument/2006/relationships" r:id="rId6"/>
        </xdr:cNvPr>
        <xdr:cNvSpPr/>
      </xdr:nvSpPr>
      <xdr:spPr>
        <a:xfrm>
          <a:off x="4044950" y="25400"/>
          <a:ext cx="18859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16</xdr:col>
      <xdr:colOff>291988</xdr:colOff>
      <xdr:row>0</xdr:row>
      <xdr:rowOff>12700</xdr:rowOff>
    </xdr:from>
    <xdr:to>
      <xdr:col>21</xdr:col>
      <xdr:colOff>468338</xdr:colOff>
      <xdr:row>0</xdr:row>
      <xdr:rowOff>372700</xdr:rowOff>
    </xdr:to>
    <xdr:sp macro="" textlink="">
      <xdr:nvSpPr>
        <xdr:cNvPr id="16" name="Rounded Rectangle 15">
          <a:hlinkClick xmlns:r="http://schemas.openxmlformats.org/officeDocument/2006/relationships" r:id="rId7"/>
        </xdr:cNvPr>
        <xdr:cNvSpPr/>
      </xdr:nvSpPr>
      <xdr:spPr>
        <a:xfrm>
          <a:off x="7149988" y="12700"/>
          <a:ext cx="14082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369093</xdr:colOff>
      <xdr:row>0</xdr:row>
      <xdr:rowOff>345281</xdr:rowOff>
    </xdr:from>
    <xdr:to>
      <xdr:col>13</xdr:col>
      <xdr:colOff>0</xdr:colOff>
      <xdr:row>1</xdr:row>
      <xdr:rowOff>296255</xdr:rowOff>
    </xdr:to>
    <xdr:grpSp>
      <xdr:nvGrpSpPr>
        <xdr:cNvPr id="16" name="Group 15"/>
        <xdr:cNvGrpSpPr/>
      </xdr:nvGrpSpPr>
      <xdr:grpSpPr>
        <a:xfrm>
          <a:off x="9882187" y="345281"/>
          <a:ext cx="2595563" cy="403412"/>
          <a:chOff x="6670101" y="317500"/>
          <a:chExt cx="6017517"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9347973" y="317500"/>
            <a:ext cx="3339645"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70101" y="332729"/>
            <a:ext cx="2322337"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60477</xdr:colOff>
      <xdr:row>0</xdr:row>
      <xdr:rowOff>0</xdr:rowOff>
    </xdr:from>
    <xdr:to>
      <xdr:col>4</xdr:col>
      <xdr:colOff>833437</xdr:colOff>
      <xdr:row>0</xdr:row>
      <xdr:rowOff>360000</xdr:rowOff>
    </xdr:to>
    <xdr:sp macro="" textlink="">
      <xdr:nvSpPr>
        <xdr:cNvPr id="10" name="Rounded Rectangle 9">
          <a:hlinkClick xmlns:r="http://schemas.openxmlformats.org/officeDocument/2006/relationships" r:id="rId3"/>
        </xdr:cNvPr>
        <xdr:cNvSpPr/>
      </xdr:nvSpPr>
      <xdr:spPr>
        <a:xfrm>
          <a:off x="2203602" y="0"/>
          <a:ext cx="186833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1</xdr:col>
      <xdr:colOff>0</xdr:colOff>
      <xdr:row>0</xdr:row>
      <xdr:rowOff>0</xdr:rowOff>
    </xdr:from>
    <xdr:to>
      <xdr:col>2</xdr:col>
      <xdr:colOff>452437</xdr:colOff>
      <xdr:row>0</xdr:row>
      <xdr:rowOff>360000</xdr:rowOff>
    </xdr:to>
    <xdr:sp macro="" textlink="">
      <xdr:nvSpPr>
        <xdr:cNvPr id="11" name="Rounded Rectangle 10">
          <a:hlinkClick xmlns:r="http://schemas.openxmlformats.org/officeDocument/2006/relationships" r:id="rId4"/>
        </xdr:cNvPr>
        <xdr:cNvSpPr/>
      </xdr:nvSpPr>
      <xdr:spPr>
        <a:xfrm>
          <a:off x="0" y="0"/>
          <a:ext cx="157162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560918</xdr:colOff>
      <xdr:row>0</xdr:row>
      <xdr:rowOff>0</xdr:rowOff>
    </xdr:from>
    <xdr:to>
      <xdr:col>6</xdr:col>
      <xdr:colOff>1107282</xdr:colOff>
      <xdr:row>0</xdr:row>
      <xdr:rowOff>360000</xdr:rowOff>
    </xdr:to>
    <xdr:sp macro="" textlink="">
      <xdr:nvSpPr>
        <xdr:cNvPr id="12" name="Rounded Rectangle 11">
          <a:hlinkClick xmlns:r="http://schemas.openxmlformats.org/officeDocument/2006/relationships" r:id="rId5"/>
        </xdr:cNvPr>
        <xdr:cNvSpPr/>
      </xdr:nvSpPr>
      <xdr:spPr>
        <a:xfrm>
          <a:off x="4799543" y="0"/>
          <a:ext cx="176080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725905</xdr:colOff>
      <xdr:row>0</xdr:row>
      <xdr:rowOff>0</xdr:rowOff>
    </xdr:from>
    <xdr:to>
      <xdr:col>10</xdr:col>
      <xdr:colOff>464343</xdr:colOff>
      <xdr:row>0</xdr:row>
      <xdr:rowOff>360000</xdr:rowOff>
    </xdr:to>
    <xdr:sp macro="" textlink="">
      <xdr:nvSpPr>
        <xdr:cNvPr id="13" name="Rounded Rectangle 12">
          <a:hlinkClick xmlns:r="http://schemas.openxmlformats.org/officeDocument/2006/relationships" r:id="rId6"/>
        </xdr:cNvPr>
        <xdr:cNvSpPr/>
      </xdr:nvSpPr>
      <xdr:spPr>
        <a:xfrm>
          <a:off x="6036093" y="0"/>
          <a:ext cx="211968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20</xdr:col>
      <xdr:colOff>476250</xdr:colOff>
      <xdr:row>125</xdr:row>
      <xdr:rowOff>59531</xdr:rowOff>
    </xdr:from>
    <xdr:to>
      <xdr:col>27</xdr:col>
      <xdr:colOff>297656</xdr:colOff>
      <xdr:row>134</xdr:row>
      <xdr:rowOff>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602601</xdr:colOff>
      <xdr:row>3</xdr:row>
      <xdr:rowOff>197514</xdr:rowOff>
    </xdr:from>
    <xdr:to>
      <xdr:col>15</xdr:col>
      <xdr:colOff>2313217</xdr:colOff>
      <xdr:row>4</xdr:row>
      <xdr:rowOff>305289</xdr:rowOff>
    </xdr:to>
    <xdr:grpSp>
      <xdr:nvGrpSpPr>
        <xdr:cNvPr id="22" name="Group 21"/>
        <xdr:cNvGrpSpPr/>
      </xdr:nvGrpSpPr>
      <xdr:grpSpPr>
        <a:xfrm>
          <a:off x="9968851" y="942418"/>
          <a:ext cx="6351001" cy="522967"/>
          <a:chOff x="6808883" y="281295"/>
          <a:chExt cx="4789269" cy="929615"/>
        </a:xfr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grpSpPr>
      <xdr:pic>
        <xdr:nvPicPr>
          <xdr:cNvPr id="23" name="Picture 22"/>
          <xdr:cNvPicPr>
            <a:picLocks noChangeAspect="1"/>
          </xdr:cNvPicPr>
        </xdr:nvPicPr>
        <xdr:blipFill>
          <a:blip xmlns:r="http://schemas.openxmlformats.org/officeDocument/2006/relationships" r:embed="rId1"/>
          <a:stretch>
            <a:fillRect/>
          </a:stretch>
        </xdr:blipFill>
        <xdr:spPr>
          <a:xfrm>
            <a:off x="9009755" y="317501"/>
            <a:ext cx="2588397" cy="828288"/>
          </a:xfrm>
          <a:prstGeom prst="rect">
            <a:avLst/>
          </a:prstGeom>
          <a:grpFill/>
        </xdr:spPr>
      </xdr:pic>
      <xdr:pic>
        <xdr:nvPicPr>
          <xdr:cNvPr id="24" name="Picture 2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08883" y="281295"/>
            <a:ext cx="1908395" cy="929615"/>
          </a:xfrm>
          <a:prstGeom prst="rect">
            <a:avLst/>
          </a:prstGeom>
          <a:grpFill/>
          <a:extLst/>
        </xdr:spPr>
      </xdr:pic>
    </xdr:grpSp>
    <xdr:clientData/>
  </xdr:twoCellAnchor>
  <xdr:twoCellAnchor>
    <xdr:from>
      <xdr:col>3</xdr:col>
      <xdr:colOff>6350</xdr:colOff>
      <xdr:row>6</xdr:row>
      <xdr:rowOff>63500</xdr:rowOff>
    </xdr:from>
    <xdr:to>
      <xdr:col>12</xdr:col>
      <xdr:colOff>595313</xdr:colOff>
      <xdr:row>8</xdr:row>
      <xdr:rowOff>317500</xdr:rowOff>
    </xdr:to>
    <xdr:sp macro="" textlink="">
      <xdr:nvSpPr>
        <xdr:cNvPr id="31" name="Rounded Rectangle 30">
          <a:hlinkClick xmlns:r="http://schemas.openxmlformats.org/officeDocument/2006/relationships" r:id="rId3"/>
        </xdr:cNvPr>
        <xdr:cNvSpPr/>
      </xdr:nvSpPr>
      <xdr:spPr>
        <a:xfrm>
          <a:off x="188913" y="1174750"/>
          <a:ext cx="8867775" cy="5715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the NFI strategy please consult the</a:t>
          </a:r>
          <a:r>
            <a:rPr lang="en-US" sz="1100" baseline="0">
              <a:solidFill>
                <a:sysClr val="windowText" lastClr="000000"/>
              </a:solidFill>
            </a:rPr>
            <a:t> </a:t>
          </a:r>
          <a:r>
            <a:rPr lang="en-US" sz="1100">
              <a:solidFill>
                <a:sysClr val="windowText" lastClr="000000"/>
              </a:solidFill>
            </a:rPr>
            <a:t>Standard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baseline="0">
              <a:solidFill>
                <a:srgbClr val="0070C0"/>
              </a:solidFill>
              <a:effectLst/>
              <a:latin typeface="+mn-lt"/>
              <a:ea typeface="+mn-ea"/>
              <a:cs typeface="+mn-cs"/>
            </a:rPr>
            <a:t>https://www.sheltercluster.org/sites/default/files/docs/sphere_handbook_2011_english.pdf</a:t>
          </a:r>
          <a:endParaRPr lang="en-GB" sz="1000">
            <a:solidFill>
              <a:srgbClr val="0070C0"/>
            </a:solidFill>
            <a:effectLst/>
          </a:endParaRPr>
        </a:p>
      </xdr:txBody>
    </xdr:sp>
    <xdr:clientData/>
  </xdr:twoCellAnchor>
  <xdr:twoCellAnchor>
    <xdr:from>
      <xdr:col>2</xdr:col>
      <xdr:colOff>37448</xdr:colOff>
      <xdr:row>37</xdr:row>
      <xdr:rowOff>854802</xdr:rowOff>
    </xdr:from>
    <xdr:to>
      <xdr:col>15</xdr:col>
      <xdr:colOff>2393460</xdr:colOff>
      <xdr:row>40</xdr:row>
      <xdr:rowOff>122113</xdr:rowOff>
    </xdr:to>
    <xdr:grpSp>
      <xdr:nvGrpSpPr>
        <xdr:cNvPr id="32" name="Group 31"/>
        <xdr:cNvGrpSpPr/>
      </xdr:nvGrpSpPr>
      <xdr:grpSpPr>
        <a:xfrm>
          <a:off x="318313" y="9573840"/>
          <a:ext cx="16081782" cy="525100"/>
          <a:chOff x="47625" y="7444077"/>
          <a:chExt cx="13511144" cy="866853"/>
        </a:xfrm>
      </xdr:grpSpPr>
      <xdr:sp macro="" textlink="">
        <xdr:nvSpPr>
          <xdr:cNvPr id="33" name="Line 2"/>
          <xdr:cNvSpPr>
            <a:spLocks noChangeShapeType="1"/>
          </xdr:cNvSpPr>
        </xdr:nvSpPr>
        <xdr:spPr bwMode="auto">
          <a:xfrm flipV="1">
            <a:off x="47625" y="7444077"/>
            <a:ext cx="13511144" cy="8067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sp macro="" textlink="">
        <xdr:nvSpPr>
          <xdr:cNvPr id="35" name="TextBox 34"/>
          <xdr:cNvSpPr txBox="1"/>
        </xdr:nvSpPr>
        <xdr:spPr>
          <a:xfrm>
            <a:off x="243057" y="7648581"/>
            <a:ext cx="4405313" cy="66234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grpSp>
    <xdr:clientData/>
  </xdr:twoCellAnchor>
  <xdr:twoCellAnchor>
    <xdr:from>
      <xdr:col>4</xdr:col>
      <xdr:colOff>282728</xdr:colOff>
      <xdr:row>1</xdr:row>
      <xdr:rowOff>59531</xdr:rowOff>
    </xdr:from>
    <xdr:to>
      <xdr:col>5</xdr:col>
      <xdr:colOff>1018937</xdr:colOff>
      <xdr:row>2</xdr:row>
      <xdr:rowOff>336187</xdr:rowOff>
    </xdr:to>
    <xdr:sp macro="" textlink="">
      <xdr:nvSpPr>
        <xdr:cNvPr id="19" name="Rounded Rectangle 18">
          <a:hlinkClick xmlns:r="http://schemas.openxmlformats.org/officeDocument/2006/relationships" r:id="rId4"/>
        </xdr:cNvPr>
        <xdr:cNvSpPr/>
      </xdr:nvSpPr>
      <xdr:spPr>
        <a:xfrm>
          <a:off x="2402041" y="261937"/>
          <a:ext cx="180777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2</xdr:col>
      <xdr:colOff>0</xdr:colOff>
      <xdr:row>2</xdr:row>
      <xdr:rowOff>0</xdr:rowOff>
    </xdr:from>
    <xdr:to>
      <xdr:col>3</xdr:col>
      <xdr:colOff>1260083</xdr:colOff>
      <xdr:row>2</xdr:row>
      <xdr:rowOff>360000</xdr:rowOff>
    </xdr:to>
    <xdr:sp macro="" textlink="">
      <xdr:nvSpPr>
        <xdr:cNvPr id="20" name="Rounded Rectangle 19">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6</xdr:col>
      <xdr:colOff>719667</xdr:colOff>
      <xdr:row>1</xdr:row>
      <xdr:rowOff>47625</xdr:rowOff>
    </xdr:from>
    <xdr:to>
      <xdr:col>8</xdr:col>
      <xdr:colOff>500062</xdr:colOff>
      <xdr:row>2</xdr:row>
      <xdr:rowOff>324281</xdr:rowOff>
    </xdr:to>
    <xdr:sp macro="" textlink="">
      <xdr:nvSpPr>
        <xdr:cNvPr id="21" name="Rounded Rectangle 20">
          <a:hlinkClick xmlns:r="http://schemas.openxmlformats.org/officeDocument/2006/relationships" r:id="rId6"/>
        </xdr:cNvPr>
        <xdr:cNvSpPr/>
      </xdr:nvSpPr>
      <xdr:spPr>
        <a:xfrm>
          <a:off x="4982105" y="250031"/>
          <a:ext cx="197114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9</xdr:col>
      <xdr:colOff>19469</xdr:colOff>
      <xdr:row>1</xdr:row>
      <xdr:rowOff>71437</xdr:rowOff>
    </xdr:from>
    <xdr:to>
      <xdr:col>10</xdr:col>
      <xdr:colOff>904874</xdr:colOff>
      <xdr:row>2</xdr:row>
      <xdr:rowOff>348093</xdr:rowOff>
    </xdr:to>
    <xdr:sp macro="" textlink="">
      <xdr:nvSpPr>
        <xdr:cNvPr id="25" name="Rounded Rectangle 24">
          <a:hlinkClick xmlns:r="http://schemas.openxmlformats.org/officeDocument/2006/relationships" r:id="rId7"/>
        </xdr:cNvPr>
        <xdr:cNvSpPr/>
      </xdr:nvSpPr>
      <xdr:spPr>
        <a:xfrm>
          <a:off x="7496594" y="273843"/>
          <a:ext cx="195696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2</xdr:col>
      <xdr:colOff>46100</xdr:colOff>
      <xdr:row>21</xdr:row>
      <xdr:rowOff>61057</xdr:rowOff>
    </xdr:from>
    <xdr:to>
      <xdr:col>6</xdr:col>
      <xdr:colOff>534255</xdr:colOff>
      <xdr:row>37</xdr:row>
      <xdr:rowOff>854808</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561731</xdr:colOff>
      <xdr:row>21</xdr:row>
      <xdr:rowOff>73269</xdr:rowOff>
    </xdr:from>
    <xdr:to>
      <xdr:col>12</xdr:col>
      <xdr:colOff>307533</xdr:colOff>
      <xdr:row>38</xdr:row>
      <xdr:rowOff>12016</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14</xdr:col>
      <xdr:colOff>48846</xdr:colOff>
      <xdr:row>5</xdr:row>
      <xdr:rowOff>24423</xdr:rowOff>
    </xdr:from>
    <xdr:to>
      <xdr:col>15</xdr:col>
      <xdr:colOff>2405671</xdr:colOff>
      <xdr:row>21</xdr:row>
      <xdr:rowOff>24423</xdr:rowOff>
    </xdr:to>
    <xdr:pic>
      <xdr:nvPicPr>
        <xdr:cNvPr id="45" name="Picture 44" descr="D:\AA - QGIS TRAINING\Rakhine.jpeg"/>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565673" y="1611923"/>
          <a:ext cx="3846633" cy="4005385"/>
        </a:xfrm>
        <a:prstGeom prst="rect">
          <a:avLst/>
        </a:prstGeom>
        <a:noFill/>
        <a:ln>
          <a:solidFill>
            <a:schemeClr val="tx1"/>
          </a:solidFill>
        </a:ln>
      </xdr:spPr>
    </xdr:pic>
    <xdr:clientData/>
  </xdr:twoCellAnchor>
  <xdr:twoCellAnchor>
    <xdr:from>
      <xdr:col>14</xdr:col>
      <xdr:colOff>639237</xdr:colOff>
      <xdr:row>5</xdr:row>
      <xdr:rowOff>131833</xdr:rowOff>
    </xdr:from>
    <xdr:to>
      <xdr:col>15</xdr:col>
      <xdr:colOff>2246923</xdr:colOff>
      <xdr:row>5</xdr:row>
      <xdr:rowOff>439614</xdr:rowOff>
    </xdr:to>
    <xdr:sp macro="" textlink="">
      <xdr:nvSpPr>
        <xdr:cNvPr id="5" name="TextBox 4"/>
        <xdr:cNvSpPr txBox="1"/>
      </xdr:nvSpPr>
      <xdr:spPr>
        <a:xfrm>
          <a:off x="13156064" y="1719333"/>
          <a:ext cx="3097494" cy="307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t>HH(s) Coverage in Townships in Rakhine State </a:t>
          </a:r>
        </a:p>
      </xdr:txBody>
    </xdr:sp>
    <xdr:clientData/>
  </xdr:twoCellAnchor>
  <xdr:twoCellAnchor>
    <xdr:from>
      <xdr:col>12</xdr:col>
      <xdr:colOff>354136</xdr:colOff>
      <xdr:row>21</xdr:row>
      <xdr:rowOff>61057</xdr:rowOff>
    </xdr:from>
    <xdr:to>
      <xdr:col>15</xdr:col>
      <xdr:colOff>2417885</xdr:colOff>
      <xdr:row>37</xdr:row>
      <xdr:rowOff>842597</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940288</xdr:colOff>
      <xdr:row>38</xdr:row>
      <xdr:rowOff>73268</xdr:rowOff>
    </xdr:from>
    <xdr:to>
      <xdr:col>15</xdr:col>
      <xdr:colOff>2352536</xdr:colOff>
      <xdr:row>40</xdr:row>
      <xdr:rowOff>71498</xdr:rowOff>
    </xdr:to>
    <xdr:sp macro="" textlink="">
      <xdr:nvSpPr>
        <xdr:cNvPr id="26" name="TextBox 25"/>
        <xdr:cNvSpPr txBox="1">
          <a:spLocks/>
        </xdr:cNvSpPr>
      </xdr:nvSpPr>
      <xdr:spPr>
        <a:xfrm>
          <a:off x="8059615" y="9659326"/>
          <a:ext cx="829955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contact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89648</xdr:colOff>
      <xdr:row>1</xdr:row>
      <xdr:rowOff>181988</xdr:rowOff>
    </xdr:from>
    <xdr:to>
      <xdr:col>13</xdr:col>
      <xdr:colOff>392206</xdr:colOff>
      <xdr:row>2</xdr:row>
      <xdr:rowOff>190500</xdr:rowOff>
    </xdr:to>
    <xdr:grpSp>
      <xdr:nvGrpSpPr>
        <xdr:cNvPr id="2" name="Group 1"/>
        <xdr:cNvGrpSpPr/>
      </xdr:nvGrpSpPr>
      <xdr:grpSpPr>
        <a:xfrm>
          <a:off x="6712324" y="641429"/>
          <a:ext cx="5490882" cy="423130"/>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9692313" y="317500"/>
            <a:ext cx="2995305"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105300</xdr:colOff>
      <xdr:row>0</xdr:row>
      <xdr:rowOff>0</xdr:rowOff>
    </xdr:from>
    <xdr:to>
      <xdr:col>5</xdr:col>
      <xdr:colOff>717311</xdr:colOff>
      <xdr:row>0</xdr:row>
      <xdr:rowOff>360000</xdr:rowOff>
    </xdr:to>
    <xdr:sp macro="" textlink="">
      <xdr:nvSpPr>
        <xdr:cNvPr id="5" name="Rounded Rectangle 4">
          <a:hlinkClick xmlns:r="http://schemas.openxmlformats.org/officeDocument/2006/relationships" r:id="rId3"/>
        </xdr:cNvPr>
        <xdr:cNvSpPr/>
      </xdr:nvSpPr>
      <xdr:spPr>
        <a:xfrm>
          <a:off x="2985212" y="0"/>
          <a:ext cx="17998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212912</xdr:colOff>
      <xdr:row>0</xdr:row>
      <xdr:rowOff>0</xdr:rowOff>
    </xdr:from>
    <xdr:to>
      <xdr:col>2</xdr:col>
      <xdr:colOff>85332</xdr:colOff>
      <xdr:row>0</xdr:row>
      <xdr:rowOff>360000</xdr:rowOff>
    </xdr:to>
    <xdr:sp macro="" textlink="">
      <xdr:nvSpPr>
        <xdr:cNvPr id="6" name="Rounded Rectangle 5">
          <a:hlinkClick xmlns:r="http://schemas.openxmlformats.org/officeDocument/2006/relationships" r:id="rId4"/>
        </xdr:cNvPr>
        <xdr:cNvSpPr/>
      </xdr:nvSpPr>
      <xdr:spPr>
        <a:xfrm>
          <a:off x="212912" y="0"/>
          <a:ext cx="169897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22412</xdr:colOff>
      <xdr:row>0</xdr:row>
      <xdr:rowOff>0</xdr:rowOff>
    </xdr:from>
    <xdr:to>
      <xdr:col>9</xdr:col>
      <xdr:colOff>67903</xdr:colOff>
      <xdr:row>0</xdr:row>
      <xdr:rowOff>360000</xdr:rowOff>
    </xdr:to>
    <xdr:sp macro="" textlink="">
      <xdr:nvSpPr>
        <xdr:cNvPr id="7" name="Rounded Rectangle 6">
          <a:hlinkClick xmlns:r="http://schemas.openxmlformats.org/officeDocument/2006/relationships" r:id="rId5"/>
        </xdr:cNvPr>
        <xdr:cNvSpPr/>
      </xdr:nvSpPr>
      <xdr:spPr>
        <a:xfrm>
          <a:off x="6107206" y="0"/>
          <a:ext cx="159190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10</xdr:col>
      <xdr:colOff>750795</xdr:colOff>
      <xdr:row>0</xdr:row>
      <xdr:rowOff>1</xdr:rowOff>
    </xdr:from>
    <xdr:to>
      <xdr:col>12</xdr:col>
      <xdr:colOff>601750</xdr:colOff>
      <xdr:row>0</xdr:row>
      <xdr:rowOff>360001</xdr:rowOff>
    </xdr:to>
    <xdr:sp macro="" textlink="">
      <xdr:nvSpPr>
        <xdr:cNvPr id="8" name="Rounded Rectangle 7">
          <a:hlinkClick xmlns:r="http://schemas.openxmlformats.org/officeDocument/2006/relationships" r:id="rId6"/>
        </xdr:cNvPr>
        <xdr:cNvSpPr/>
      </xdr:nvSpPr>
      <xdr:spPr>
        <a:xfrm>
          <a:off x="9121589" y="1"/>
          <a:ext cx="184560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498981</xdr:colOff>
      <xdr:row>1</xdr:row>
      <xdr:rowOff>43296</xdr:rowOff>
    </xdr:from>
    <xdr:to>
      <xdr:col>7</xdr:col>
      <xdr:colOff>154781</xdr:colOff>
      <xdr:row>1</xdr:row>
      <xdr:rowOff>372342</xdr:rowOff>
    </xdr:to>
    <xdr:grpSp>
      <xdr:nvGrpSpPr>
        <xdr:cNvPr id="4" name="Group 3"/>
        <xdr:cNvGrpSpPr/>
      </xdr:nvGrpSpPr>
      <xdr:grpSpPr>
        <a:xfrm>
          <a:off x="5201950" y="495734"/>
          <a:ext cx="3549144" cy="329046"/>
          <a:chOff x="6500812" y="317500"/>
          <a:chExt cx="6186806" cy="575469"/>
        </a:xfrm>
      </xdr:grpSpPr>
      <xdr:pic>
        <xdr:nvPicPr>
          <xdr:cNvPr id="5" name="Picture 4"/>
          <xdr:cNvPicPr>
            <a:picLocks noChangeAspect="1"/>
          </xdr:cNvPicPr>
        </xdr:nvPicPr>
        <xdr:blipFill>
          <a:blip xmlns:r="http://schemas.openxmlformats.org/officeDocument/2006/relationships" r:embed="rId1"/>
          <a:stretch>
            <a:fillRect/>
          </a:stretch>
        </xdr:blipFill>
        <xdr:spPr>
          <a:xfrm>
            <a:off x="9283836" y="317500"/>
            <a:ext cx="3403782" cy="573015"/>
          </a:xfrm>
          <a:prstGeom prst="rect">
            <a:avLst/>
          </a:prstGeom>
        </xdr:spPr>
      </xdr:pic>
      <xdr:pic>
        <xdr:nvPicPr>
          <xdr:cNvPr id="6" name="Picture 5"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169719</xdr:colOff>
      <xdr:row>7</xdr:row>
      <xdr:rowOff>11906</xdr:rowOff>
    </xdr:from>
    <xdr:to>
      <xdr:col>11</xdr:col>
      <xdr:colOff>276442</xdr:colOff>
      <xdr:row>21</xdr:row>
      <xdr:rowOff>19170</xdr:rowOff>
    </xdr:to>
    <mc:AlternateContent xmlns:mc="http://schemas.openxmlformats.org/markup-compatibility/2006" xmlns:a14="http://schemas.microsoft.com/office/drawing/2010/main">
      <mc:Choice Requires="a14">
        <xdr:graphicFrame macro="">
          <xdr:nvGraphicFramePr>
            <xdr:cNvPr id="7" name="TOWNSHIP_NAME 1"/>
            <xdr:cNvGraphicFramePr/>
          </xdr:nvGraphicFramePr>
          <xdr:xfrm>
            <a:off x="0" y="0"/>
            <a:ext cx="0" cy="0"/>
          </xdr:xfrm>
          <a:graphic>
            <a:graphicData uri="http://schemas.microsoft.com/office/drawing/2010/slicer">
              <sle:slicer xmlns:sle="http://schemas.microsoft.com/office/drawing/2010/slicer" name="TOWNSHIP_NAME 1"/>
            </a:graphicData>
          </a:graphic>
        </xdr:graphicFrame>
      </mc:Choice>
      <mc:Fallback xmlns="">
        <xdr:sp macro="" textlink="">
          <xdr:nvSpPr>
            <xdr:cNvPr id="0" name=""/>
            <xdr:cNvSpPr>
              <a:spLocks noTextEdit="1"/>
            </xdr:cNvSpPr>
          </xdr:nvSpPr>
          <xdr:spPr>
            <a:xfrm>
              <a:off x="8361219" y="1333500"/>
              <a:ext cx="1833129" cy="251710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13" name="Rounded Rectangle 12">
          <a:hlinkClick xmlns:r="http://schemas.openxmlformats.org/officeDocument/2006/relationships" r:id="rId3"/>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4" name="Rounded Rectangle 13">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5" name="Rounded Rectangle 14">
          <a:hlinkClick xmlns:r="http://schemas.openxmlformats.org/officeDocument/2006/relationships" r:id="rId5"/>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1611312</xdr:colOff>
      <xdr:row>0</xdr:row>
      <xdr:rowOff>11906</xdr:rowOff>
    </xdr:from>
    <xdr:to>
      <xdr:col>2</xdr:col>
      <xdr:colOff>619625</xdr:colOff>
      <xdr:row>0</xdr:row>
      <xdr:rowOff>371906</xdr:rowOff>
    </xdr:to>
    <xdr:sp macro="" textlink="">
      <xdr:nvSpPr>
        <xdr:cNvPr id="16" name="Rounded Rectangle 15">
          <a:hlinkClick xmlns:r="http://schemas.openxmlformats.org/officeDocument/2006/relationships" r:id="rId6"/>
        </xdr:cNvPr>
        <xdr:cNvSpPr/>
      </xdr:nvSpPr>
      <xdr:spPr>
        <a:xfrm>
          <a:off x="3063875"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907144</xdr:colOff>
      <xdr:row>0</xdr:row>
      <xdr:rowOff>0</xdr:rowOff>
    </xdr:from>
    <xdr:to>
      <xdr:col>6</xdr:col>
      <xdr:colOff>153582</xdr:colOff>
      <xdr:row>0</xdr:row>
      <xdr:rowOff>360000</xdr:rowOff>
    </xdr:to>
    <xdr:sp macro="" textlink="">
      <xdr:nvSpPr>
        <xdr:cNvPr id="17" name="Rounded Rectangle 16">
          <a:hlinkClick xmlns:r="http://schemas.openxmlformats.org/officeDocument/2006/relationships" r:id="rId7"/>
        </xdr:cNvPr>
        <xdr:cNvSpPr/>
      </xdr:nvSpPr>
      <xdr:spPr>
        <a:xfrm>
          <a:off x="674120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156884</xdr:colOff>
      <xdr:row>4</xdr:row>
      <xdr:rowOff>13607</xdr:rowOff>
    </xdr:from>
    <xdr:to>
      <xdr:col>16</xdr:col>
      <xdr:colOff>306995</xdr:colOff>
      <xdr:row>22</xdr:row>
      <xdr:rowOff>122465</xdr:rowOff>
    </xdr:to>
    <xdr:pic>
      <xdr:nvPicPr>
        <xdr:cNvPr id="33" name="Picture 3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083420" y="1211036"/>
          <a:ext cx="2898754" cy="447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170488</xdr:colOff>
      <xdr:row>22</xdr:row>
      <xdr:rowOff>124547</xdr:rowOff>
    </xdr:from>
    <xdr:to>
      <xdr:col>16</xdr:col>
      <xdr:colOff>293754</xdr:colOff>
      <xdr:row>45</xdr:row>
      <xdr:rowOff>86445</xdr:rowOff>
    </xdr:to>
    <xdr:sp macro="" textlink="">
      <xdr:nvSpPr>
        <xdr:cNvPr id="14" name="TextBox 13"/>
        <xdr:cNvSpPr txBox="1"/>
      </xdr:nvSpPr>
      <xdr:spPr>
        <a:xfrm>
          <a:off x="11097024" y="5689868"/>
          <a:ext cx="2871909" cy="4874077"/>
        </a:xfrm>
        <a:prstGeom prst="rect">
          <a:avLst/>
        </a:prstGeom>
        <a:solidFill>
          <a:srgbClr val="99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300" b="0" i="0">
              <a:solidFill>
                <a:schemeClr val="dk1"/>
              </a:solidFill>
              <a:effectLst/>
              <a:latin typeface="+mn-lt"/>
              <a:ea typeface="+mn-ea"/>
              <a:cs typeface="+mn-cs"/>
            </a:rPr>
            <a:t>In Myanmar, the Shelter/NFI/CCCM Cluster was activated in January 2013. By March 2013, the CCCM Cluster became operational in Rakhine State. Currently 3 Camp Management Agencies undertake substantial work for the CCCM Cluster: data collection, coordination, monitoring of services, community mobilization and capacity building across camps that house over </a:t>
          </a:r>
          <a:r>
            <a:rPr lang="en-GB" sz="1400" b="0" i="0">
              <a:solidFill>
                <a:schemeClr val="dk1"/>
              </a:solidFill>
              <a:effectLst/>
              <a:latin typeface="+mn-lt"/>
              <a:ea typeface="+mn-ea"/>
              <a:cs typeface="+mn-cs"/>
            </a:rPr>
            <a:t>127,500 </a:t>
          </a:r>
          <a:r>
            <a:rPr lang="en-GB" sz="1300" b="0" i="0">
              <a:solidFill>
                <a:schemeClr val="dk1"/>
              </a:solidFill>
              <a:effectLst/>
              <a:latin typeface="+mn-lt"/>
              <a:ea typeface="+mn-ea"/>
              <a:cs typeface="+mn-cs"/>
            </a:rPr>
            <a:t>IDPs. In addition, one agency serves as a CCCM Focal Point, which ensures communication between the camp population and the UNHCR co-led CCCM Cluster. The objective of the CCCM Cluster remains to ensure all of the priority camps, camps that contain the majority of IDPs, have a dedicated Camp Management Agency, delivering coordinated assistance in line with the rights and needs of the displaced and where possible preparing them for life after displacement. </a:t>
          </a:r>
        </a:p>
        <a:p>
          <a:pPr algn="l"/>
          <a:endParaRPr lang="en-US" sz="1300" baseline="0"/>
        </a:p>
      </xdr:txBody>
    </xdr:sp>
    <xdr:clientData/>
  </xdr:twoCellAnchor>
  <xdr:oneCellAnchor>
    <xdr:from>
      <xdr:col>16</xdr:col>
      <xdr:colOff>504825</xdr:colOff>
      <xdr:row>9</xdr:row>
      <xdr:rowOff>28575</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44823</xdr:colOff>
      <xdr:row>4</xdr:row>
      <xdr:rowOff>38982</xdr:rowOff>
    </xdr:from>
    <xdr:to>
      <xdr:col>11</xdr:col>
      <xdr:colOff>435429</xdr:colOff>
      <xdr:row>8</xdr:row>
      <xdr:rowOff>81642</xdr:rowOff>
    </xdr:to>
    <xdr:grpSp>
      <xdr:nvGrpSpPr>
        <xdr:cNvPr id="2" name="Group 1"/>
        <xdr:cNvGrpSpPr/>
      </xdr:nvGrpSpPr>
      <xdr:grpSpPr>
        <a:xfrm>
          <a:off x="44823" y="1236411"/>
          <a:ext cx="10310213" cy="981552"/>
          <a:chOff x="14750997" y="1692057"/>
          <a:chExt cx="3361087" cy="870446"/>
        </a:xfrm>
      </xdr:grpSpPr>
      <xdr:grpSp>
        <xdr:nvGrpSpPr>
          <xdr:cNvPr id="3" name="Group 2"/>
          <xdr:cNvGrpSpPr/>
        </xdr:nvGrpSpPr>
        <xdr:grpSpPr>
          <a:xfrm>
            <a:off x="14755349" y="2130776"/>
            <a:ext cx="3356735" cy="431727"/>
            <a:chOff x="3803804" y="11260598"/>
            <a:chExt cx="1880318" cy="249072"/>
          </a:xfrm>
          <a:effectLst>
            <a:outerShdw blurRad="63500" sx="102000" sy="102000" algn="ctr" rotWithShape="0">
              <a:prstClr val="black">
                <a:alpha val="40000"/>
              </a:prstClr>
            </a:outerShdw>
          </a:effectLst>
        </xdr:grpSpPr>
        <xdr:sp macro="" textlink="">
          <xdr:nvSpPr>
            <xdr:cNvPr id="4" name="Rectangle 3"/>
            <xdr:cNvSpPr/>
          </xdr:nvSpPr>
          <xdr:spPr>
            <a:xfrm>
              <a:off x="3803804" y="11281988"/>
              <a:ext cx="983301" cy="20554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5" name="TextBox 4"/>
            <xdr:cNvSpPr txBox="1"/>
          </xdr:nvSpPr>
          <xdr:spPr>
            <a:xfrm>
              <a:off x="3928208" y="11260598"/>
              <a:ext cx="747065"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IDPs</a:t>
              </a:r>
              <a:endParaRPr lang="en-GB" sz="2000" b="1">
                <a:effectLst/>
                <a:latin typeface="+mn-lt"/>
                <a:cs typeface="Calibri" pitchFamily="34" charset="0"/>
              </a:endParaRPr>
            </a:p>
          </xdr:txBody>
        </xdr:sp>
        <xdr:sp macro="" textlink="$J$25">
          <xdr:nvSpPr>
            <xdr:cNvPr id="6" name="Rectangle 5"/>
            <xdr:cNvSpPr/>
          </xdr:nvSpPr>
          <xdr:spPr>
            <a:xfrm>
              <a:off x="4854196" y="11296634"/>
              <a:ext cx="829926"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1B17020B-3464-4A6D-97E7-FD3F342FA3A5}" type="TxLink">
                <a:rPr lang="en-US" sz="2000" b="1">
                  <a:latin typeface="+mn-lt"/>
                </a:rPr>
                <a:pPr algn="ctr"/>
                <a:t>127,574</a:t>
              </a:fld>
              <a:endParaRPr lang="en-US" sz="2000" b="1">
                <a:latin typeface="+mn-lt"/>
              </a:endParaRPr>
            </a:p>
          </xdr:txBody>
        </xdr:sp>
      </xdr:grpSp>
      <xdr:grpSp>
        <xdr:nvGrpSpPr>
          <xdr:cNvPr id="15" name="Group 14"/>
          <xdr:cNvGrpSpPr/>
        </xdr:nvGrpSpPr>
        <xdr:grpSpPr>
          <a:xfrm>
            <a:off x="14750997" y="1692057"/>
            <a:ext cx="3356653" cy="476259"/>
            <a:chOff x="3799763" y="11274576"/>
            <a:chExt cx="1897447" cy="234969"/>
          </a:xfrm>
          <a:effectLst>
            <a:outerShdw blurRad="63500" sx="102000" sy="102000" algn="ctr" rotWithShape="0">
              <a:prstClr val="black">
                <a:alpha val="40000"/>
              </a:prstClr>
            </a:outerShdw>
          </a:effectLst>
        </xdr:grpSpPr>
        <xdr:sp macro="" textlink="$AM$36">
          <xdr:nvSpPr>
            <xdr:cNvPr id="16" name="Rectangle 15"/>
            <xdr:cNvSpPr/>
          </xdr:nvSpPr>
          <xdr:spPr>
            <a:xfrm>
              <a:off x="4862707" y="11302528"/>
              <a:ext cx="834503"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B2B4814E-E342-4250-A700-7B32A50D4CB1}" type="TxLink">
                <a:rPr lang="en-US" sz="2000" b="1">
                  <a:latin typeface="+mn-lt"/>
                </a:rPr>
                <a:pPr algn="ctr"/>
                <a:t> 23 </a:t>
              </a:fld>
              <a:endParaRPr lang="en-US" sz="2000" b="1">
                <a:latin typeface="+mn-lt"/>
              </a:endParaRPr>
            </a:p>
          </xdr:txBody>
        </xdr:sp>
        <xdr:sp macro="" textlink="">
          <xdr:nvSpPr>
            <xdr:cNvPr id="17" name="Rectangle 16"/>
            <xdr:cNvSpPr/>
          </xdr:nvSpPr>
          <xdr:spPr>
            <a:xfrm>
              <a:off x="3799763" y="11304642"/>
              <a:ext cx="997252"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18" name="TextBox 17"/>
            <xdr:cNvSpPr txBox="1"/>
          </xdr:nvSpPr>
          <xdr:spPr>
            <a:xfrm>
              <a:off x="3925657" y="11274576"/>
              <a:ext cx="776671"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a:t>
              </a:r>
              <a:r>
                <a:rPr lang="en-GB" sz="2000" b="1" baseline="0">
                  <a:solidFill>
                    <a:schemeClr val="dk1"/>
                  </a:solidFill>
                  <a:effectLst/>
                  <a:latin typeface="+mn-lt"/>
                  <a:ea typeface="+mn-ea"/>
                  <a:cs typeface="Calibri" pitchFamily="34" charset="0"/>
                </a:rPr>
                <a:t> Locations</a:t>
              </a:r>
              <a:endParaRPr lang="en-GB" sz="2000" b="1">
                <a:solidFill>
                  <a:schemeClr val="dk1"/>
                </a:solidFill>
                <a:effectLst/>
                <a:latin typeface="+mn-lt"/>
                <a:ea typeface="+mn-ea"/>
                <a:cs typeface="Calibri" pitchFamily="34" charset="0"/>
              </a:endParaRPr>
            </a:p>
          </xdr:txBody>
        </xdr:sp>
      </xdr:grpSp>
    </xdr:grpSp>
    <xdr:clientData/>
  </xdr:twoCellAnchor>
  <xdr:twoCellAnchor>
    <xdr:from>
      <xdr:col>0</xdr:col>
      <xdr:colOff>145675</xdr:colOff>
      <xdr:row>45</xdr:row>
      <xdr:rowOff>100854</xdr:rowOff>
    </xdr:from>
    <xdr:to>
      <xdr:col>16</xdr:col>
      <xdr:colOff>212911</xdr:colOff>
      <xdr:row>45</xdr:row>
      <xdr:rowOff>112060</xdr:rowOff>
    </xdr:to>
    <xdr:sp macro="" textlink="">
      <xdr:nvSpPr>
        <xdr:cNvPr id="13" name="Line 2"/>
        <xdr:cNvSpPr>
          <a:spLocks noChangeShapeType="1"/>
        </xdr:cNvSpPr>
      </xdr:nvSpPr>
      <xdr:spPr bwMode="auto">
        <a:xfrm flipV="1">
          <a:off x="145675" y="10611972"/>
          <a:ext cx="13637560" cy="11206"/>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202407</xdr:colOff>
      <xdr:row>45</xdr:row>
      <xdr:rowOff>124730</xdr:rowOff>
    </xdr:from>
    <xdr:to>
      <xdr:col>8</xdr:col>
      <xdr:colOff>635051</xdr:colOff>
      <xdr:row>47</xdr:row>
      <xdr:rowOff>170189</xdr:rowOff>
    </xdr:to>
    <xdr:sp macro="" textlink="">
      <xdr:nvSpPr>
        <xdr:cNvPr id="20" name="TextBox 19"/>
        <xdr:cNvSpPr txBox="1"/>
      </xdr:nvSpPr>
      <xdr:spPr>
        <a:xfrm>
          <a:off x="202407" y="10635848"/>
          <a:ext cx="6932056" cy="42645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Information Management Unit (MIMU) &amp; other humanitarian organizations</a:t>
          </a:r>
          <a:endParaRPr lang="en-GB" sz="1000">
            <a:latin typeface="+mn-lt"/>
          </a:endParaRPr>
        </a:p>
      </xdr:txBody>
    </xdr:sp>
    <xdr:clientData/>
  </xdr:twoCellAnchor>
  <xdr:twoCellAnchor>
    <xdr:from>
      <xdr:col>9</xdr:col>
      <xdr:colOff>775608</xdr:colOff>
      <xdr:row>2</xdr:row>
      <xdr:rowOff>126936</xdr:rowOff>
    </xdr:from>
    <xdr:to>
      <xdr:col>16</xdr:col>
      <xdr:colOff>241871</xdr:colOff>
      <xdr:row>3</xdr:row>
      <xdr:rowOff>147667</xdr:rowOff>
    </xdr:to>
    <xdr:grpSp>
      <xdr:nvGrpSpPr>
        <xdr:cNvPr id="223" name="Group 222"/>
        <xdr:cNvGrpSpPr/>
      </xdr:nvGrpSpPr>
      <xdr:grpSpPr>
        <a:xfrm>
          <a:off x="8477251" y="671222"/>
          <a:ext cx="5439799" cy="442552"/>
          <a:chOff x="6404638" y="302296"/>
          <a:chExt cx="6349503" cy="590673"/>
        </a:xfrm>
      </xdr:grpSpPr>
      <xdr:pic>
        <xdr:nvPicPr>
          <xdr:cNvPr id="224" name="Picture 223"/>
          <xdr:cNvPicPr>
            <a:picLocks noChangeAspect="1"/>
          </xdr:cNvPicPr>
        </xdr:nvPicPr>
        <xdr:blipFill>
          <a:blip xmlns:r="http://schemas.openxmlformats.org/officeDocument/2006/relationships" r:embed="rId2"/>
          <a:stretch>
            <a:fillRect/>
          </a:stretch>
        </xdr:blipFill>
        <xdr:spPr>
          <a:xfrm>
            <a:off x="10089419" y="302296"/>
            <a:ext cx="2664722"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04638" y="332729"/>
            <a:ext cx="2369345"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26</xdr:col>
      <xdr:colOff>298978</xdr:colOff>
      <xdr:row>36</xdr:row>
      <xdr:rowOff>134938</xdr:rowOff>
    </xdr:from>
    <xdr:to>
      <xdr:col>31</xdr:col>
      <xdr:colOff>497418</xdr:colOff>
      <xdr:row>47</xdr:row>
      <xdr:rowOff>129647</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1183903</xdr:colOff>
      <xdr:row>26</xdr:row>
      <xdr:rowOff>177672</xdr:rowOff>
    </xdr:from>
    <xdr:to>
      <xdr:col>10</xdr:col>
      <xdr:colOff>470647</xdr:colOff>
      <xdr:row>44</xdr:row>
      <xdr:rowOff>10233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558057</xdr:colOff>
      <xdr:row>0</xdr:row>
      <xdr:rowOff>0</xdr:rowOff>
    </xdr:from>
    <xdr:to>
      <xdr:col>4</xdr:col>
      <xdr:colOff>394939</xdr:colOff>
      <xdr:row>1</xdr:row>
      <xdr:rowOff>278689</xdr:rowOff>
    </xdr:to>
    <xdr:sp macro="" textlink="">
      <xdr:nvSpPr>
        <xdr:cNvPr id="37" name="Rounded Rectangle 36">
          <a:hlinkClick xmlns:r="http://schemas.openxmlformats.org/officeDocument/2006/relationships" r:id="rId6"/>
        </xdr:cNvPr>
        <xdr:cNvSpPr/>
      </xdr:nvSpPr>
      <xdr:spPr>
        <a:xfrm>
          <a:off x="2068118" y="0"/>
          <a:ext cx="127724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139390</xdr:colOff>
      <xdr:row>0</xdr:row>
      <xdr:rowOff>11616</xdr:rowOff>
    </xdr:from>
    <xdr:to>
      <xdr:col>1</xdr:col>
      <xdr:colOff>430028</xdr:colOff>
      <xdr:row>1</xdr:row>
      <xdr:rowOff>290305</xdr:rowOff>
    </xdr:to>
    <xdr:sp macro="" textlink="">
      <xdr:nvSpPr>
        <xdr:cNvPr id="38" name="Rounded Rectangle 37">
          <a:hlinkClick xmlns:r="http://schemas.openxmlformats.org/officeDocument/2006/relationships" r:id="rId7"/>
        </xdr:cNvPr>
        <xdr:cNvSpPr/>
      </xdr:nvSpPr>
      <xdr:spPr>
        <a:xfrm>
          <a:off x="139390" y="11616"/>
          <a:ext cx="108051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474259</xdr:colOff>
      <xdr:row>0</xdr:row>
      <xdr:rowOff>11616</xdr:rowOff>
    </xdr:from>
    <xdr:to>
      <xdr:col>9</xdr:col>
      <xdr:colOff>290396</xdr:colOff>
      <xdr:row>1</xdr:row>
      <xdr:rowOff>290305</xdr:rowOff>
    </xdr:to>
    <xdr:sp macro="" textlink="">
      <xdr:nvSpPr>
        <xdr:cNvPr id="39" name="Rounded Rectangle 38">
          <a:hlinkClick xmlns:r="http://schemas.openxmlformats.org/officeDocument/2006/relationships" r:id="rId8"/>
        </xdr:cNvPr>
        <xdr:cNvSpPr/>
      </xdr:nvSpPr>
      <xdr:spPr>
        <a:xfrm>
          <a:off x="6131180" y="11616"/>
          <a:ext cx="186052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189757</xdr:colOff>
      <xdr:row>0</xdr:row>
      <xdr:rowOff>11616</xdr:rowOff>
    </xdr:from>
    <xdr:to>
      <xdr:col>6</xdr:col>
      <xdr:colOff>874840</xdr:colOff>
      <xdr:row>1</xdr:row>
      <xdr:rowOff>290305</xdr:rowOff>
    </xdr:to>
    <xdr:sp macro="" textlink="">
      <xdr:nvSpPr>
        <xdr:cNvPr id="40" name="Rounded Rectangle 39">
          <a:hlinkClick xmlns:r="http://schemas.openxmlformats.org/officeDocument/2006/relationships" r:id="rId9"/>
        </xdr:cNvPr>
        <xdr:cNvSpPr/>
      </xdr:nvSpPr>
      <xdr:spPr>
        <a:xfrm>
          <a:off x="3802287" y="11616"/>
          <a:ext cx="148657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34019</xdr:colOff>
      <xdr:row>0</xdr:row>
      <xdr:rowOff>0</xdr:rowOff>
    </xdr:from>
    <xdr:to>
      <xdr:col>11</xdr:col>
      <xdr:colOff>394352</xdr:colOff>
      <xdr:row>1</xdr:row>
      <xdr:rowOff>278689</xdr:rowOff>
    </xdr:to>
    <xdr:sp macro="" textlink="">
      <xdr:nvSpPr>
        <xdr:cNvPr id="41" name="Rounded Rectangle 40">
          <a:hlinkClick xmlns:r="http://schemas.openxmlformats.org/officeDocument/2006/relationships" r:id="rId10"/>
        </xdr:cNvPr>
        <xdr:cNvSpPr/>
      </xdr:nvSpPr>
      <xdr:spPr>
        <a:xfrm>
          <a:off x="8850452" y="0"/>
          <a:ext cx="145222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12</xdr:col>
      <xdr:colOff>408214</xdr:colOff>
      <xdr:row>4</xdr:row>
      <xdr:rowOff>100429</xdr:rowOff>
    </xdr:from>
    <xdr:to>
      <xdr:col>16</xdr:col>
      <xdr:colOff>165653</xdr:colOff>
      <xdr:row>5</xdr:row>
      <xdr:rowOff>41979</xdr:rowOff>
    </xdr:to>
    <xdr:sp macro="" textlink="">
      <xdr:nvSpPr>
        <xdr:cNvPr id="35" name="TextBox 1"/>
        <xdr:cNvSpPr txBox="1">
          <a:spLocks/>
        </xdr:cNvSpPr>
      </xdr:nvSpPr>
      <xdr:spPr>
        <a:xfrm>
          <a:off x="11334750" y="1297858"/>
          <a:ext cx="2506082" cy="404192"/>
        </a:xfrm>
        <a:prstGeom prst="rect">
          <a:avLst/>
        </a:prstGeom>
        <a:noFill/>
        <a:ln>
          <a:noFill/>
        </a:ln>
        <a:effectLst>
          <a:outerShdw blurRad="50800" dist="38100" dir="2700000" algn="tl" rotWithShape="0">
            <a:prstClr val="black">
              <a:alpha val="40000"/>
            </a:prstClr>
          </a:outerShdw>
        </a:effectLst>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b="1" baseline="0">
              <a:latin typeface="+mn-lt"/>
            </a:rPr>
            <a:t>Rakhine State</a:t>
          </a:r>
        </a:p>
        <a:p>
          <a:pPr algn="ctr"/>
          <a:r>
            <a:rPr lang="en-GB" sz="1200" b="1" baseline="0">
              <a:latin typeface="+mn-lt"/>
            </a:rPr>
            <a:t># of IDPs by Township</a:t>
          </a:r>
          <a:endParaRPr lang="en-GB" sz="1200" b="1">
            <a:latin typeface="+mn-lt"/>
          </a:endParaRPr>
        </a:p>
      </xdr:txBody>
    </xdr:sp>
    <xdr:clientData/>
  </xdr:twoCellAnchor>
  <xdr:twoCellAnchor>
    <xdr:from>
      <xdr:col>1</xdr:col>
      <xdr:colOff>522993</xdr:colOff>
      <xdr:row>8</xdr:row>
      <xdr:rowOff>82826</xdr:rowOff>
    </xdr:from>
    <xdr:to>
      <xdr:col>6</xdr:col>
      <xdr:colOff>1106568</xdr:colOff>
      <xdr:row>28</xdr:row>
      <xdr:rowOff>122465</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454557</xdr:colOff>
      <xdr:row>29</xdr:row>
      <xdr:rowOff>149677</xdr:rowOff>
    </xdr:from>
    <xdr:to>
      <xdr:col>11</xdr:col>
      <xdr:colOff>884465</xdr:colOff>
      <xdr:row>43</xdr:row>
      <xdr:rowOff>27213</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55218</xdr:colOff>
      <xdr:row>28</xdr:row>
      <xdr:rowOff>101307</xdr:rowOff>
    </xdr:from>
    <xdr:to>
      <xdr:col>6</xdr:col>
      <xdr:colOff>930904</xdr:colOff>
      <xdr:row>44</xdr:row>
      <xdr:rowOff>147396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326571</xdr:colOff>
      <xdr:row>26</xdr:row>
      <xdr:rowOff>68036</xdr:rowOff>
    </xdr:from>
    <xdr:to>
      <xdr:col>11</xdr:col>
      <xdr:colOff>707571</xdr:colOff>
      <xdr:row>28</xdr:row>
      <xdr:rowOff>54429</xdr:rowOff>
    </xdr:to>
    <xdr:sp macro="" textlink="">
      <xdr:nvSpPr>
        <xdr:cNvPr id="8" name="TextBox 7"/>
        <xdr:cNvSpPr txBox="1"/>
      </xdr:nvSpPr>
      <xdr:spPr>
        <a:xfrm>
          <a:off x="8028214" y="7048500"/>
          <a:ext cx="2598964"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CCCM Coverage</a:t>
          </a:r>
        </a:p>
      </xdr:txBody>
    </xdr:sp>
    <xdr:clientData/>
  </xdr:twoCellAnchor>
  <xdr:twoCellAnchor>
    <xdr:from>
      <xdr:col>0</xdr:col>
      <xdr:colOff>62753</xdr:colOff>
      <xdr:row>8</xdr:row>
      <xdr:rowOff>54429</xdr:rowOff>
    </xdr:from>
    <xdr:to>
      <xdr:col>2</xdr:col>
      <xdr:colOff>0</xdr:colOff>
      <xdr:row>25</xdr:row>
      <xdr:rowOff>13606</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16</xdr:col>
      <xdr:colOff>504825</xdr:colOff>
      <xdr:row>9</xdr:row>
      <xdr:rowOff>28575</xdr:rowOff>
    </xdr:from>
    <xdr:ext cx="184731" cy="264560"/>
    <xdr:sp macro="" textlink="">
      <xdr:nvSpPr>
        <xdr:cNvPr id="44" name="TextBox 43"/>
        <xdr:cNvSpPr txBox="1"/>
      </xdr:nvSpPr>
      <xdr:spPr>
        <a:xfrm>
          <a:off x="140303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xdr:col>
      <xdr:colOff>591029</xdr:colOff>
      <xdr:row>8</xdr:row>
      <xdr:rowOff>69218</xdr:rowOff>
    </xdr:from>
    <xdr:to>
      <xdr:col>6</xdr:col>
      <xdr:colOff>1174604</xdr:colOff>
      <xdr:row>28</xdr:row>
      <xdr:rowOff>122464</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40822</xdr:colOff>
      <xdr:row>45</xdr:row>
      <xdr:rowOff>163286</xdr:rowOff>
    </xdr:from>
    <xdr:to>
      <xdr:col>16</xdr:col>
      <xdr:colOff>312163</xdr:colOff>
      <xdr:row>47</xdr:row>
      <xdr:rowOff>171285</xdr:rowOff>
    </xdr:to>
    <xdr:sp macro="" textlink="">
      <xdr:nvSpPr>
        <xdr:cNvPr id="42" name="TextBox 41"/>
        <xdr:cNvSpPr txBox="1">
          <a:spLocks/>
        </xdr:cNvSpPr>
      </xdr:nvSpPr>
      <xdr:spPr>
        <a:xfrm>
          <a:off x="5687786" y="10640786"/>
          <a:ext cx="829955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contact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650875</xdr:colOff>
      <xdr:row>46</xdr:row>
      <xdr:rowOff>174131</xdr:rowOff>
    </xdr:to>
    <xdr:pic>
      <xdr:nvPicPr>
        <xdr:cNvPr id="293" name="Rakhine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61188" cy="8960944"/>
        </a:xfrm>
        <a:prstGeom prst="rect">
          <a:avLst/>
        </a:prstGeom>
      </xdr:spPr>
    </xdr:pic>
    <xdr:clientData/>
  </xdr:twoCellAnchor>
  <xdr:twoCellAnchor>
    <xdr:from>
      <xdr:col>20</xdr:col>
      <xdr:colOff>212364</xdr:colOff>
      <xdr:row>20</xdr:row>
      <xdr:rowOff>60868</xdr:rowOff>
    </xdr:from>
    <xdr:to>
      <xdr:col>22</xdr:col>
      <xdr:colOff>245967</xdr:colOff>
      <xdr:row>25</xdr:row>
      <xdr:rowOff>180257</xdr:rowOff>
    </xdr:to>
    <xdr:grpSp>
      <xdr:nvGrpSpPr>
        <xdr:cNvPr id="3" name="Group 2"/>
        <xdr:cNvGrpSpPr/>
      </xdr:nvGrpSpPr>
      <xdr:grpSpPr>
        <a:xfrm>
          <a:off x="10535083" y="3894681"/>
          <a:ext cx="1450447" cy="10718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7" name="TextBox 6"/>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xdr:from>
      <xdr:col>23</xdr:col>
      <xdr:colOff>231331</xdr:colOff>
      <xdr:row>21</xdr:row>
      <xdr:rowOff>61129</xdr:rowOff>
    </xdr:from>
    <xdr:to>
      <xdr:col>25</xdr:col>
      <xdr:colOff>263081</xdr:colOff>
      <xdr:row>23</xdr:row>
      <xdr:rowOff>61129</xdr:rowOff>
    </xdr:to>
    <xdr:grpSp>
      <xdr:nvGrpSpPr>
        <xdr:cNvPr id="8" name="Location"/>
        <xdr:cNvGrpSpPr/>
      </xdr:nvGrpSpPr>
      <xdr:grpSpPr>
        <a:xfrm>
          <a:off x="12590019" y="4085442"/>
          <a:ext cx="1270000" cy="381000"/>
          <a:chOff x="12380951" y="1890667"/>
          <a:chExt cx="1893717" cy="1160034"/>
        </a:xfrm>
      </xdr:grpSpPr>
      <xdr:sp macro="" textlink="">
        <xdr:nvSpPr>
          <xdr:cNvPr id="9"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0" name="Pop"/>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1" name="N_Camp"/>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 name="Cluster"/>
          <xdr:cNvGrpSpPr/>
        </xdr:nvGrpSpPr>
        <xdr:grpSpPr>
          <a:xfrm>
            <a:off x="12477748" y="2348604"/>
            <a:ext cx="1732609" cy="380242"/>
            <a:chOff x="12477748" y="2348604"/>
            <a:chExt cx="1732609" cy="380242"/>
          </a:xfrm>
        </xdr:grpSpPr>
        <xdr:grpSp>
          <xdr:nvGrpSpPr>
            <xdr:cNvPr id="14" name="Shelter_G"/>
            <xdr:cNvGrpSpPr/>
          </xdr:nvGrpSpPr>
          <xdr:grpSpPr>
            <a:xfrm>
              <a:off x="12477748" y="2367654"/>
              <a:ext cx="332972" cy="361192"/>
              <a:chOff x="8585625" y="4782769"/>
              <a:chExt cx="147154" cy="166659"/>
            </a:xfrm>
          </xdr:grpSpPr>
          <xdr:pic>
            <xdr:nvPicPr>
              <xdr:cNvPr id="18"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5" name="NFI_G"/>
            <xdr:cNvGrpSpPr/>
          </xdr:nvGrpSpPr>
          <xdr:grpSpPr>
            <a:xfrm>
              <a:off x="13877376" y="2348604"/>
              <a:ext cx="332981" cy="361192"/>
              <a:chOff x="8250078" y="5375644"/>
              <a:chExt cx="147158" cy="166659"/>
            </a:xfrm>
          </xdr:grpSpPr>
          <xdr:pic>
            <xdr:nvPicPr>
              <xdr:cNvPr id="16"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7"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571500</xdr:colOff>
      <xdr:row>2</xdr:row>
      <xdr:rowOff>109274</xdr:rowOff>
    </xdr:from>
    <xdr:to>
      <xdr:col>18</xdr:col>
      <xdr:colOff>47626</xdr:colOff>
      <xdr:row>8</xdr:row>
      <xdr:rowOff>54505</xdr:rowOff>
    </xdr:to>
    <xdr:grpSp>
      <xdr:nvGrpSpPr>
        <xdr:cNvPr id="20" name="Group 19"/>
        <xdr:cNvGrpSpPr/>
      </xdr:nvGrpSpPr>
      <xdr:grpSpPr>
        <a:xfrm>
          <a:off x="6881813" y="502180"/>
          <a:ext cx="1559719" cy="1088231"/>
          <a:chOff x="8172450" y="9248775"/>
          <a:chExt cx="2009775" cy="1362075"/>
        </a:xfrm>
      </xdr:grpSpPr>
      <xdr:sp macro="" textlink="">
        <xdr:nvSpPr>
          <xdr:cNvPr id="21" name="Rounded Rectangle 20"/>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22"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3"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4"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3489" name="Label 1" hidden="1">
                <a:extLst>
                  <a:ext uri="{63B3BB69-23CF-44E3-9099-C40C66FF867C}">
                    <a14:compatExt spid="_x0000_s63489"/>
                  </a:ext>
                </a:extLst>
              </xdr:cNvPr>
              <xdr:cNvSpPr/>
            </xdr:nvSpPr>
            <xdr:spPr bwMode="auto">
              <a:xfrm>
                <a:off x="8286749"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0" name="Label 2" hidden="1">
                <a:extLst>
                  <a:ext uri="{63B3BB69-23CF-44E3-9099-C40C66FF867C}">
                    <a14:compatExt spid="_x0000_s6349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1" name="Label 3" hidden="1">
                <a:extLst>
                  <a:ext uri="{63B3BB69-23CF-44E3-9099-C40C66FF867C}">
                    <a14:compatExt spid="_x0000_s63491"/>
                  </a:ext>
                </a:extLst>
              </xdr:cNvPr>
              <xdr:cNvSpPr/>
            </xdr:nvSpPr>
            <xdr:spPr bwMode="auto">
              <a:xfrm>
                <a:off x="9553575" y="10325102"/>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2" name="Label 4" hidden="1">
                <a:extLst>
                  <a:ext uri="{63B3BB69-23CF-44E3-9099-C40C66FF867C}">
                    <a14:compatExt spid="_x0000_s63492"/>
                  </a:ext>
                </a:extLst>
              </xdr:cNvPr>
              <xdr:cNvSpPr/>
            </xdr:nvSpPr>
            <xdr:spPr bwMode="auto">
              <a:xfrm>
                <a:off x="8696325" y="9334500"/>
                <a:ext cx="1301798" cy="179866"/>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25</xdr:col>
          <xdr:colOff>85725</xdr:colOff>
          <xdr:row>16</xdr:row>
          <xdr:rowOff>142875</xdr:rowOff>
        </xdr:from>
        <xdr:to>
          <xdr:col>27</xdr:col>
          <xdr:colOff>390525</xdr:colOff>
          <xdr:row>19</xdr:row>
          <xdr:rowOff>38100</xdr:rowOff>
        </xdr:to>
        <xdr:sp macro="" textlink="">
          <xdr:nvSpPr>
            <xdr:cNvPr id="63494" name="CommandButton1" hidden="1">
              <a:extLst>
                <a:ext uri="{63B3BB69-23CF-44E3-9099-C40C66FF867C}">
                  <a14:compatExt spid="_x0000_s6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487338</xdr:colOff>
      <xdr:row>20</xdr:row>
      <xdr:rowOff>85877</xdr:rowOff>
    </xdr:from>
    <xdr:to>
      <xdr:col>30</xdr:col>
      <xdr:colOff>107975</xdr:colOff>
      <xdr:row>28</xdr:row>
      <xdr:rowOff>80370</xdr:rowOff>
    </xdr:to>
    <xdr:grpSp>
      <xdr:nvGrpSpPr>
        <xdr:cNvPr id="2011" name="Total_G"/>
        <xdr:cNvGrpSpPr/>
      </xdr:nvGrpSpPr>
      <xdr:grpSpPr>
        <a:xfrm>
          <a:off x="15322526" y="3919690"/>
          <a:ext cx="1478012" cy="1518493"/>
          <a:chOff x="12187532" y="262247"/>
          <a:chExt cx="2280553" cy="4674120"/>
        </a:xfrm>
      </xdr:grpSpPr>
      <xdr:sp macro="" textlink="">
        <xdr:nvSpPr>
          <xdr:cNvPr id="2012" name="Oval"/>
          <xdr:cNvSpPr/>
        </xdr:nvSpPr>
        <xdr:spPr>
          <a:xfrm>
            <a:off x="12187532" y="262247"/>
            <a:ext cx="2280553" cy="4674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013" name="Pop" hidden="1"/>
          <xdr:cNvSpPr txBox="1"/>
        </xdr:nvSpPr>
        <xdr:spPr>
          <a:xfrm>
            <a:off x="12959414" y="2384566"/>
            <a:ext cx="708965" cy="92841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BDADF09-6339-49CC-B118-6A577685B46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014" name="N_Camp" hidden="1"/>
          <xdr:cNvSpPr txBox="1"/>
        </xdr:nvSpPr>
        <xdr:spPr>
          <a:xfrm>
            <a:off x="13337142" y="2665141"/>
            <a:ext cx="836058" cy="38407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38033F3-1616-43C8-A7AD-E8EFF7DC76AD}" type="TxLink">
              <a:rPr lang="en-US" sz="600" i="1">
                <a:solidFill>
                  <a:schemeClr val="tx1"/>
                </a:solidFill>
                <a:latin typeface="Arial" pitchFamily="34" charset="0"/>
                <a:cs typeface="Arial" pitchFamily="34" charset="0"/>
              </a:rPr>
              <a:pPr algn="r"/>
              <a:t>#REF!</a:t>
            </a:fld>
            <a:endParaRPr lang="en-US" sz="600" i="1">
              <a:solidFill>
                <a:schemeClr val="tx1"/>
              </a:solidFill>
              <a:latin typeface="Arial" pitchFamily="34" charset="0"/>
              <a:cs typeface="Arial" pitchFamily="34" charset="0"/>
            </a:endParaRPr>
          </a:p>
        </xdr:txBody>
      </xdr:sp>
      <xdr:sp macro="" textlink="U13">
        <xdr:nvSpPr>
          <xdr:cNvPr id="2015" name="Site"/>
          <xdr:cNvSpPr txBox="1"/>
        </xdr:nvSpPr>
        <xdr:spPr>
          <a:xfrm>
            <a:off x="12380952" y="1892862"/>
            <a:ext cx="1893717" cy="56584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92B11AC-AFBC-4A27-BE24-F63265E73D3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6" name="Cluster"/>
          <xdr:cNvGrpSpPr/>
        </xdr:nvGrpSpPr>
        <xdr:grpSpPr>
          <a:xfrm>
            <a:off x="12477748" y="2348604"/>
            <a:ext cx="1732609" cy="380242"/>
            <a:chOff x="12477748" y="2348604"/>
            <a:chExt cx="1732609" cy="380242"/>
          </a:xfrm>
        </xdr:grpSpPr>
        <xdr:grpSp>
          <xdr:nvGrpSpPr>
            <xdr:cNvPr id="2017" name="Shelter_G"/>
            <xdr:cNvGrpSpPr/>
          </xdr:nvGrpSpPr>
          <xdr:grpSpPr>
            <a:xfrm>
              <a:off x="12477748" y="2367654"/>
              <a:ext cx="332972" cy="361192"/>
              <a:chOff x="8585625" y="4782769"/>
              <a:chExt cx="147154" cy="166659"/>
            </a:xfrm>
          </xdr:grpSpPr>
          <xdr:pic>
            <xdr:nvPicPr>
              <xdr:cNvPr id="20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8" name="NFI_G"/>
            <xdr:cNvGrpSpPr/>
          </xdr:nvGrpSpPr>
          <xdr:grpSpPr>
            <a:xfrm>
              <a:off x="13877376" y="2348604"/>
              <a:ext cx="332981" cy="361192"/>
              <a:chOff x="8250078" y="5375644"/>
              <a:chExt cx="147158" cy="166659"/>
            </a:xfrm>
          </xdr:grpSpPr>
          <xdr:pic>
            <xdr:nvPicPr>
              <xdr:cNvPr id="20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327025</xdr:colOff>
      <xdr:row>34</xdr:row>
      <xdr:rowOff>120650</xdr:rowOff>
    </xdr:from>
    <xdr:to>
      <xdr:col>4</xdr:col>
      <xdr:colOff>334962</xdr:colOff>
      <xdr:row>36</xdr:row>
      <xdr:rowOff>156316</xdr:rowOff>
    </xdr:to>
    <xdr:grpSp>
      <xdr:nvGrpSpPr>
        <xdr:cNvPr id="439" name="Kyauk_Phyu_G"/>
        <xdr:cNvGrpSpPr/>
      </xdr:nvGrpSpPr>
      <xdr:grpSpPr>
        <a:xfrm>
          <a:off x="4113213" y="6621463"/>
          <a:ext cx="1269999" cy="416666"/>
          <a:chOff x="12380951" y="1882169"/>
          <a:chExt cx="1893717" cy="1268627"/>
        </a:xfrm>
      </xdr:grpSpPr>
      <xdr:sp macro="" textlink="">
        <xdr:nvSpPr>
          <xdr:cNvPr id="440" name="Oval"/>
          <xdr:cNvSpPr/>
        </xdr:nvSpPr>
        <xdr:spPr>
          <a:xfrm>
            <a:off x="13208450" y="2271849"/>
            <a:ext cx="238718" cy="48926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3">
        <xdr:nvSpPr>
          <xdr:cNvPr id="44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29DF8C3-B379-4084-8FB1-961531F908FC}"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1050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44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69F55CA-638F-4C49-80BC-410CB57373B2}"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3">
        <xdr:nvSpPr>
          <xdr:cNvPr id="44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6A40EF0-8267-45ED-8ED6-355151E49BF0}"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Kyaukpyu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4" name="Cluster"/>
          <xdr:cNvGrpSpPr/>
        </xdr:nvGrpSpPr>
        <xdr:grpSpPr>
          <a:xfrm>
            <a:off x="12477748" y="2348604"/>
            <a:ext cx="1732609" cy="380242"/>
            <a:chOff x="12477748" y="2348604"/>
            <a:chExt cx="1732609" cy="380242"/>
          </a:xfrm>
        </xdr:grpSpPr>
        <xdr:grpSp>
          <xdr:nvGrpSpPr>
            <xdr:cNvPr id="445" name="Shelter_G"/>
            <xdr:cNvGrpSpPr/>
          </xdr:nvGrpSpPr>
          <xdr:grpSpPr>
            <a:xfrm>
              <a:off x="12477748" y="2367654"/>
              <a:ext cx="332972" cy="361192"/>
              <a:chOff x="8585625" y="4782769"/>
              <a:chExt cx="147154" cy="166659"/>
            </a:xfrm>
          </xdr:grpSpPr>
          <xdr:pic>
            <xdr:nvPicPr>
              <xdr:cNvPr id="44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50"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46" name="NFI_G"/>
            <xdr:cNvGrpSpPr/>
          </xdr:nvGrpSpPr>
          <xdr:grpSpPr>
            <a:xfrm>
              <a:off x="13877376" y="2348604"/>
              <a:ext cx="332981" cy="361192"/>
              <a:chOff x="8250078" y="5375644"/>
              <a:chExt cx="147158" cy="166659"/>
            </a:xfrm>
          </xdr:grpSpPr>
          <xdr:pic>
            <xdr:nvPicPr>
              <xdr:cNvPr id="44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1133475</xdr:colOff>
      <xdr:row>9</xdr:row>
      <xdr:rowOff>66675</xdr:rowOff>
    </xdr:from>
    <xdr:to>
      <xdr:col>2</xdr:col>
      <xdr:colOff>1141412</xdr:colOff>
      <xdr:row>11</xdr:row>
      <xdr:rowOff>102341</xdr:rowOff>
    </xdr:to>
    <xdr:grpSp>
      <xdr:nvGrpSpPr>
        <xdr:cNvPr id="451" name="Kyauktaw_G"/>
        <xdr:cNvGrpSpPr/>
      </xdr:nvGrpSpPr>
      <xdr:grpSpPr>
        <a:xfrm>
          <a:off x="2395538" y="1793081"/>
          <a:ext cx="1269999" cy="416666"/>
          <a:chOff x="12380951" y="1882169"/>
          <a:chExt cx="1893717" cy="1268627"/>
        </a:xfrm>
      </xdr:grpSpPr>
      <xdr:sp macro="" textlink="">
        <xdr:nvSpPr>
          <xdr:cNvPr id="452" name="Oval"/>
          <xdr:cNvSpPr/>
        </xdr:nvSpPr>
        <xdr:spPr>
          <a:xfrm>
            <a:off x="13259070" y="2375598"/>
            <a:ext cx="137480" cy="2817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4">
        <xdr:nvSpPr>
          <xdr:cNvPr id="453"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46F2426-AA7A-4905-A5C5-03CB7A9FA88E}"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546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454"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C363D1-33C1-43DA-A633-9FE67879EFBB}"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4">
        <xdr:nvSpPr>
          <xdr:cNvPr id="455"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F01D071-5BB4-4F68-8595-BE3C356B92F8}"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6" name="Cluster"/>
          <xdr:cNvGrpSpPr/>
        </xdr:nvGrpSpPr>
        <xdr:grpSpPr>
          <a:xfrm>
            <a:off x="12477748" y="2348604"/>
            <a:ext cx="1732609" cy="380242"/>
            <a:chOff x="12477748" y="2348604"/>
            <a:chExt cx="1732609" cy="380242"/>
          </a:xfrm>
        </xdr:grpSpPr>
        <xdr:grpSp>
          <xdr:nvGrpSpPr>
            <xdr:cNvPr id="457" name="Shelter_G"/>
            <xdr:cNvGrpSpPr/>
          </xdr:nvGrpSpPr>
          <xdr:grpSpPr>
            <a:xfrm>
              <a:off x="12477748" y="2367654"/>
              <a:ext cx="332972" cy="361192"/>
              <a:chOff x="8585625" y="4782769"/>
              <a:chExt cx="147154" cy="166659"/>
            </a:xfrm>
          </xdr:grpSpPr>
          <xdr:pic>
            <xdr:nvPicPr>
              <xdr:cNvPr id="46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58" name="NFI_G"/>
            <xdr:cNvGrpSpPr/>
          </xdr:nvGrpSpPr>
          <xdr:grpSpPr>
            <a:xfrm>
              <a:off x="13877376" y="2348604"/>
              <a:ext cx="332981" cy="361192"/>
              <a:chOff x="8250078" y="5375644"/>
              <a:chExt cx="147158" cy="166659"/>
            </a:xfrm>
          </xdr:grpSpPr>
          <xdr:pic>
            <xdr:nvPicPr>
              <xdr:cNvPr id="45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6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0</xdr:col>
      <xdr:colOff>317500</xdr:colOff>
      <xdr:row>8</xdr:row>
      <xdr:rowOff>79375</xdr:rowOff>
    </xdr:from>
    <xdr:to>
      <xdr:col>1</xdr:col>
      <xdr:colOff>325437</xdr:colOff>
      <xdr:row>10</xdr:row>
      <xdr:rowOff>115041</xdr:rowOff>
    </xdr:to>
    <xdr:grpSp>
      <xdr:nvGrpSpPr>
        <xdr:cNvPr id="463" name="Maungdaw_G"/>
        <xdr:cNvGrpSpPr/>
      </xdr:nvGrpSpPr>
      <xdr:grpSpPr>
        <a:xfrm>
          <a:off x="317500" y="1615281"/>
          <a:ext cx="1270000" cy="416666"/>
          <a:chOff x="12380951" y="1882169"/>
          <a:chExt cx="1893717" cy="1268627"/>
        </a:xfrm>
      </xdr:grpSpPr>
      <xdr:sp macro="" textlink="">
        <xdr:nvSpPr>
          <xdr:cNvPr id="464" name="Oval"/>
          <xdr:cNvSpPr/>
        </xdr:nvSpPr>
        <xdr:spPr>
          <a:xfrm>
            <a:off x="13216195" y="2287721"/>
            <a:ext cx="223230" cy="4575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5">
        <xdr:nvSpPr>
          <xdr:cNvPr id="46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1D8791A-B58B-4743-89DD-3572FB852D89}"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46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26B1596-743B-4B8A-BE79-8F8AFDF2EC92}"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5">
        <xdr:nvSpPr>
          <xdr:cNvPr id="46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5557B6B-DF59-4884-B0BB-B8638866431A}"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8" name="Cluster"/>
          <xdr:cNvGrpSpPr/>
        </xdr:nvGrpSpPr>
        <xdr:grpSpPr>
          <a:xfrm>
            <a:off x="12477748" y="2348604"/>
            <a:ext cx="1732609" cy="380242"/>
            <a:chOff x="12477748" y="2348604"/>
            <a:chExt cx="1732609" cy="380242"/>
          </a:xfrm>
        </xdr:grpSpPr>
        <xdr:grpSp>
          <xdr:nvGrpSpPr>
            <xdr:cNvPr id="469" name="Shelter_G"/>
            <xdr:cNvGrpSpPr/>
          </xdr:nvGrpSpPr>
          <xdr:grpSpPr>
            <a:xfrm>
              <a:off x="12477748" y="2367654"/>
              <a:ext cx="332972" cy="361192"/>
              <a:chOff x="8585625" y="4782769"/>
              <a:chExt cx="147154" cy="166659"/>
            </a:xfrm>
          </xdr:grpSpPr>
          <xdr:pic>
            <xdr:nvPicPr>
              <xdr:cNvPr id="47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4"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70" name="NFI_G"/>
            <xdr:cNvGrpSpPr/>
          </xdr:nvGrpSpPr>
          <xdr:grpSpPr>
            <a:xfrm>
              <a:off x="13877376" y="2348604"/>
              <a:ext cx="332981" cy="361192"/>
              <a:chOff x="8250078" y="5375644"/>
              <a:chExt cx="147158" cy="166659"/>
            </a:xfrm>
          </xdr:grpSpPr>
          <xdr:pic>
            <xdr:nvPicPr>
              <xdr:cNvPr id="47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174625</xdr:colOff>
      <xdr:row>24</xdr:row>
      <xdr:rowOff>171450</xdr:rowOff>
    </xdr:from>
    <xdr:to>
      <xdr:col>4</xdr:col>
      <xdr:colOff>182562</xdr:colOff>
      <xdr:row>27</xdr:row>
      <xdr:rowOff>16616</xdr:rowOff>
    </xdr:to>
    <xdr:grpSp>
      <xdr:nvGrpSpPr>
        <xdr:cNvPr id="475" name="Myebon_G"/>
        <xdr:cNvGrpSpPr/>
      </xdr:nvGrpSpPr>
      <xdr:grpSpPr>
        <a:xfrm>
          <a:off x="3960813" y="4767263"/>
          <a:ext cx="1269999" cy="416666"/>
          <a:chOff x="12380951" y="1882169"/>
          <a:chExt cx="1893717" cy="1268627"/>
        </a:xfrm>
      </xdr:grpSpPr>
      <xdr:sp macro="" textlink="">
        <xdr:nvSpPr>
          <xdr:cNvPr id="476" name="Oval"/>
          <xdr:cNvSpPr/>
        </xdr:nvSpPr>
        <xdr:spPr>
          <a:xfrm>
            <a:off x="13166669" y="2186217"/>
            <a:ext cx="322279" cy="66052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6">
        <xdr:nvSpPr>
          <xdr:cNvPr id="47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626C805-2D78-4CB0-B449-01AB1E192C57}"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2606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47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BFC235A-7040-430E-B7EA-56C87E5F5430}"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6">
        <xdr:nvSpPr>
          <xdr:cNvPr id="47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6904F4-07D0-46C5-BDDB-C0DD8E1E4B9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Myebon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80" name="Cluster"/>
          <xdr:cNvGrpSpPr/>
        </xdr:nvGrpSpPr>
        <xdr:grpSpPr>
          <a:xfrm>
            <a:off x="12477748" y="2348604"/>
            <a:ext cx="1732609" cy="380242"/>
            <a:chOff x="12477748" y="2348604"/>
            <a:chExt cx="1732609" cy="380242"/>
          </a:xfrm>
        </xdr:grpSpPr>
        <xdr:grpSp>
          <xdr:nvGrpSpPr>
            <xdr:cNvPr id="481" name="Shelter_G"/>
            <xdr:cNvGrpSpPr/>
          </xdr:nvGrpSpPr>
          <xdr:grpSpPr>
            <a:xfrm>
              <a:off x="12477748" y="2367654"/>
              <a:ext cx="332972" cy="361192"/>
              <a:chOff x="8585625" y="4782769"/>
              <a:chExt cx="147154" cy="166659"/>
            </a:xfrm>
          </xdr:grpSpPr>
          <xdr:pic>
            <xdr:nvPicPr>
              <xdr:cNvPr id="48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6"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82" name="NFI_G"/>
            <xdr:cNvGrpSpPr/>
          </xdr:nvGrpSpPr>
          <xdr:grpSpPr>
            <a:xfrm>
              <a:off x="13877376" y="2348604"/>
              <a:ext cx="332981" cy="361192"/>
              <a:chOff x="8250078" y="5375644"/>
              <a:chExt cx="147158" cy="166659"/>
            </a:xfrm>
          </xdr:grpSpPr>
          <xdr:pic>
            <xdr:nvPicPr>
              <xdr:cNvPr id="48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73025</xdr:colOff>
      <xdr:row>16</xdr:row>
      <xdr:rowOff>133350</xdr:rowOff>
    </xdr:from>
    <xdr:to>
      <xdr:col>4</xdr:col>
      <xdr:colOff>80962</xdr:colOff>
      <xdr:row>18</xdr:row>
      <xdr:rowOff>169016</xdr:rowOff>
    </xdr:to>
    <xdr:grpSp>
      <xdr:nvGrpSpPr>
        <xdr:cNvPr id="487" name="Minbya_G"/>
        <xdr:cNvGrpSpPr/>
      </xdr:nvGrpSpPr>
      <xdr:grpSpPr>
        <a:xfrm>
          <a:off x="3859213" y="3205163"/>
          <a:ext cx="1269999" cy="416666"/>
          <a:chOff x="12380951" y="1882169"/>
          <a:chExt cx="1893717" cy="1268627"/>
        </a:xfrm>
      </xdr:grpSpPr>
      <xdr:sp macro="" textlink="">
        <xdr:nvSpPr>
          <xdr:cNvPr id="488" name="Oval"/>
          <xdr:cNvSpPr/>
        </xdr:nvSpPr>
        <xdr:spPr>
          <a:xfrm>
            <a:off x="13327810"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7">
        <xdr:nvSpPr>
          <xdr:cNvPr id="489"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93D55BA-9090-4CAE-AEA4-2275539B1AEB}"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49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4E2801-28D8-4E48-B420-FE2558BB89DE}"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7">
        <xdr:nvSpPr>
          <xdr:cNvPr id="49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C2D883D-A984-4D62-B493-12DED44CFF8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2" name="Cluster"/>
          <xdr:cNvGrpSpPr/>
        </xdr:nvGrpSpPr>
        <xdr:grpSpPr>
          <a:xfrm>
            <a:off x="12477748" y="2348604"/>
            <a:ext cx="1732609" cy="380242"/>
            <a:chOff x="12477748" y="2348604"/>
            <a:chExt cx="1732609" cy="380242"/>
          </a:xfrm>
        </xdr:grpSpPr>
        <xdr:grpSp>
          <xdr:nvGrpSpPr>
            <xdr:cNvPr id="493" name="Shelter_G"/>
            <xdr:cNvGrpSpPr/>
          </xdr:nvGrpSpPr>
          <xdr:grpSpPr>
            <a:xfrm>
              <a:off x="12477748" y="2367654"/>
              <a:ext cx="332972" cy="361192"/>
              <a:chOff x="8585625" y="4782769"/>
              <a:chExt cx="147154" cy="166659"/>
            </a:xfrm>
          </xdr:grpSpPr>
          <xdr:pic>
            <xdr:nvPicPr>
              <xdr:cNvPr id="49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8"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94" name="NFI_G"/>
            <xdr:cNvGrpSpPr/>
          </xdr:nvGrpSpPr>
          <xdr:grpSpPr>
            <a:xfrm>
              <a:off x="13877376" y="2348604"/>
              <a:ext cx="332981" cy="361192"/>
              <a:chOff x="8250078" y="5375644"/>
              <a:chExt cx="147158" cy="166659"/>
            </a:xfrm>
          </xdr:grpSpPr>
          <xdr:pic>
            <xdr:nvPicPr>
              <xdr:cNvPr id="49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552450</xdr:colOff>
      <xdr:row>13</xdr:row>
      <xdr:rowOff>107950</xdr:rowOff>
    </xdr:from>
    <xdr:to>
      <xdr:col>3</xdr:col>
      <xdr:colOff>560387</xdr:colOff>
      <xdr:row>15</xdr:row>
      <xdr:rowOff>143616</xdr:rowOff>
    </xdr:to>
    <xdr:grpSp>
      <xdr:nvGrpSpPr>
        <xdr:cNvPr id="499" name="Mrauk_U_G"/>
        <xdr:cNvGrpSpPr/>
      </xdr:nvGrpSpPr>
      <xdr:grpSpPr>
        <a:xfrm>
          <a:off x="3076575" y="2608263"/>
          <a:ext cx="1270000" cy="416666"/>
          <a:chOff x="12380951" y="1882169"/>
          <a:chExt cx="1893717" cy="1268627"/>
        </a:xfrm>
      </xdr:grpSpPr>
      <xdr:sp macro="" textlink="">
        <xdr:nvSpPr>
          <xdr:cNvPr id="500" name="Oval"/>
          <xdr:cNvSpPr/>
        </xdr:nvSpPr>
        <xdr:spPr>
          <a:xfrm>
            <a:off x="13327809"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8">
        <xdr:nvSpPr>
          <xdr:cNvPr id="50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1181A58-A1BE-4665-8040-5D72E2FEF7C2}"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50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EA3D889-5A17-461D-BBAD-1F067D5FFB6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8">
        <xdr:nvSpPr>
          <xdr:cNvPr id="50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379F725-42A1-4ECB-BFBC-ADDCA815D4C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Mrauk-U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4" name="Cluster"/>
          <xdr:cNvGrpSpPr/>
        </xdr:nvGrpSpPr>
        <xdr:grpSpPr>
          <a:xfrm>
            <a:off x="12477748" y="2348604"/>
            <a:ext cx="1732609" cy="380242"/>
            <a:chOff x="12477748" y="2348604"/>
            <a:chExt cx="1732609" cy="380242"/>
          </a:xfrm>
        </xdr:grpSpPr>
        <xdr:grpSp>
          <xdr:nvGrpSpPr>
            <xdr:cNvPr id="505" name="Shelter_G"/>
            <xdr:cNvGrpSpPr/>
          </xdr:nvGrpSpPr>
          <xdr:grpSpPr>
            <a:xfrm>
              <a:off x="12477748" y="2367654"/>
              <a:ext cx="332972" cy="361192"/>
              <a:chOff x="8585625" y="4782769"/>
              <a:chExt cx="147154" cy="166659"/>
            </a:xfrm>
          </xdr:grpSpPr>
          <xdr:pic>
            <xdr:nvPicPr>
              <xdr:cNvPr id="50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1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06" name="NFI_G"/>
            <xdr:cNvGrpSpPr/>
          </xdr:nvGrpSpPr>
          <xdr:grpSpPr>
            <a:xfrm>
              <a:off x="13877376" y="2348604"/>
              <a:ext cx="332981" cy="361192"/>
              <a:chOff x="8250078" y="5375644"/>
              <a:chExt cx="147158" cy="166659"/>
            </a:xfrm>
          </xdr:grpSpPr>
          <xdr:pic>
            <xdr:nvPicPr>
              <xdr:cNvPr id="50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488950</xdr:colOff>
      <xdr:row>23</xdr:row>
      <xdr:rowOff>89799</xdr:rowOff>
    </xdr:from>
    <xdr:to>
      <xdr:col>3</xdr:col>
      <xdr:colOff>496887</xdr:colOff>
      <xdr:row>25</xdr:row>
      <xdr:rowOff>188469</xdr:rowOff>
    </xdr:to>
    <xdr:grpSp>
      <xdr:nvGrpSpPr>
        <xdr:cNvPr id="511" name="Pauktaw_G"/>
        <xdr:cNvGrpSpPr/>
      </xdr:nvGrpSpPr>
      <xdr:grpSpPr>
        <a:xfrm>
          <a:off x="3013075" y="4495112"/>
          <a:ext cx="1270000" cy="479670"/>
          <a:chOff x="12380951" y="1864578"/>
          <a:chExt cx="1893717" cy="1547955"/>
        </a:xfrm>
      </xdr:grpSpPr>
      <xdr:sp macro="" textlink="">
        <xdr:nvSpPr>
          <xdr:cNvPr id="512" name="Oval"/>
          <xdr:cNvSpPr/>
        </xdr:nvSpPr>
        <xdr:spPr>
          <a:xfrm>
            <a:off x="12985344" y="1929514"/>
            <a:ext cx="684932" cy="14038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9">
        <xdr:nvSpPr>
          <xdr:cNvPr id="513" name="Pop" hidden="1"/>
          <xdr:cNvSpPr txBox="1"/>
        </xdr:nvSpPr>
        <xdr:spPr>
          <a:xfrm>
            <a:off x="12959414" y="2285021"/>
            <a:ext cx="708964" cy="112751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5FE6B2C-9A66-43CF-9B57-7215F250C5E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21825</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514" name="N_Camp" hidden="1"/>
          <xdr:cNvSpPr txBox="1"/>
        </xdr:nvSpPr>
        <xdr:spPr>
          <a:xfrm>
            <a:off x="13337142" y="2545976"/>
            <a:ext cx="836058"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0AE3B-40F7-4260-AD82-C0364AEE6D0C}" type="TxLink">
              <a:rPr lang="en-US" sz="1000" b="1" i="0" u="none" strike="noStrike">
                <a:solidFill>
                  <a:srgbClr val="000000"/>
                </a:solidFill>
                <a:latin typeface="Calibri"/>
                <a:cs typeface="Arial" pitchFamily="34" charset="0"/>
              </a:rPr>
              <a:pPr algn="r"/>
              <a:t>4</a:t>
            </a:fld>
            <a:endParaRPr lang="en-US" sz="600" b="1" i="1">
              <a:solidFill>
                <a:schemeClr val="tx1"/>
              </a:solidFill>
              <a:latin typeface="Arial" pitchFamily="34" charset="0"/>
              <a:cs typeface="Arial" pitchFamily="34" charset="0"/>
            </a:endParaRPr>
          </a:p>
        </xdr:txBody>
      </xdr:sp>
      <xdr:sp macro="" textlink="U9">
        <xdr:nvSpPr>
          <xdr:cNvPr id="515" name="Site"/>
          <xdr:cNvSpPr txBox="1"/>
        </xdr:nvSpPr>
        <xdr:spPr>
          <a:xfrm>
            <a:off x="12380951" y="1864578"/>
            <a:ext cx="1893717"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9A54CF-7E29-489E-AB28-0574B3EB4B3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6" name="Cluster"/>
          <xdr:cNvGrpSpPr/>
        </xdr:nvGrpSpPr>
        <xdr:grpSpPr>
          <a:xfrm>
            <a:off x="12477748" y="2348604"/>
            <a:ext cx="1732609" cy="380242"/>
            <a:chOff x="12477748" y="2348604"/>
            <a:chExt cx="1732609" cy="380242"/>
          </a:xfrm>
        </xdr:grpSpPr>
        <xdr:grpSp>
          <xdr:nvGrpSpPr>
            <xdr:cNvPr id="517" name="Shelter_G"/>
            <xdr:cNvGrpSpPr/>
          </xdr:nvGrpSpPr>
          <xdr:grpSpPr>
            <a:xfrm>
              <a:off x="12477748" y="2367654"/>
              <a:ext cx="332972" cy="361192"/>
              <a:chOff x="8585625" y="4782769"/>
              <a:chExt cx="147154" cy="166659"/>
            </a:xfrm>
          </xdr:grpSpPr>
          <xdr:pic>
            <xdr:nvPicPr>
              <xdr:cNvPr id="5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2"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18" name="NFI_G"/>
            <xdr:cNvGrpSpPr/>
          </xdr:nvGrpSpPr>
          <xdr:grpSpPr>
            <a:xfrm>
              <a:off x="13877376" y="2348604"/>
              <a:ext cx="332981" cy="361192"/>
              <a:chOff x="8250078" y="5375644"/>
              <a:chExt cx="147158" cy="166659"/>
            </a:xfrm>
          </xdr:grpSpPr>
          <xdr:pic>
            <xdr:nvPicPr>
              <xdr:cNvPr id="5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962025</xdr:colOff>
      <xdr:row>39</xdr:row>
      <xdr:rowOff>69850</xdr:rowOff>
    </xdr:from>
    <xdr:to>
      <xdr:col>4</xdr:col>
      <xdr:colOff>969962</xdr:colOff>
      <xdr:row>41</xdr:row>
      <xdr:rowOff>105516</xdr:rowOff>
    </xdr:to>
    <xdr:grpSp>
      <xdr:nvGrpSpPr>
        <xdr:cNvPr id="523" name="Ramree_G"/>
        <xdr:cNvGrpSpPr/>
      </xdr:nvGrpSpPr>
      <xdr:grpSpPr>
        <a:xfrm>
          <a:off x="4748213" y="7523163"/>
          <a:ext cx="1269999" cy="416666"/>
          <a:chOff x="12380951" y="1882169"/>
          <a:chExt cx="1893717" cy="1268627"/>
        </a:xfrm>
      </xdr:grpSpPr>
      <xdr:sp macro="" textlink="">
        <xdr:nvSpPr>
          <xdr:cNvPr id="524" name="Oval"/>
          <xdr:cNvSpPr/>
        </xdr:nvSpPr>
        <xdr:spPr>
          <a:xfrm>
            <a:off x="13279341" y="2417143"/>
            <a:ext cx="96938" cy="1986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0">
        <xdr:nvSpPr>
          <xdr:cNvPr id="52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6DA014-5F6E-41A7-81A8-A75F479186C3}"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52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37A2D77-6682-44D9-B54B-E5C5D3608676}"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10">
        <xdr:nvSpPr>
          <xdr:cNvPr id="52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A1BAA2D-5713-4C01-A0A0-BD62C5CD908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Ramree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8" name="Cluster"/>
          <xdr:cNvGrpSpPr/>
        </xdr:nvGrpSpPr>
        <xdr:grpSpPr>
          <a:xfrm>
            <a:off x="12477748" y="2348604"/>
            <a:ext cx="1732609" cy="380242"/>
            <a:chOff x="12477748" y="2348604"/>
            <a:chExt cx="1732609" cy="380242"/>
          </a:xfrm>
        </xdr:grpSpPr>
        <xdr:grpSp>
          <xdr:nvGrpSpPr>
            <xdr:cNvPr id="529" name="Shelter_G"/>
            <xdr:cNvGrpSpPr/>
          </xdr:nvGrpSpPr>
          <xdr:grpSpPr>
            <a:xfrm>
              <a:off x="12477748" y="2367654"/>
              <a:ext cx="332972" cy="361192"/>
              <a:chOff x="8585625" y="4782769"/>
              <a:chExt cx="147154" cy="166659"/>
            </a:xfrm>
          </xdr:grpSpPr>
          <xdr:pic>
            <xdr:nvPicPr>
              <xdr:cNvPr id="53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4"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30" name="NFI_G"/>
            <xdr:cNvGrpSpPr/>
          </xdr:nvGrpSpPr>
          <xdr:grpSpPr>
            <a:xfrm>
              <a:off x="13877376" y="2348604"/>
              <a:ext cx="332981" cy="361192"/>
              <a:chOff x="8250078" y="5375644"/>
              <a:chExt cx="147158" cy="166659"/>
            </a:xfrm>
          </xdr:grpSpPr>
          <xdr:pic>
            <xdr:nvPicPr>
              <xdr:cNvPr id="53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447675</xdr:colOff>
      <xdr:row>16</xdr:row>
      <xdr:rowOff>107950</xdr:rowOff>
    </xdr:from>
    <xdr:to>
      <xdr:col>2</xdr:col>
      <xdr:colOff>455612</xdr:colOff>
      <xdr:row>18</xdr:row>
      <xdr:rowOff>143616</xdr:rowOff>
    </xdr:to>
    <xdr:grpSp>
      <xdr:nvGrpSpPr>
        <xdr:cNvPr id="535" name="Rathedaung_G"/>
        <xdr:cNvGrpSpPr/>
      </xdr:nvGrpSpPr>
      <xdr:grpSpPr>
        <a:xfrm>
          <a:off x="1709738" y="3179763"/>
          <a:ext cx="1269999" cy="416666"/>
          <a:chOff x="12380951" y="1882169"/>
          <a:chExt cx="1893717" cy="1268627"/>
        </a:xfrm>
      </xdr:grpSpPr>
      <xdr:sp macro="" textlink="">
        <xdr:nvSpPr>
          <xdr:cNvPr id="536" name="Oval"/>
          <xdr:cNvSpPr/>
        </xdr:nvSpPr>
        <xdr:spPr>
          <a:xfrm>
            <a:off x="13149675" y="2151385"/>
            <a:ext cx="356271" cy="7301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1">
        <xdr:nvSpPr>
          <xdr:cNvPr id="53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670682-4130-422B-8406-DB09F1C4A02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53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8F0A26-2F34-465C-B78D-47A1403450B7}"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11">
        <xdr:nvSpPr>
          <xdr:cNvPr id="53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D4A3E10-0E49-4A91-9713-95AD2F3DDDC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Rathedaung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40" name="Cluster"/>
          <xdr:cNvGrpSpPr/>
        </xdr:nvGrpSpPr>
        <xdr:grpSpPr>
          <a:xfrm>
            <a:off x="12477748" y="2348604"/>
            <a:ext cx="1732609" cy="380242"/>
            <a:chOff x="12477748" y="2348604"/>
            <a:chExt cx="1732609" cy="380242"/>
          </a:xfrm>
        </xdr:grpSpPr>
        <xdr:grpSp>
          <xdr:nvGrpSpPr>
            <xdr:cNvPr id="541" name="Shelter_G"/>
            <xdr:cNvGrpSpPr/>
          </xdr:nvGrpSpPr>
          <xdr:grpSpPr>
            <a:xfrm>
              <a:off x="12477748" y="2367654"/>
              <a:ext cx="332972" cy="361192"/>
              <a:chOff x="8585625" y="4782769"/>
              <a:chExt cx="147154" cy="166659"/>
            </a:xfrm>
          </xdr:grpSpPr>
          <xdr:pic>
            <xdr:nvPicPr>
              <xdr:cNvPr id="54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6" name="Shelter_F" hidden="1"/>
              <xdr:cNvSpPr/>
            </xdr:nvSpPr>
            <xdr:spPr>
              <a:xfrm>
                <a:off x="8585625" y="4782769"/>
                <a:ext cx="147154" cy="166659"/>
              </a:xfrm>
              <a:prstGeom prst="rect">
                <a:avLst/>
              </a:prstGeom>
              <a:solidFill>
                <a:srgbClr val="FF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42" name="NFI_G"/>
            <xdr:cNvGrpSpPr/>
          </xdr:nvGrpSpPr>
          <xdr:grpSpPr>
            <a:xfrm>
              <a:off x="13877376" y="2348604"/>
              <a:ext cx="332981" cy="361192"/>
              <a:chOff x="8250078" y="5375644"/>
              <a:chExt cx="147158" cy="166659"/>
            </a:xfrm>
          </xdr:grpSpPr>
          <xdr:pic>
            <xdr:nvPicPr>
              <xdr:cNvPr id="54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320675</xdr:colOff>
      <xdr:row>19</xdr:row>
      <xdr:rowOff>79237</xdr:rowOff>
    </xdr:from>
    <xdr:to>
      <xdr:col>2</xdr:col>
      <xdr:colOff>328612</xdr:colOff>
      <xdr:row>25</xdr:row>
      <xdr:rowOff>171628</xdr:rowOff>
    </xdr:to>
    <xdr:grpSp>
      <xdr:nvGrpSpPr>
        <xdr:cNvPr id="547" name="Sittwe_G"/>
        <xdr:cNvGrpSpPr/>
      </xdr:nvGrpSpPr>
      <xdr:grpSpPr>
        <a:xfrm>
          <a:off x="1582738" y="3722550"/>
          <a:ext cx="1269999" cy="1235391"/>
          <a:chOff x="12380951" y="750715"/>
          <a:chExt cx="1893717" cy="3761406"/>
        </a:xfrm>
      </xdr:grpSpPr>
      <xdr:sp macro="" textlink="">
        <xdr:nvSpPr>
          <xdr:cNvPr id="548" name="Oval"/>
          <xdr:cNvSpPr/>
        </xdr:nvSpPr>
        <xdr:spPr>
          <a:xfrm>
            <a:off x="12410198" y="750715"/>
            <a:ext cx="1835230" cy="37614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549" name="Pop" hidden="1"/>
          <xdr:cNvSpPr txBox="1"/>
        </xdr:nvSpPr>
        <xdr:spPr>
          <a:xfrm>
            <a:off x="12959414" y="2316886"/>
            <a:ext cx="708964" cy="10637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2DE9C26-D3F3-446B-8DB6-37F5FF958A68}" type="TxLink">
              <a:rPr lang="en-US" sz="10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101547</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55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3ED3D9A-D7CB-49A4-88E4-DB5A25DB2DD3}" type="TxLink">
              <a:rPr lang="en-US" sz="1000" b="0" i="0" u="none" strike="noStrike">
                <a:solidFill>
                  <a:srgbClr val="000000"/>
                </a:solidFill>
                <a:latin typeface="Calibri"/>
                <a:cs typeface="Arial" pitchFamily="34" charset="0"/>
              </a:rPr>
              <a:pPr algn="r"/>
              <a:t>11</a:t>
            </a:fld>
            <a:endParaRPr lang="en-US" sz="600" i="1">
              <a:solidFill>
                <a:schemeClr val="tx1"/>
              </a:solidFill>
              <a:latin typeface="Arial" pitchFamily="34" charset="0"/>
              <a:cs typeface="Arial" pitchFamily="34" charset="0"/>
            </a:endParaRPr>
          </a:p>
        </xdr:txBody>
      </xdr:sp>
      <xdr:sp macro="" textlink="U12">
        <xdr:nvSpPr>
          <xdr:cNvPr id="55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4BEB267-67F8-4974-B064-E3F7AF8A25BB}"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Sittwe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2" name="Cluster"/>
          <xdr:cNvGrpSpPr/>
        </xdr:nvGrpSpPr>
        <xdr:grpSpPr>
          <a:xfrm>
            <a:off x="12477748" y="2348604"/>
            <a:ext cx="1732609" cy="380242"/>
            <a:chOff x="12477748" y="2348604"/>
            <a:chExt cx="1732609" cy="380242"/>
          </a:xfrm>
        </xdr:grpSpPr>
        <xdr:grpSp>
          <xdr:nvGrpSpPr>
            <xdr:cNvPr id="553" name="Shelter_G"/>
            <xdr:cNvGrpSpPr/>
          </xdr:nvGrpSpPr>
          <xdr:grpSpPr>
            <a:xfrm>
              <a:off x="12477748" y="2367654"/>
              <a:ext cx="332972" cy="361192"/>
              <a:chOff x="8585625" y="4782769"/>
              <a:chExt cx="147154" cy="166659"/>
            </a:xfrm>
          </xdr:grpSpPr>
          <xdr:pic>
            <xdr:nvPicPr>
              <xdr:cNvPr id="55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8"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4" name="NFI_G"/>
            <xdr:cNvGrpSpPr/>
          </xdr:nvGrpSpPr>
          <xdr:grpSpPr>
            <a:xfrm>
              <a:off x="13877376" y="2348604"/>
              <a:ext cx="332981" cy="361192"/>
              <a:chOff x="8250078" y="5375644"/>
              <a:chExt cx="147158" cy="166659"/>
            </a:xfrm>
          </xdr:grpSpPr>
          <xdr:pic>
            <xdr:nvPicPr>
              <xdr:cNvPr id="55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737923</xdr:colOff>
      <xdr:row>20</xdr:row>
      <xdr:rowOff>151474</xdr:rowOff>
    </xdr:from>
    <xdr:to>
      <xdr:col>18</xdr:col>
      <xdr:colOff>29632</xdr:colOff>
      <xdr:row>28</xdr:row>
      <xdr:rowOff>7538</xdr:rowOff>
    </xdr:to>
    <xdr:grpSp>
      <xdr:nvGrpSpPr>
        <xdr:cNvPr id="559" name="Rakhine_G"/>
        <xdr:cNvGrpSpPr/>
      </xdr:nvGrpSpPr>
      <xdr:grpSpPr>
        <a:xfrm>
          <a:off x="7048236" y="3985287"/>
          <a:ext cx="1375302" cy="1380064"/>
          <a:chOff x="12302736" y="685479"/>
          <a:chExt cx="2050148" cy="4201894"/>
        </a:xfrm>
      </xdr:grpSpPr>
      <xdr:sp macro="" textlink="">
        <xdr:nvSpPr>
          <xdr:cNvPr id="560" name="Oval"/>
          <xdr:cNvSpPr/>
        </xdr:nvSpPr>
        <xdr:spPr>
          <a:xfrm>
            <a:off x="12302736" y="685479"/>
            <a:ext cx="2050148" cy="420189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561" name="Pop" hidden="1"/>
          <xdr:cNvSpPr txBox="1"/>
        </xdr:nvSpPr>
        <xdr:spPr>
          <a:xfrm>
            <a:off x="12959414" y="2006865"/>
            <a:ext cx="708964" cy="168381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0182D9E-DE6C-4ABC-85EE-F4E9645A2D34}" type="TxLink">
              <a:rPr lang="en-US" sz="11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562" name="N_Camp" hidden="1"/>
          <xdr:cNvSpPr txBox="1"/>
        </xdr:nvSpPr>
        <xdr:spPr>
          <a:xfrm>
            <a:off x="13337142" y="2539647"/>
            <a:ext cx="836058" cy="6350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8E1638-C6FE-49F8-A44B-86FC02EF4B19}" type="TxLink">
              <a:rPr lang="en-US" sz="1100" b="0" i="0" u="none" strike="noStrike">
                <a:solidFill>
                  <a:srgbClr val="000000"/>
                </a:solidFill>
                <a:latin typeface="Calibri"/>
                <a:cs typeface="Arial" pitchFamily="34" charset="0"/>
              </a:rPr>
              <a:pPr algn="r"/>
              <a:t>#REF!</a:t>
            </a:fld>
            <a:endParaRPr lang="en-US" sz="600" i="1">
              <a:solidFill>
                <a:schemeClr val="tx1"/>
              </a:solidFill>
              <a:latin typeface="Arial" pitchFamily="34" charset="0"/>
              <a:cs typeface="Arial" pitchFamily="34" charset="0"/>
            </a:endParaRPr>
          </a:p>
        </xdr:txBody>
      </xdr:sp>
      <xdr:sp macro="" textlink="U13">
        <xdr:nvSpPr>
          <xdr:cNvPr id="56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C0EE4D7-6B24-418C-B393-DC6922E3B91B}" type="TxLink">
              <a:rPr lang="en-US" sz="10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64" name="Cluster"/>
          <xdr:cNvGrpSpPr/>
        </xdr:nvGrpSpPr>
        <xdr:grpSpPr>
          <a:xfrm>
            <a:off x="12477748" y="2348604"/>
            <a:ext cx="1732609" cy="380242"/>
            <a:chOff x="12477748" y="2348604"/>
            <a:chExt cx="1732609" cy="380242"/>
          </a:xfrm>
        </xdr:grpSpPr>
        <xdr:grpSp>
          <xdr:nvGrpSpPr>
            <xdr:cNvPr id="565" name="Shelter_G"/>
            <xdr:cNvGrpSpPr/>
          </xdr:nvGrpSpPr>
          <xdr:grpSpPr>
            <a:xfrm>
              <a:off x="12477748" y="2367654"/>
              <a:ext cx="332972" cy="361192"/>
              <a:chOff x="8585625" y="4782769"/>
              <a:chExt cx="147154" cy="166659"/>
            </a:xfrm>
          </xdr:grpSpPr>
          <xdr:pic>
            <xdr:nvPicPr>
              <xdr:cNvPr id="56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7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66" name="NFI_G"/>
            <xdr:cNvGrpSpPr/>
          </xdr:nvGrpSpPr>
          <xdr:grpSpPr>
            <a:xfrm>
              <a:off x="13877376" y="2348604"/>
              <a:ext cx="332981" cy="361192"/>
              <a:chOff x="8250078" y="5375644"/>
              <a:chExt cx="147158" cy="166659"/>
            </a:xfrm>
          </xdr:grpSpPr>
          <xdr:pic>
            <xdr:nvPicPr>
              <xdr:cNvPr id="56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6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514349</xdr:colOff>
      <xdr:row>22</xdr:row>
      <xdr:rowOff>142874</xdr:rowOff>
    </xdr:from>
    <xdr:to>
      <xdr:col>12</xdr:col>
      <xdr:colOff>571500</xdr:colOff>
      <xdr:row>37</xdr:row>
      <xdr:rowOff>152399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xdr:row>
      <xdr:rowOff>157162</xdr:rowOff>
    </xdr:from>
    <xdr:to>
      <xdr:col>3</xdr:col>
      <xdr:colOff>428625</xdr:colOff>
      <xdr:row>28</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300037</xdr:colOff>
      <xdr:row>3</xdr:row>
      <xdr:rowOff>42862</xdr:rowOff>
    </xdr:from>
    <xdr:to>
      <xdr:col>13</xdr:col>
      <xdr:colOff>604837</xdr:colOff>
      <xdr:row>15</xdr:row>
      <xdr:rowOff>119062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230981</xdr:colOff>
      <xdr:row>0</xdr:row>
      <xdr:rowOff>0</xdr:rowOff>
    </xdr:from>
    <xdr:to>
      <xdr:col>7</xdr:col>
      <xdr:colOff>333375</xdr:colOff>
      <xdr:row>1</xdr:row>
      <xdr:rowOff>142877</xdr:rowOff>
    </xdr:to>
    <xdr:grpSp>
      <xdr:nvGrpSpPr>
        <xdr:cNvPr id="2" name="Group 1"/>
        <xdr:cNvGrpSpPr/>
      </xdr:nvGrpSpPr>
      <xdr:grpSpPr>
        <a:xfrm>
          <a:off x="5695950" y="0"/>
          <a:ext cx="3126581" cy="440533"/>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346605</xdr:colOff>
      <xdr:row>7</xdr:row>
      <xdr:rowOff>41010</xdr:rowOff>
    </xdr:from>
    <xdr:to>
      <xdr:col>9</xdr:col>
      <xdr:colOff>317500</xdr:colOff>
      <xdr:row>34</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941919</xdr:colOff>
      <xdr:row>1</xdr:row>
      <xdr:rowOff>127002</xdr:rowOff>
    </xdr:from>
    <xdr:to>
      <xdr:col>9</xdr:col>
      <xdr:colOff>666751</xdr:colOff>
      <xdr:row>1</xdr:row>
      <xdr:rowOff>783168</xdr:rowOff>
    </xdr:to>
    <xdr:grpSp>
      <xdr:nvGrpSpPr>
        <xdr:cNvPr id="7" name="Group 6"/>
        <xdr:cNvGrpSpPr/>
      </xdr:nvGrpSpPr>
      <xdr:grpSpPr>
        <a:xfrm>
          <a:off x="4897595" y="586443"/>
          <a:ext cx="5372597" cy="656166"/>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1040760</xdr:colOff>
      <xdr:row>0</xdr:row>
      <xdr:rowOff>0</xdr:rowOff>
    </xdr:from>
    <xdr:to>
      <xdr:col>2</xdr:col>
      <xdr:colOff>571500</xdr:colOff>
      <xdr:row>0</xdr:row>
      <xdr:rowOff>360000</xdr:rowOff>
    </xdr:to>
    <xdr:sp macro="" textlink="">
      <xdr:nvSpPr>
        <xdr:cNvPr id="16" name="Rounded Rectangle 15">
          <a:hlinkClick xmlns:r="http://schemas.openxmlformats.org/officeDocument/2006/relationships" r:id="rId4"/>
        </xdr:cNvPr>
        <xdr:cNvSpPr/>
      </xdr:nvSpPr>
      <xdr:spPr>
        <a:xfrm>
          <a:off x="2217378" y="0"/>
          <a:ext cx="169347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1</xdr:col>
      <xdr:colOff>459441</xdr:colOff>
      <xdr:row>0</xdr:row>
      <xdr:rowOff>360000</xdr:rowOff>
    </xdr:to>
    <xdr:sp macro="" textlink="">
      <xdr:nvSpPr>
        <xdr:cNvPr id="17" name="Rounded Rectangle 16">
          <a:hlinkClick xmlns:r="http://schemas.openxmlformats.org/officeDocument/2006/relationships" r:id="rId5"/>
        </xdr:cNvPr>
        <xdr:cNvSpPr/>
      </xdr:nvSpPr>
      <xdr:spPr>
        <a:xfrm>
          <a:off x="0" y="0"/>
          <a:ext cx="163605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123266</xdr:colOff>
      <xdr:row>0</xdr:row>
      <xdr:rowOff>0</xdr:rowOff>
    </xdr:from>
    <xdr:to>
      <xdr:col>6</xdr:col>
      <xdr:colOff>750218</xdr:colOff>
      <xdr:row>0</xdr:row>
      <xdr:rowOff>360000</xdr:rowOff>
    </xdr:to>
    <xdr:sp macro="" textlink="">
      <xdr:nvSpPr>
        <xdr:cNvPr id="18" name="Rounded Rectangle 17">
          <a:hlinkClick xmlns:r="http://schemas.openxmlformats.org/officeDocument/2006/relationships" r:id="rId6"/>
        </xdr:cNvPr>
        <xdr:cNvSpPr/>
      </xdr:nvSpPr>
      <xdr:spPr>
        <a:xfrm>
          <a:off x="7160560" y="0"/>
          <a:ext cx="137774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3</xdr:col>
      <xdr:colOff>188088</xdr:colOff>
      <xdr:row>0</xdr:row>
      <xdr:rowOff>0</xdr:rowOff>
    </xdr:from>
    <xdr:to>
      <xdr:col>4</xdr:col>
      <xdr:colOff>437030</xdr:colOff>
      <xdr:row>0</xdr:row>
      <xdr:rowOff>360000</xdr:rowOff>
    </xdr:to>
    <xdr:sp macro="" textlink="">
      <xdr:nvSpPr>
        <xdr:cNvPr id="19" name="Rounded Rectangle 18">
          <a:hlinkClick xmlns:r="http://schemas.openxmlformats.org/officeDocument/2006/relationships" r:id="rId7"/>
        </xdr:cNvPr>
        <xdr:cNvSpPr/>
      </xdr:nvSpPr>
      <xdr:spPr>
        <a:xfrm>
          <a:off x="4905764" y="0"/>
          <a:ext cx="150400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818030</xdr:colOff>
      <xdr:row>0</xdr:row>
      <xdr:rowOff>11906</xdr:rowOff>
    </xdr:from>
    <xdr:to>
      <xdr:col>9</xdr:col>
      <xdr:colOff>345793</xdr:colOff>
      <xdr:row>0</xdr:row>
      <xdr:rowOff>371906</xdr:rowOff>
    </xdr:to>
    <xdr:sp macro="" textlink="">
      <xdr:nvSpPr>
        <xdr:cNvPr id="20" name="Rounded Rectangle 19">
          <a:hlinkClick xmlns:r="http://schemas.openxmlformats.org/officeDocument/2006/relationships" r:id="rId8"/>
        </xdr:cNvPr>
        <xdr:cNvSpPr/>
      </xdr:nvSpPr>
      <xdr:spPr>
        <a:xfrm>
          <a:off x="9356912" y="11906"/>
          <a:ext cx="148879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8</xdr:col>
      <xdr:colOff>488896</xdr:colOff>
      <xdr:row>185</xdr:row>
      <xdr:rowOff>115899</xdr:rowOff>
    </xdr:from>
    <xdr:to>
      <xdr:col>17</xdr:col>
      <xdr:colOff>896472</xdr:colOff>
      <xdr:row>201</xdr:row>
      <xdr:rowOff>156882</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282047</xdr:colOff>
      <xdr:row>28</xdr:row>
      <xdr:rowOff>11907</xdr:rowOff>
    </xdr:from>
    <xdr:to>
      <xdr:col>31</xdr:col>
      <xdr:colOff>71438</xdr:colOff>
      <xdr:row>56</xdr:row>
      <xdr:rowOff>80963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Tin Moe Htwe" refreshedDate="43213.46550914352" createdVersion="4" refreshedVersion="5" minRefreshableVersion="3" recordCount="216">
  <cacheSource type="worksheet">
    <worksheetSource name="Data_Demography_t"/>
  </cacheSource>
  <cacheFields count="10">
    <cacheField name="State" numFmtId="0">
      <sharedItems/>
    </cacheField>
    <cacheField name="Township" numFmtId="0">
      <sharedItems count="3">
        <s v="Pauktaw"/>
        <s v="Sittwe"/>
        <s v="Myebon"/>
      </sharedItems>
    </cacheField>
    <cacheField name="Camp" numFmtId="0">
      <sharedItems count="25">
        <s v="Ah Nauk Ywe"/>
        <s v="Baw Du Pha 1"/>
        <s v="Baw Du Pha 2"/>
        <s v="Dar Pai"/>
        <s v="Khaung Doke Khar "/>
        <s v="Kyein Ni Pyin"/>
        <s v="Maw Ti Ngar"/>
        <s v="Nget Chaung 1"/>
        <s v="Nget Chaung 2"/>
        <s v="Ohn Taw Chay"/>
        <s v="Ohn Taw Gyi (North)"/>
        <s v="Ohn Taw Gyi (South)"/>
        <s v="Say Tha Mar Gyi"/>
        <s v="Sin Tet Maw"/>
        <s v="Taung Paw "/>
        <s v="Thae Chaung"/>
        <s v="Thet Kae Pyin "/>
        <s v="Basare"/>
        <s v="Kan Thar Htwat Wa" u="1"/>
        <s v="Nget Chaung" u="1"/>
        <s v="Sat Roe Kya 1" u="1"/>
        <s v="Set Yone Su 3" u="1"/>
        <s v="Set Yone Su" u="1"/>
        <s v="Sat Roe Kya 2" u="1"/>
        <s v="Ba Wan Chaung Wa Su" u="1"/>
      </sharedItems>
    </cacheField>
    <cacheField name="Pcode" numFmtId="0">
      <sharedItems/>
    </cacheField>
    <cacheField name="Age_Cat" numFmtId="0">
      <sharedItems containsBlank="1" count="19">
        <s v="0-5"/>
        <s v="6 to 11"/>
        <s v="12 to 17"/>
        <s v="18 to 25"/>
        <s v="26 to 59"/>
        <s v="60+"/>
        <m u="1"/>
        <s v="18+" u="1"/>
        <s v="1 to 5" u="1"/>
        <s v="0 &lt; 5" u="1"/>
        <s v="&lt; 1" u="1"/>
        <s v="18 to 59" u="1"/>
        <s v="60 +" u="1"/>
        <s v=" 6 to 11" u="1"/>
        <s v="5 to 11" u="1"/>
        <s v="0 to 17" u="1"/>
        <s v=" 1 to 5" u="1"/>
        <s v="0 to 5" u="1"/>
        <s v=" &lt; 1" u="1"/>
      </sharedItems>
    </cacheField>
    <cacheField name="Sex" numFmtId="0">
      <sharedItems containsBlank="1" count="4">
        <s v="M"/>
        <s v="F"/>
        <m u="1"/>
        <s v="U" u="1"/>
      </sharedItems>
    </cacheField>
    <cacheField name="Total" numFmtId="0">
      <sharedItems containsSemiMixedTypes="0" containsString="0" containsNumber="1" minValue="39" maxValue="1977"/>
    </cacheField>
    <cacheField name="Total2" numFmtId="0">
      <sharedItems containsSemiMixedTypes="0" containsString="0" containsNumber="1" minValue="-1883" maxValue="1977"/>
    </cacheField>
    <cacheField name="Source" numFmtId="0">
      <sharedItems/>
    </cacheField>
    <cacheField name="Updated Date" numFmtId="170">
      <sharedItems containsSemiMixedTypes="0" containsNonDate="0" containsDate="1" containsString="0" minDate="2017-08-31T00:00:00" maxDate="2018-04-01T0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in Moe Htwe" refreshedDate="43213.46550972222" createdVersion="4" refreshedVersion="5" minRefreshableVersion="3" recordCount="534">
  <cacheSource type="worksheet">
    <worksheetSource name="Data_NFI_t"/>
  </cacheSource>
  <cacheFields count="48">
    <cacheField name="Months" numFmtId="1">
      <sharedItems containsString="0" containsBlank="1" containsNumber="1" minValue="0.4" maxValue="70.099999999999994"/>
    </cacheField>
    <cacheField name="year" numFmtId="0">
      <sharedItems containsString="0" containsBlank="1" containsNumber="1" containsInteger="1" minValue="1900" maxValue="2018" count="9">
        <n v="2018"/>
        <n v="2017"/>
        <n v="2016"/>
        <n v="2015"/>
        <n v="2014"/>
        <n v="2013"/>
        <n v="2012"/>
        <m/>
        <n v="1900" u="1"/>
      </sharedItems>
    </cacheField>
    <cacheField name="Distribution Date" numFmtId="0">
      <sharedItems containsNonDate="0" containsDate="1" containsString="0" containsBlank="1" minDate="2012-06-27T00:00:00" maxDate="2018-03-20T00:00:00" count="259">
        <d v="2018-03-19T00:00:00"/>
        <d v="2018-03-18T00:00:00"/>
        <d v="2018-03-17T00:00:00"/>
        <d v="2018-03-06T00:00:00"/>
        <d v="2018-02-20T00:00:00"/>
        <d v="2018-02-19T00:00:00"/>
        <d v="2018-02-16T00:00:00"/>
        <d v="2018-02-01T00:00:00"/>
        <d v="2018-01-31T00:00:00"/>
        <d v="2018-01-30T00:00:00"/>
        <d v="2018-01-08T00:00:00"/>
        <d v="2018-01-05T00:00:00"/>
        <d v="2017-12-29T00:00:00"/>
        <d v="2017-12-22T00:00:00"/>
        <d v="2017-12-08T00:00:00"/>
        <d v="2017-12-06T00:00:00"/>
        <d v="2017-11-30T00:00:00"/>
        <d v="2017-11-28T00:00:00"/>
        <d v="2017-11-27T00:00:00"/>
        <d v="2017-11-26T00:00:00"/>
        <d v="2017-11-23T00:00:00"/>
        <d v="2017-11-11T00:00:00"/>
        <d v="2017-11-08T00:00:00"/>
        <d v="2017-10-31T00:00:00"/>
        <d v="2017-10-24T00:00:00"/>
        <d v="2017-10-23T00:00:00"/>
        <d v="2017-10-01T00:00:00"/>
        <d v="2017-08-24T00:00:00"/>
        <d v="2017-08-22T00:00:00"/>
        <d v="2017-08-10T00:00:00"/>
        <d v="2017-08-01T00:00:00"/>
        <d v="2017-07-17T00:00:00"/>
        <d v="2017-07-16T00:00:00"/>
        <d v="2017-07-15T00:00:00"/>
        <d v="2017-07-12T00:00:00"/>
        <d v="2017-07-11T00:00:00"/>
        <d v="2017-07-07T00:00:00"/>
        <d v="2017-07-01T00:00:00"/>
        <d v="2017-06-21T00:00:00"/>
        <d v="2017-06-16T00:00:00"/>
        <d v="2017-06-13T00:00:00"/>
        <d v="2017-06-09T00:00:00"/>
        <d v="2017-06-08T00:00:00"/>
        <d v="2017-06-07T00:00:00"/>
        <d v="2017-06-02T00:00:00"/>
        <d v="2017-06-01T00:00:00"/>
        <d v="2017-05-26T00:00:00"/>
        <d v="2017-05-25T00:00:00"/>
        <d v="2017-05-23T00:00:00"/>
        <d v="2017-05-22T00:00:00"/>
        <d v="2017-05-15T00:00:00"/>
        <d v="2017-05-11T00:00:00"/>
        <d v="2017-05-05T00:00:00"/>
        <d v="2017-04-26T00:00:00"/>
        <d v="2017-04-25T00:00:00"/>
        <d v="2017-04-11T00:00:00"/>
        <d v="2017-04-10T00:00:00"/>
        <d v="2017-04-07T00:00:00"/>
        <d v="2017-04-06T00:00:00"/>
        <d v="2017-04-05T00:00:00"/>
        <d v="2017-04-04T00:00:00"/>
        <d v="2017-04-03T00:00:00"/>
        <d v="2017-03-28T00:00:00"/>
        <d v="2017-03-18T00:00:00"/>
        <d v="2017-03-17T00:00:00"/>
        <d v="2017-03-16T00:00:00"/>
        <d v="2017-03-14T00:00:00"/>
        <d v="2017-03-10T00:00:00"/>
        <d v="2017-03-06T00:00:00"/>
        <d v="2017-02-27T00:00:00"/>
        <d v="2017-02-06T00:00:00"/>
        <d v="2017-01-31T00:00:00"/>
        <d v="2017-01-23T00:00:00"/>
        <d v="2017-01-19T00:00:00"/>
        <d v="2017-01-18T00:00:00"/>
        <d v="2017-01-16T00:00:00"/>
        <d v="2017-01-04T00:00:00"/>
        <d v="2016-12-28T00:00:00"/>
        <d v="2016-12-26T00:00:00"/>
        <d v="2016-12-23T00:00:00"/>
        <d v="2016-12-09T00:00:00"/>
        <d v="2016-11-29T00:00:00"/>
        <d v="2016-11-25T00:00:00"/>
        <d v="2016-11-16T00:00:00"/>
        <d v="2016-11-10T00:00:00"/>
        <d v="2016-11-08T00:00:00"/>
        <d v="2016-09-27T00:00:00"/>
        <d v="2016-08-05T00:00:00"/>
        <d v="2016-06-21T00:00:00"/>
        <d v="2016-06-20T00:00:00"/>
        <d v="2016-05-30T00:00:00"/>
        <d v="2016-05-06T00:00:00"/>
        <d v="2016-02-04T00:00:00"/>
        <d v="2016-01-29T00:00:00"/>
        <d v="2016-01-27T00:00:00"/>
        <d v="2016-01-22T00:00:00"/>
        <d v="2015-12-09T00:00:00"/>
        <d v="2015-11-23T00:00:00"/>
        <d v="2015-11-19T00:00:00"/>
        <d v="2015-11-18T00:00:00"/>
        <d v="2015-11-03T00:00:00"/>
        <d v="2015-10-27T00:00:00"/>
        <d v="2015-10-08T00:00:00"/>
        <d v="2015-09-17T00:00:00"/>
        <d v="2015-08-12T00:00:00"/>
        <d v="2015-08-08T00:00:00"/>
        <d v="2015-07-24T00:00:00"/>
        <d v="2015-07-23T00:00:00"/>
        <d v="2015-07-09T00:00:00"/>
        <d v="2015-06-26T00:00:00"/>
        <d v="2015-06-25T00:00:00"/>
        <d v="2015-06-24T00:00:00"/>
        <d v="2015-06-23T00:00:00"/>
        <d v="2015-06-15T00:00:00"/>
        <d v="2015-06-11T00:00:00"/>
        <d v="2015-06-10T00:00:00"/>
        <d v="2015-05-20T00:00:00"/>
        <d v="2015-05-12T00:00:00"/>
        <d v="2015-05-07T00:00:00"/>
        <d v="2015-05-06T00:00:00"/>
        <d v="2015-05-05T00:00:00"/>
        <d v="2015-04-27T00:00:00"/>
        <d v="2015-03-15T00:00:00"/>
        <d v="2015-03-05T00:00:00"/>
        <d v="2015-03-01T00:00:00"/>
        <d v="2015-02-20T00:00:00"/>
        <d v="2015-02-01T00:00:00"/>
        <d v="2015-01-29T00:00:00"/>
        <d v="2015-01-21T00:00:00"/>
        <d v="2015-01-06T00:00:00"/>
        <d v="2015-01-01T00:00:00"/>
        <d v="2014-12-23T00:00:00"/>
        <d v="2014-12-18T00:00:00"/>
        <d v="2014-12-17T00:00:00"/>
        <d v="2014-12-14T00:00:00"/>
        <d v="2014-09-18T00:00:00"/>
        <d v="2014-09-17T00:00:00"/>
        <d v="2014-09-16T00:00:00"/>
        <d v="2014-08-28T00:00:00"/>
        <d v="2014-08-26T00:00:00"/>
        <d v="2014-08-14T00:00:00"/>
        <d v="2014-08-01T00:00:00"/>
        <d v="2014-07-21T00:00:00"/>
        <d v="2014-06-14T00:00:00"/>
        <d v="2014-06-08T00:00:00"/>
        <d v="2014-04-01T00:00:00"/>
        <d v="2014-03-01T00:00:00"/>
        <d v="2014-01-31T00:00:00"/>
        <d v="2014-01-16T00:00:00"/>
        <d v="2014-01-15T00:00:00"/>
        <d v="2014-01-06T00:00:00"/>
        <d v="2014-01-02T00:00:00"/>
        <d v="2013-12-31T00:00:00"/>
        <d v="2013-12-13T00:00:00"/>
        <d v="2013-12-12T00:00:00"/>
        <d v="2013-12-05T00:00:00"/>
        <d v="2013-11-19T00:00:00"/>
        <d v="2013-11-14T00:00:00"/>
        <d v="2013-11-13T00:00:00"/>
        <d v="2013-11-12T00:00:00"/>
        <d v="2013-10-31T00:00:00"/>
        <d v="2013-10-28T00:00:00"/>
        <d v="2013-10-22T00:00:00"/>
        <d v="2013-10-18T00:00:00"/>
        <d v="2013-10-17T00:00:00"/>
        <d v="2013-09-19T00:00:00"/>
        <d v="2013-09-18T00:00:00"/>
        <d v="2013-09-12T00:00:00"/>
        <d v="2013-08-27T00:00:00"/>
        <d v="2013-08-13T00:00:00"/>
        <d v="2013-08-08T00:00:00"/>
        <d v="2013-07-10T00:00:00"/>
        <d v="2013-07-09T00:00:00"/>
        <d v="2013-07-06T00:00:00"/>
        <d v="2013-07-01T00:00:00"/>
        <d v="2013-06-26T00:00:00"/>
        <d v="2013-05-29T00:00:00"/>
        <d v="2013-05-28T00:00:00"/>
        <d v="2013-05-27T00:00:00"/>
        <d v="2013-05-23T00:00:00"/>
        <d v="2013-05-22T00:00:00"/>
        <d v="2013-04-30T00:00:00"/>
        <d v="2013-04-29T00:00:00"/>
        <d v="2013-04-26T00:00:00"/>
        <d v="2013-04-24T00:00:00"/>
        <d v="2013-04-12T00:00:00"/>
        <d v="2013-04-10T00:00:00"/>
        <d v="2013-04-09T00:00:00"/>
        <d v="2013-04-05T00:00:00"/>
        <d v="2013-04-04T00:00:00"/>
        <d v="2013-04-03T00:00:00"/>
        <d v="2013-04-02T00:00:00"/>
        <d v="2013-03-14T00:00:00"/>
        <d v="2013-03-05T00:00:00"/>
        <d v="2013-03-03T00:00:00"/>
        <d v="2013-03-01T00:00:00"/>
        <d v="2013-02-27T00:00:00"/>
        <d v="2013-02-22T00:00:00"/>
        <d v="2013-02-21T00:00:00"/>
        <d v="2013-02-15T00:00:00"/>
        <d v="2013-02-14T00:00:00"/>
        <d v="2013-02-08T00:00:00"/>
        <d v="2013-02-01T00:00:00"/>
        <d v="2013-01-30T00:00:00"/>
        <d v="2013-01-24T00:00:00"/>
        <d v="2013-01-21T00:00:00"/>
        <d v="2013-01-18T00:00:00"/>
        <d v="2013-01-17T00:00:00"/>
        <d v="2013-01-10T00:00:00"/>
        <d v="2013-01-09T00:00:00"/>
        <d v="2013-01-07T00:00:00"/>
        <d v="2013-01-01T00:00:00"/>
        <d v="2012-12-24T00:00:00"/>
        <d v="2012-12-23T00:00:00"/>
        <d v="2012-12-18T00:00:00"/>
        <d v="2012-12-17T00:00:00"/>
        <d v="2012-12-16T00:00:00"/>
        <d v="2012-12-15T00:00:00"/>
        <d v="2012-12-14T00:00:00"/>
        <d v="2012-12-13T00:00:00"/>
        <d v="2012-12-12T00:00:00"/>
        <d v="2012-12-10T00:00:00"/>
        <d v="2012-12-05T00:00:00"/>
        <d v="2012-12-03T00:00:00"/>
        <d v="2012-11-30T00:00:00"/>
        <d v="2012-11-21T00:00:00"/>
        <d v="2012-11-19T00:00:00"/>
        <d v="2012-11-03T00:00:00"/>
        <d v="2012-11-02T00:00:00"/>
        <d v="2012-11-01T00:00:00"/>
        <d v="2012-10-31T00:00:00"/>
        <d v="2012-10-07T00:00:00"/>
        <d v="2012-10-06T00:00:00"/>
        <d v="2012-09-07T00:00:00"/>
        <d v="2012-09-05T00:00:00"/>
        <d v="2012-09-01T00:00:00"/>
        <d v="2012-08-25T00:00:00"/>
        <d v="2012-08-23T00:00:00"/>
        <d v="2012-08-05T00:00:00"/>
        <d v="2012-07-30T00:00:00"/>
        <d v="2012-07-29T00:00:00"/>
        <d v="2012-07-21T00:00:00"/>
        <d v="2012-07-20T00:00:00"/>
        <d v="2012-07-19T00:00:00"/>
        <d v="2012-07-18T00:00:00"/>
        <d v="2012-07-17T00:00:00"/>
        <d v="2012-07-16T00:00:00"/>
        <d v="2012-07-15T00:00:00"/>
        <d v="2012-07-12T00:00:00"/>
        <d v="2012-07-11T00:00:00"/>
        <d v="2012-07-10T00:00:00"/>
        <d v="2012-07-09T00:00:00"/>
        <d v="2012-07-07T00:00:00"/>
        <d v="2012-07-05T00:00:00"/>
        <d v="2012-06-30T00:00:00"/>
        <d v="2012-06-29T00:00:00"/>
        <d v="2012-06-28T00:00:00"/>
        <d v="2012-06-27T00:00:00"/>
        <m/>
      </sharedItems>
      <fieldGroup par="47" base="2">
        <rangePr groupBy="months" startDate="2012-06-27T00:00:00" endDate="2018-03-20T00:00:00"/>
        <groupItems count="14">
          <s v="(blank)"/>
          <s v="Jan"/>
          <s v="Feb"/>
          <s v="Mar"/>
          <s v="Apr"/>
          <s v="May"/>
          <s v="Jun"/>
          <s v="Jul"/>
          <s v="Aug"/>
          <s v="Sep"/>
          <s v="Oct"/>
          <s v="Nov"/>
          <s v="Dec"/>
          <s v="&gt;3/20/2018"/>
        </groupItems>
      </fieldGroup>
    </cacheField>
    <cacheField name="Organization" numFmtId="0">
      <sharedItems containsBlank="1" count="30">
        <s v="Oxfam"/>
        <s v="SCI"/>
        <s v="UNHCR"/>
        <s v="IRW"/>
        <s v="UNICEF "/>
        <s v="SI"/>
        <s v="SI/CDN"/>
        <s v="DRC"/>
        <s v="ICRC"/>
        <s v="CDN"/>
        <s v="NRC"/>
        <s v="MRF"/>
        <s v="RI"/>
        <s v="MAUK"/>
        <s v="UNIQLO"/>
        <s v="MHAA"/>
        <s v="Gov"/>
        <s v="MRCS"/>
        <s v="LWF"/>
        <s v="IOM"/>
        <s v="Save the Children"/>
        <s v="AGE"/>
        <s v="UNFPA"/>
        <s v="Muslim Aid"/>
        <s v="KOICAT"/>
        <s v="ABCD"/>
        <m/>
        <s v="UNIQLO/UNHCR" u="1"/>
        <s v="Solidarites International" u="1"/>
        <s v="UNICLO" u="1"/>
      </sharedItems>
    </cacheField>
    <cacheField name="Implementing Partner" numFmtId="0">
      <sharedItems containsBlank="1"/>
    </cacheField>
    <cacheField name="State" numFmtId="0">
      <sharedItems containsBlank="1" count="2">
        <s v="Rakhine"/>
        <m/>
      </sharedItems>
    </cacheField>
    <cacheField name="Township" numFmtId="0">
      <sharedItems containsBlank="1" count="13">
        <s v="Sittwe"/>
        <s v="Pauktaw"/>
        <s v="Rathedaung"/>
        <s v="Kyauktaw"/>
        <s v="Myebon"/>
        <s v="Kyaukpyu"/>
        <s v="Minbya"/>
        <s v="Mrauk-U"/>
        <s v="Maungdaw"/>
        <s v="Ramree"/>
        <m/>
        <s v="Mrauk_U" u="1"/>
        <s v="Kyauk_Phyu" u="1"/>
      </sharedItems>
    </cacheField>
    <cacheField name="Camp Name" numFmtId="0">
      <sharedItems containsBlank="1"/>
    </cacheField>
    <cacheField name="Hygiene Kit" numFmtId="0">
      <sharedItems containsString="0" containsBlank="1" containsNumber="1" containsInteger="1" minValue="0" maxValue="4795"/>
    </cacheField>
    <cacheField name="Household Coverage" numFmtId="0">
      <sharedItems containsBlank="1" containsMixedTypes="1" containsNumber="1" containsInteger="1" minValue="5" maxValue="2728"/>
    </cacheField>
    <cacheField name=" Estimated Individual Coverage" numFmtId="0">
      <sharedItems containsBlank="1" containsMixedTypes="1" containsNumber="1" minValue="5" maxValue="15004"/>
    </cacheField>
    <cacheField name="NFI Core Kit" numFmtId="0">
      <sharedItems containsString="0" containsBlank="1" containsNumber="1" containsInteger="1" minValue="0" maxValue="2728"/>
    </cacheField>
    <cacheField name="Sanitary Kit" numFmtId="0">
      <sharedItems containsString="0" containsBlank="1" containsNumber="1" containsInteger="1" minValue="0" maxValue="5436"/>
    </cacheField>
    <cacheField name="Mosquito net" numFmtId="0">
      <sharedItems containsBlank="1" containsMixedTypes="1" containsNumber="1" containsInteger="1" minValue="0" maxValue="4808"/>
    </cacheField>
    <cacheField name="Tarpaulin" numFmtId="0">
      <sharedItems containsString="0" containsBlank="1" containsNumber="1" containsInteger="1" minValue="0" maxValue="2797"/>
    </cacheField>
    <cacheField name="Blanket" numFmtId="0">
      <sharedItems containsBlank="1" containsMixedTypes="1" containsNumber="1" containsInteger="1" minValue="0" maxValue="4808"/>
    </cacheField>
    <cacheField name="Kitchen Set" numFmtId="0">
      <sharedItems containsBlank="1" containsMixedTypes="1" containsNumber="1" containsInteger="1" minValue="0" maxValue="2404"/>
    </cacheField>
    <cacheField name="Complementary Kit" numFmtId="0">
      <sharedItems containsString="0" containsBlank="1" containsNumber="1" containsInteger="1" minValue="0" maxValue="2800"/>
    </cacheField>
    <cacheField name="Plastic Bucket" numFmtId="0">
      <sharedItems containsBlank="1" containsMixedTypes="1" containsNumber="1" containsInteger="1" minValue="0" maxValue="2797"/>
    </cacheField>
    <cacheField name="Jerry Can" numFmtId="0">
      <sharedItems containsString="0" containsBlank="1" containsNumber="1" containsInteger="1" minValue="0" maxValue="2900"/>
    </cacheField>
    <cacheField name="Plastic Mat" numFmtId="0">
      <sharedItems containsBlank="1" containsMixedTypes="1" containsNumber="1" containsInteger="1" minValue="0" maxValue="12020"/>
    </cacheField>
    <cacheField name="Adult Clothes" numFmtId="0">
      <sharedItems containsString="0" containsBlank="1" containsNumber="1" containsInteger="1" minValue="397" maxValue="4150"/>
    </cacheField>
    <cacheField name="Children Clothes" numFmtId="0">
      <sharedItems containsString="0" containsBlank="1" containsNumber="1" containsInteger="1" minValue="725" maxValue="4000"/>
    </cacheField>
    <cacheField name="Sewing Kit" numFmtId="0">
      <sharedItems containsString="0" containsBlank="1" containsNumber="1" containsInteger="1" minValue="628" maxValue="628"/>
    </cacheField>
    <cacheField name="Solar Lantern" numFmtId="0">
      <sharedItems containsString="0" containsBlank="1" containsNumber="1" containsInteger="1" minValue="148" maxValue="300"/>
    </cacheField>
    <cacheField name="Bathing Towel" numFmtId="0">
      <sharedItems containsString="0" containsBlank="1" containsNumber="1" containsInteger="1" minValue="240" maxValue="240"/>
    </cacheField>
    <cacheField name="Storage Container" numFmtId="0">
      <sharedItems containsString="0" containsBlank="1" containsNumber="1" containsInteger="1" minValue="80" maxValue="80"/>
    </cacheField>
    <cacheField name="CGI Sheet" numFmtId="0">
      <sharedItems containsString="0" containsBlank="1" containsNumber="1" containsInteger="1" minValue="492" maxValue="2770"/>
    </cacheField>
    <cacheField name="Hygiene Kit_LS" numFmtId="0">
      <sharedItems containsString="0" containsBlank="1" containsNumber="1" containsInteger="1" minValue="0" maxValue="0"/>
    </cacheField>
    <cacheField name="NFI Core Kit_LS" numFmtId="0">
      <sharedItems containsString="0" containsBlank="1" containsNumber="1" containsInteger="1" minValue="0" maxValue="2728"/>
    </cacheField>
    <cacheField name="Sanitary Kit_LS" numFmtId="0">
      <sharedItems containsString="0" containsBlank="1" containsNumber="1" containsInteger="1" minValue="0" maxValue="5436"/>
    </cacheField>
    <cacheField name="Mosquito net_LS" numFmtId="0">
      <sharedItems containsString="0" containsBlank="1" containsNumber="1" containsInteger="1" minValue="0" maxValue="4444"/>
    </cacheField>
    <cacheField name="Tarpaulin_LS" numFmtId="0">
      <sharedItems containsString="0" containsBlank="1" containsNumber="1" containsInteger="1" minValue="0" maxValue="1238"/>
    </cacheField>
    <cacheField name="Blanket_LS" numFmtId="0">
      <sharedItems containsString="0" containsBlank="1" containsNumber="1" containsInteger="1" minValue="0" maxValue="4444"/>
    </cacheField>
    <cacheField name="Kitchen Set_LS" numFmtId="0">
      <sharedItems containsString="0" containsBlank="1" containsNumber="1" containsInteger="1" minValue="0" maxValue="2222"/>
    </cacheField>
    <cacheField name="Complementary Kit_LS" numFmtId="0">
      <sharedItems containsString="0" containsBlank="1" containsNumber="1" containsInteger="1" minValue="0" maxValue="6"/>
    </cacheField>
    <cacheField name="Plastic Bucket_LS" numFmtId="0">
      <sharedItems containsString="0" containsBlank="1" containsNumber="1" containsInteger="1" minValue="0" maxValue="1238"/>
    </cacheField>
    <cacheField name="Jerry Can_LS" numFmtId="0">
      <sharedItems containsString="0" containsBlank="1" containsNumber="1" containsInteger="1" minValue="0" maxValue="630"/>
    </cacheField>
    <cacheField name="Plastic  Mat_LS" numFmtId="0">
      <sharedItems containsString="0" containsBlank="1" containsNumber="1" minValue="0" maxValue="11110"/>
    </cacheField>
    <cacheField name="Adult Clothes_LS" numFmtId="0">
      <sharedItems containsSemiMixedTypes="0" containsString="0" containsNumber="1" containsInteger="1" minValue="0" maxValue="560"/>
    </cacheField>
    <cacheField name="Children Clothes_LS" numFmtId="0">
      <sharedItems containsSemiMixedTypes="0" containsString="0" containsNumber="1" containsInteger="1" minValue="0" maxValue="0"/>
    </cacheField>
    <cacheField name="Sewing Kit_LS" numFmtId="0">
      <sharedItems containsSemiMixedTypes="0" containsString="0" containsNumber="1" containsInteger="1" minValue="0" maxValue="0"/>
    </cacheField>
    <cacheField name="Solar Lantern_LS" numFmtId="0">
      <sharedItems containsSemiMixedTypes="0" containsString="0" containsNumber="1" containsInteger="1" minValue="0" maxValue="300"/>
    </cacheField>
    <cacheField name="Pcode" numFmtId="0">
      <sharedItems containsBlank="1"/>
    </cacheField>
    <cacheField name="Status" numFmtId="0">
      <sharedItems containsBlank="1" count="8">
        <s v="Open"/>
        <s v=""/>
        <s v="Relocated"/>
        <s v="Returned"/>
        <s v="Close"/>
        <m/>
        <s v="Returned in Individual Housing" u="1"/>
        <s v="Relocated in Individual Housing" u="1"/>
      </sharedItems>
    </cacheField>
    <cacheField name="Remark" numFmtId="0">
      <sharedItems containsBlank="1"/>
    </cacheField>
    <cacheField name="Year2" numFmtId="0" formula="YEAR('Distribution Date')" databaseField="0"/>
    <cacheField name="Years" numFmtId="0" databaseField="0">
      <fieldGroup base="2">
        <rangePr groupBy="years" startDate="2012-06-27T00:00:00" endDate="2018-03-20T00:00:00"/>
        <groupItems count="9">
          <s v="&lt;6/27/2012"/>
          <s v="2012"/>
          <s v="2013"/>
          <s v="2014"/>
          <s v="2015"/>
          <s v="2016"/>
          <s v="2017"/>
          <s v="2018"/>
          <s v="&gt;3/20/2018"/>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in Moe Htwe" refreshedDate="43213.465512615738" createdVersion="4" refreshedVersion="5" minRefreshableVersion="3" recordCount="33">
  <cacheSource type="worksheet">
    <worksheetSource name="Data_Infrastructure"/>
  </cacheSource>
  <cacheFields count="10">
    <cacheField name="Lot" numFmtId="49">
      <sharedItems/>
    </cacheField>
    <cacheField name="State" numFmtId="49">
      <sharedItems/>
    </cacheField>
    <cacheField name="Township" numFmtId="49">
      <sharedItems/>
    </cacheField>
    <cacheField name="Camp" numFmtId="49">
      <sharedItems/>
    </cacheField>
    <cacheField name="Pcode" numFmtId="49">
      <sharedItems/>
    </cacheField>
    <cacheField name="Infrastructure" numFmtId="49">
      <sharedItems count="11">
        <s v="MPB Small"/>
        <s v="Warehouse"/>
        <s v="Camp Management Office"/>
        <s v="MPB Large"/>
        <s v="MPB Large (2 units)" u="1"/>
        <s v="MPB Small (2 units)" u="1"/>
        <s v="MPB Small (4 units)" u="1"/>
        <s v="MPB Large (STMG site)" u="1"/>
        <s v="MPB Large (PWG site)" u="1"/>
        <s v="Warehouse (3 units)" u="1"/>
        <s v="MPB Large " u="1"/>
      </sharedItems>
    </cacheField>
    <cacheField name="Type" numFmtId="49">
      <sharedItems containsBlank="1"/>
    </cacheField>
    <cacheField name="Total" numFmtId="167">
      <sharedItems containsSemiMixedTypes="0" containsString="0" containsNumber="1" containsInteger="1" minValue="1" maxValue="4"/>
    </cacheField>
    <cacheField name="Status" numFmtId="0">
      <sharedItems containsBlank="1" count="6">
        <s v="Completed"/>
        <s v="Cancelled"/>
        <m u="1"/>
        <s v="On Going" u="1"/>
        <s v="Planned" u="1"/>
        <s v="Construction on going" u="1"/>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Tin Moe Htwe" refreshedDate="43213.465512847222" createdVersion="5" refreshedVersion="5" minRefreshableVersion="3" recordCount="216">
  <cacheSource type="worksheet">
    <worksheetSource name="Data_Demography_t[[Township]:[Total]]"/>
  </cacheSource>
  <cacheFields count="6">
    <cacheField name="Township" numFmtId="0">
      <sharedItems count="3">
        <s v="Pauktaw"/>
        <s v="Sittwe"/>
        <s v="Myebon"/>
      </sharedItems>
    </cacheField>
    <cacheField name="Camp" numFmtId="0">
      <sharedItems count="18">
        <s v="Ah Nauk Ywe"/>
        <s v="Baw Du Pha 1"/>
        <s v="Baw Du Pha 2"/>
        <s v="Dar Pai"/>
        <s v="Khaung Doke Khar "/>
        <s v="Kyein Ni Pyin"/>
        <s v="Maw Ti Ngar"/>
        <s v="Nget Chaung 1"/>
        <s v="Nget Chaung 2"/>
        <s v="Ohn Taw Chay"/>
        <s v="Ohn Taw Gyi (North)"/>
        <s v="Ohn Taw Gyi (South)"/>
        <s v="Say Tha Mar Gyi"/>
        <s v="Sin Tet Maw"/>
        <s v="Taung Paw "/>
        <s v="Thae Chaung"/>
        <s v="Thet Kae Pyin "/>
        <s v="Basare"/>
      </sharedItems>
    </cacheField>
    <cacheField name="Pcode" numFmtId="0">
      <sharedItems/>
    </cacheField>
    <cacheField name="Age_Cat" numFmtId="0">
      <sharedItems containsBlank="1" count="7">
        <s v="0-5"/>
        <s v="6 to 11"/>
        <s v="12 to 17"/>
        <s v="18 to 25"/>
        <s v="26 to 59"/>
        <s v="60+"/>
        <m u="1"/>
      </sharedItems>
    </cacheField>
    <cacheField name="Sex" numFmtId="0">
      <sharedItems containsBlank="1" count="3">
        <s v="M"/>
        <s v="F"/>
        <m u="1"/>
      </sharedItems>
    </cacheField>
    <cacheField name="Total" numFmtId="0">
      <sharedItems containsSemiMixedTypes="0" containsString="0" containsNumber="1" minValue="39" maxValue="1977"/>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Thi Thi Lwin" refreshedDate="43215.467411805555" createdVersion="4" refreshedVersion="5" minRefreshableVersion="3" recordCount="162">
  <cacheSource type="worksheet">
    <worksheetSource name="Data_Vulnerability_t"/>
  </cacheSource>
  <cacheFields count="10">
    <cacheField name="State" numFmtId="0">
      <sharedItems/>
    </cacheField>
    <cacheField name="Township" numFmtId="0">
      <sharedItems count="3">
        <s v="Pauktaw"/>
        <s v="Sittwe"/>
        <s v="Myebon"/>
      </sharedItems>
    </cacheField>
    <cacheField name="Camp Name" numFmtId="0">
      <sharedItems/>
    </cacheField>
    <cacheField name="Pcode" numFmtId="0">
      <sharedItems/>
    </cacheField>
    <cacheField name="Vulnerability" numFmtId="0">
      <sharedItems count="22">
        <s v="Physically disabled"/>
        <s v="Mentally disabled"/>
        <s v="Persons with serious medical condition"/>
        <s v="Unaccompanied children (&lt;18)"/>
        <s v="Separated children (&lt;18)"/>
        <s v="Older persons at risk"/>
        <s v="Single headed households"/>
        <s v="Pregnant women"/>
        <s v="Lactating women"/>
        <s v="Mental dis. " u="1"/>
        <s v="Child HH" u="1"/>
        <s v="Elderly at Risk" u="1"/>
        <s v="Separated chidlren" u="1"/>
        <s v="Single Parent" u="1"/>
        <s v="Single Parent Female" u="1"/>
        <s v="Serious Medical Conditions" u="1"/>
        <s v="Single Parent Male" u="1"/>
        <s v="Children at Risk" u="1"/>
        <s v="Disabilities" u="1"/>
        <s v="Physical dis." u="1"/>
        <s v="Unaccompanied children" u="1"/>
        <s v="Women at Risk" u="1"/>
      </sharedItems>
    </cacheField>
    <cacheField name="Male" numFmtId="0">
      <sharedItems containsString="0" containsBlank="1" containsNumber="1" containsInteger="1" minValue="0" maxValue="214"/>
    </cacheField>
    <cacheField name="Female" numFmtId="0">
      <sharedItems containsBlank="1" containsMixedTypes="1" containsNumber="1" containsInteger="1" minValue="0" maxValue="892"/>
    </cacheField>
    <cacheField name="Total" numFmtId="0">
      <sharedItems containsSemiMixedTypes="0" containsString="0" containsNumber="1" containsInteger="1" minValue="0" maxValue="892"/>
    </cacheField>
    <cacheField name="Source" numFmtId="0">
      <sharedItems/>
    </cacheField>
    <cacheField name="Updated date" numFmtId="170">
      <sharedItems containsNonDate="0" containsDate="1" containsString="0" containsBlank="1" minDate="2017-08-31T00:00:00" maxDate="2018-04-01T00:00:00"/>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Thi Thi Lwin" refreshedDate="43215.504585879629" createdVersion="4" refreshedVersion="5" minRefreshableVersion="3" recordCount="88">
  <cacheSource type="worksheet">
    <worksheetSource name="Data_Shelter_t"/>
  </cacheSource>
  <cacheFields count="27">
    <cacheField name="DateUpdated" numFmtId="15">
      <sharedItems containsSemiMixedTypes="0" containsNonDate="0" containsDate="1" containsString="0" minDate="2013-10-01T00:00:00" maxDate="2017-09-13T00:00:00"/>
    </cacheField>
    <cacheField name="Organization" numFmtId="49">
      <sharedItems count="17">
        <s v="Self Constructed"/>
        <s v="IRW"/>
        <s v="Government"/>
        <s v="RSG"/>
        <s v="MRCS-QRC"/>
        <s v="Service City"/>
        <s v="UNHCR"/>
        <s v="RSG-TIKA"/>
        <s v="DRC"/>
        <s v="TDC/Natala Government"/>
        <s v="UNHCR/BAJ"/>
        <s v="CARE"/>
        <s v="ICRC"/>
        <s v="MAUK"/>
        <s v="WFP"/>
        <s v="MRF"/>
        <s v="MRCS"/>
      </sharedItems>
    </cacheField>
    <cacheField name="Implementing Partner" numFmtId="49">
      <sharedItems/>
    </cacheField>
    <cacheField name="State" numFmtId="49">
      <sharedItems count="1">
        <s v="Rakhine"/>
      </sharedItems>
    </cacheField>
    <cacheField name="Township" numFmtId="49">
      <sharedItems containsBlank="1" count="13">
        <s v="Sittwe"/>
        <s v="Pauktaw"/>
        <s v="Kyaukpyu"/>
        <s v="Kyauktaw"/>
        <s v="Minbya"/>
        <s v="Mrauk-U"/>
        <s v="Myebon"/>
        <s v="Rathedaung"/>
        <s v="Maungdaw"/>
        <s v="Mrauk_U" u="1"/>
        <m u="1"/>
        <s v="Ramree" u="1"/>
        <s v="Kyauk_Phyu" u="1"/>
      </sharedItems>
    </cacheField>
    <cacheField name="Camp Name/ Relocation Sites" numFmtId="0">
      <sharedItems/>
    </cacheField>
    <cacheField name="HH per Shelter" numFmtId="0">
      <sharedItems containsSemiMixedTypes="0" containsString="0" containsNumber="1" containsInteger="1" minValue="1" maxValue="10"/>
    </cacheField>
    <cacheField name="#ofFamilyTentPlanned(Target)" numFmtId="0">
      <sharedItems containsString="0" containsBlank="1" containsNumber="1" containsInteger="1" minValue="110" maxValue="110"/>
    </cacheField>
    <cacheField name="#ofFamilyTentDistributed" numFmtId="0">
      <sharedItems containsString="0" containsBlank="1" containsNumber="1" containsInteger="1" minValue="110" maxValue="110"/>
    </cacheField>
    <cacheField name="# of Temporary Shelter Planned (Target)" numFmtId="0">
      <sharedItems containsString="0" containsBlank="1" containsNumber="1" containsInteger="1" minValue="2" maxValue="221"/>
    </cacheField>
    <cacheField name="# of Temporary Shelter Built" numFmtId="0">
      <sharedItems containsBlank="1" containsMixedTypes="1" containsNumber="1" containsInteger="1" minValue="2" maxValue="221"/>
    </cacheField>
    <cacheField name="# of Temporary Shelter Under Construction" numFmtId="0">
      <sharedItems containsString="0" containsBlank="1" containsNumber="1" containsInteger="1" minValue="0" maxValue="0"/>
    </cacheField>
    <cacheField name="# of Permanent House Planned (Target)" numFmtId="0">
      <sharedItems containsString="0" containsBlank="1" containsNumber="1" containsInteger="1" minValue="2" maxValue="77"/>
    </cacheField>
    <cacheField name="# of Permanent House Built" numFmtId="0">
      <sharedItems containsString="0" containsBlank="1" containsNumber="1" containsInteger="1" minValue="2" maxValue="77"/>
    </cacheField>
    <cacheField name="#of Permanent House Under Construction" numFmtId="0">
      <sharedItems containsNonDate="0" containsString="0" containsBlank="1"/>
    </cacheField>
    <cacheField name="# Informal /Makeshift Shelter Built" numFmtId="0">
      <sharedItems containsString="0" containsBlank="1" containsNumber="1" containsInteger="1" minValue="507" maxValue="2376"/>
    </cacheField>
    <cacheField name="# of Individual House Planned (Target)" numFmtId="0">
      <sharedItems containsString="0" containsBlank="1" containsNumber="1" containsInteger="1" minValue="4" maxValue="891"/>
    </cacheField>
    <cacheField name="# of Individual House Built" numFmtId="0">
      <sharedItems containsString="0" containsBlank="1" containsNumber="1" containsInteger="1" minValue="4" maxValue="891"/>
    </cacheField>
    <cacheField name="#of Individual House Under Construction" numFmtId="0">
      <sharedItems containsNonDate="0" containsString="0" containsBlank="1"/>
    </cacheField>
    <cacheField name="HH Covered" numFmtId="0">
      <sharedItems containsSemiMixedTypes="0" containsString="0" containsNumber="1" containsInteger="1" minValue="0" maxValue="2376"/>
    </cacheField>
    <cacheField name="HH Covered 2" numFmtId="0">
      <sharedItems containsSemiMixedTypes="0" containsString="0" containsNumber="1" containsInteger="1" minValue="0" maxValue="2376"/>
    </cacheField>
    <cacheField name="Pcode" numFmtId="0">
      <sharedItems containsBlank="1"/>
    </cacheField>
    <cacheField name="Status" numFmtId="0">
      <sharedItems count="5">
        <s v="Open"/>
        <s v="Relocated"/>
        <s v=""/>
        <s v="Returned"/>
        <s v="Close" u="1"/>
      </sharedItems>
    </cacheField>
    <cacheField name="Coverage" numFmtId="9">
      <sharedItems containsMixedTypes="1" containsNumber="1" minValue="0" maxValue="1.2188006482982172"/>
    </cacheField>
    <cacheField name="Plan" numFmtId="0">
      <sharedItems containsSemiMixedTypes="0" containsString="0" containsNumber="1" containsInteger="1" minValue="0" maxValue="891"/>
    </cacheField>
    <cacheField name="Built" numFmtId="0">
      <sharedItems containsSemiMixedTypes="0" containsString="0" containsNumber="1" containsInteger="1" minValue="0" maxValue="891"/>
    </cacheField>
    <cacheField name="Remark" numFmtId="0">
      <sharedItems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May Khaing" refreshedDate="43606.444952777776" missingItemsLimit="0" createdVersion="4" refreshedVersion="5" minRefreshableVersion="3" recordCount="127">
  <cacheSource type="worksheet">
    <worksheetSource name="AllData_CampList"/>
  </cacheSource>
  <cacheFields count="37">
    <cacheField name="Status" numFmtId="0">
      <sharedItems containsBlank="1" count="5">
        <s v="Open"/>
        <s v="Close"/>
        <s v="Relocated"/>
        <s v="Returned"/>
        <m/>
      </sharedItems>
    </cacheField>
    <cacheField name="State" numFmtId="0">
      <sharedItems containsBlank="1" count="2">
        <s v="Rakhine"/>
        <m/>
      </sharedItems>
    </cacheField>
    <cacheField name="State_Pcode" numFmtId="0">
      <sharedItems containsBlank="1"/>
    </cacheField>
    <cacheField name="District" numFmtId="0">
      <sharedItems containsBlank="1"/>
    </cacheField>
    <cacheField name="District_Pcode" numFmtId="0">
      <sharedItems containsBlank="1"/>
    </cacheField>
    <cacheField name="TOWNSHIP_NAME" numFmtId="0">
      <sharedItems containsBlank="1" count="11">
        <s v="Pauktaw"/>
        <s v="Sittwe"/>
        <s v="Ramree"/>
        <s v="Kyauktaw"/>
        <s v="Kyaukpyu"/>
        <s v="Myebon"/>
        <s v="Mrauk-U"/>
        <s v="Maungdaw"/>
        <s v="Minbya"/>
        <s v="Rathedaung"/>
        <m/>
      </sharedItems>
    </cacheField>
    <cacheField name="Township_Pcode" numFmtId="0">
      <sharedItems containsBlank="1"/>
    </cacheField>
    <cacheField name="VillageTracKTown_Name" numFmtId="0">
      <sharedItems containsBlank="1"/>
    </cacheField>
    <cacheField name="VillageTrackTown_Pcode" numFmtId="0">
      <sharedItems containsBlank="1"/>
    </cacheField>
    <cacheField name="VillageWard_Name" numFmtId="0">
      <sharedItems containsBlank="1"/>
    </cacheField>
    <cacheField name="VillageWard_Pcode" numFmtId="0">
      <sharedItems containsBlank="1" containsMixedTypes="1" containsNumber="1" containsInteger="1" minValue="196154" maxValue="217973"/>
    </cacheField>
    <cacheField name="Camp Name" numFmtId="0">
      <sharedItems containsBlank="1" count="106">
        <s v="Ah Nauk Ywe"/>
        <s v="Basare"/>
        <s v="Baw Du Pha (IDP in host families)"/>
        <s v="Baw Du Pha 1"/>
        <s v="Ramree Ward 6"/>
        <s v="Baw Du Pha 2"/>
        <s v="Dar Pai"/>
        <s v="Dar Pai (IDP in host families)"/>
        <s v="Nidin"/>
        <s v="Khaung Doke Khar "/>
        <s v="Kyein Ni Pyin"/>
        <s v="Maw Ti Ngar"/>
        <s v="Nget Chaung 2"/>
        <s v="Ohn Taw Chay"/>
        <s v="Ohn Taw Gyi (North)"/>
        <s v="Kyauk Ta Lone"/>
        <s v="Ramree Town"/>
        <s v="Ohn Taw Gyi (South)"/>
        <s v="Say Tha Mar Gyi"/>
        <s v="Sin Tet Maw"/>
        <s v="Taung Paw "/>
        <s v="Thae Chaung"/>
        <s v="Thet Kae Pyin "/>
        <s v="Thet Kae Pyin (IDPs in host family)"/>
        <s v="Nget Chaung 1"/>
        <s v="Ka Nyin Taw"/>
        <s v="Mingan"/>
        <s v="Khaung Htoke"/>
        <s v="Raw Ma Ni Sin Oe"/>
        <s v="Thi Kyar"/>
        <s v="Ba Wan Chaung Wa Su"/>
        <s v="Sat Roe Kya 1"/>
        <s v="Sat Roe Kya 2"/>
        <s v="Set Yone Su"/>
        <s v="Kan Thar Htwat Wa"/>
        <s v="Nyaung Pin Hla"/>
        <s v="Ah Pauk Wa "/>
        <s v="Ah Lel"/>
        <s v="Ah Lel Kyun"/>
        <s v="Goke Pi Htaunt"/>
        <s v="In Bar Yi"/>
        <s v="Let Saung Kauk"/>
        <s v="Shwe Hlaing"/>
        <s v="Taung Bwe"/>
        <s v="Yun Nyar"/>
        <s v="Set Yone Maw"/>
        <s v="Aung Taing"/>
        <s v="Paik Thay"/>
        <s v="Sam Ba Le"/>
        <s v="San Htoe Tan"/>
        <s v="Tha Dar"/>
        <s v="Tha Yet Oak"/>
        <s v="Pa Rein"/>
        <s v="Yai Thei-Muslim"/>
        <s v="Ah Nauk Pyin"/>
        <s v="Nyaung Pin Gyi"/>
        <s v="Baw Di Gone"/>
        <s v="Bomu Ywa 2"/>
        <s v="Kan Thar Yar"/>
        <s v="Kin Chaung"/>
        <s v="Kyaing Gyi"/>
        <s v="Maw Ya Waddy"/>
        <s v="Tha Yay Kone Baung"/>
        <s v="Ywa thit Kay 2"/>
        <s v="Alima Fara"/>
        <s v="Lamber Gone Nah"/>
        <s v="Ywa thit Kay 3"/>
        <s v="Nagara Pauktaw"/>
        <s v="Thay Kan"/>
        <s v="Myat Buddha Mandine Monastery"/>
        <s v="Sin Tet Maw (from Nget Chaung)"/>
        <s v="Ar Thaw Ka Yone Monastery"/>
        <s v="Dak Kaung Monastery"/>
        <s v="Dama Set Kyar Monastery"/>
        <s v="Gyit Bak Monastery"/>
        <s v="Gyit Chay Monastery"/>
        <s v="Kha Maung Taw Monastery"/>
        <s v="Layaungwin Monastery"/>
        <s v="Ma Ni Yadanar Monastery"/>
        <s v="Myo Ma Monastery"/>
        <s v="Pyin Nyar Mandine Monastery"/>
        <s v="Shwe Zay Ti Monastery"/>
        <s v="Sin Ku Lann Monastery"/>
        <s v="Su Taung Pyae Monastery"/>
        <s v="Thangga Yarzar Monastery"/>
        <s v="Theit Di Kar Yone Monastery"/>
        <s v="Weikzar Thaikdi Monastery"/>
        <s v="Ya Tayar Monastery"/>
        <s v="Baw Du Pha"/>
        <s v="Danyawaddy Baw Lone Kwin"/>
        <s v="Dohn Taik Kwin"/>
        <s v="Hmanzi "/>
        <s v="Hmanzi Junction"/>
        <s v="Ma Gyi Myaing"/>
        <s v="Ohn Taw Gyi 1"/>
        <s v="Ohn Taw Gyi 3"/>
        <s v="Ohn Taw Gyi 4"/>
        <s v="Ohn Taw Gyi 5"/>
        <s v="Phwe Yar Kone"/>
        <s v="Bu May Ohn Taw"/>
        <s v="Bu May Ohn Taw Shore"/>
        <s v="Pa Lin Pyin Ywar Thit"/>
        <s v="Sat Roe Kya"/>
        <s v="Thae Chaung (Kyaukphyu)"/>
        <s v="Thae Chaung (IDP in host families)"/>
        <m/>
      </sharedItems>
      <fieldGroup par="36"/>
    </cacheField>
    <cacheField name="P_Code" numFmtId="0">
      <sharedItems containsBlank="1" count="106">
        <s v="MMR012CMP016"/>
        <s v="MMR012CMP039"/>
        <s v="MMR012CMP103"/>
        <s v="MMR012CMP113"/>
        <s v="MMR012CMP037"/>
        <s v="MMR012CMP114"/>
        <s v="MMR012CMP041"/>
        <s v="MMR012CMP097"/>
        <s v="MMR012CMP023"/>
        <s v="MMR012CMP042"/>
        <s v="MMR012CMP018"/>
        <s v="MMR012CMP092"/>
        <s v="MMR012CMP017"/>
        <s v="MMR012CMP098"/>
        <s v="MMR012CMP115"/>
        <s v="MMR012CMP035"/>
        <s v="MMR012CMP038"/>
        <s v="MMR012CMP116"/>
        <s v="MMR012CMP045"/>
        <s v="MMR012CMP019"/>
        <s v="MMR012CMP014"/>
        <s v="MMR012CMP046"/>
        <s v="MMR012CMP048"/>
        <s v="MMR012CMP091"/>
        <s v="MMR012CMP036"/>
        <s v="MMR012CMP093"/>
        <s v="MMR012CMP030"/>
        <s v="MMR012CMP012"/>
        <s v="MMR012CMP117"/>
        <s v="MMR012CMP015"/>
        <s v="MMR012CMP111"/>
        <s v="MMR012CMP112"/>
        <s v="MMR012CMP056"/>
        <s v="MMR012CMP013"/>
        <s v="MMR012CMP082"/>
        <s v="MMR012CMP024"/>
        <s v="MMR012CMP022"/>
        <s v="MMR012CMP025"/>
        <s v="MMR012CMP027"/>
        <s v="MMR012CMP026"/>
        <s v="MMR012CMP020"/>
        <s v="MMR012CMP029"/>
        <s v="MMR012CMP021"/>
        <s v="MMR012CMP028"/>
        <s v="MMR012CMP104"/>
        <s v="MMR012CMP006"/>
        <s v="MMR012CMP001"/>
        <s v="MMR012CMP008"/>
        <s v="MMR012CMP003"/>
        <s v="MMR012CMP002"/>
        <s v="MMR012CMP005"/>
        <s v="MMR012CMP009"/>
        <s v="MMR012CMP010"/>
        <s v="MMR012CMP032"/>
        <s v="MMR012CMP031"/>
        <s v="MMR012CMP079"/>
        <s v="MMR012CMP106"/>
        <s v="MMR012CMP081"/>
        <s v="MMR012CMP080"/>
        <s v="MMR012CMP078"/>
        <s v="MMR012CMP076"/>
        <s v="MMR012CMP077"/>
        <s v="MMR012CMP107"/>
        <s v="MMR012CMP089"/>
        <s v="MMR012CMP087"/>
        <s v="MMR012CMP108"/>
        <s v="MMR012CMP004"/>
        <s v="MMR012CMP007"/>
        <s v="MMR012CMP011"/>
        <s v="MMR012CMP096"/>
        <s v="MMR012CMP069"/>
        <s v="MMR012CMP059"/>
        <s v="MMR012CMP060"/>
        <s v="MMR012CMP073"/>
        <s v="MMR012CMP061"/>
        <s v="MMR012CMP071"/>
        <s v="MMR012CMP062"/>
        <s v="MMR012CMP072"/>
        <s v="MMR012CMP063"/>
        <s v="MMR012CMP064"/>
        <s v="MMR012CMP065"/>
        <s v="MMR012CMP068"/>
        <s v="MMR012CMP066"/>
        <s v="MMR012CMP070"/>
        <s v="MMR012CMP067"/>
        <s v="MMR012CMP075"/>
        <s v="MMR012CMP074"/>
        <s v="MMR012CMP040"/>
        <s v="MMR012CMP055"/>
        <s v="MMR012CMP057"/>
        <s v="MMR012CMP102"/>
        <s v="MMR012CMP049"/>
        <s v="MMR012CMP053"/>
        <s v="MMR012CMP054"/>
        <s v="MMR012CMP043"/>
        <s v="MMR012CMP090"/>
        <s v="MMR012CMP099"/>
        <s v="MMR012CMP100"/>
        <s v="MMR012CMP044"/>
        <s v="MMR012CMP051"/>
        <s v="MMR012CMP052"/>
        <s v="MMR012CMP050"/>
        <s v="MMR012CMP105"/>
        <s v="MMR012CMP047"/>
        <s v="MMR012CMP101"/>
        <m/>
      </sharedItems>
    </cacheField>
    <cacheField name="Longitude" numFmtId="0">
      <sharedItems containsBlank="1" containsMixedTypes="1" containsNumber="1" minValue="92.362196999999995" maxValue="93.865170000000006"/>
    </cacheField>
    <cacheField name="Latitude" numFmtId="0">
      <sharedItems containsBlank="1" containsMixedTypes="1" containsNumber="1" minValue="19.088283000000001" maxValue="20.929649000000001"/>
    </cacheField>
    <cacheField name="Altitude" numFmtId="0">
      <sharedItems containsBlank="1"/>
    </cacheField>
    <cacheField name="HH" numFmtId="0">
      <sharedItems containsString="0" containsBlank="1" containsNumber="1" containsInteger="1" minValue="10" maxValue="2692"/>
    </cacheField>
    <cacheField name="Total" numFmtId="0">
      <sharedItems containsString="0" containsBlank="1" containsNumber="1" containsInteger="1" minValue="64" maxValue="13794"/>
    </cacheField>
    <cacheField name="Avg" numFmtId="169">
      <sharedItems containsString="0" containsBlank="1" containsNumber="1" minValue="0" maxValue="8.7222222222222214"/>
    </cacheField>
    <cacheField name="Accessibility" numFmtId="0">
      <sharedItems containsBlank="1"/>
    </cacheField>
    <cacheField name="Affected population" numFmtId="0">
      <sharedItems containsBlank="1"/>
    </cacheField>
    <cacheField name="Type of Accomodation" numFmtId="0">
      <sharedItems containsBlank="1" count="6">
        <s v="Planned Camp"/>
        <s v="Host Families"/>
        <s v="Self Settled Camp"/>
        <s v="Individual House"/>
        <m/>
        <s v="Collective Center"/>
      </sharedItems>
    </cacheField>
    <cacheField name="Isolated Location" numFmtId="0">
      <sharedItems containsBlank="1"/>
    </cacheField>
    <cacheField name="Opening Date" numFmtId="0">
      <sharedItems containsNonDate="0" containsString="0" containsBlank="1"/>
    </cacheField>
    <cacheField name="Ethnicity" numFmtId="0">
      <sharedItems containsBlank="1" count="4">
        <m/>
        <s v="Rakhine"/>
        <s v="Kaman"/>
        <s v="Maramargyi"/>
      </sharedItems>
    </cacheField>
    <cacheField name="Religion" numFmtId="0">
      <sharedItems containsBlank="1"/>
    </cacheField>
    <cacheField name="Type of Population" numFmtId="0">
      <sharedItems containsBlank="1" count="6">
        <s v="-Muslim"/>
        <m/>
        <s v="Rakhine-Buddhist"/>
        <s v="Kaman-Muslim"/>
        <s v="Maramargyi-Buddhist"/>
        <s v="-"/>
      </sharedItems>
    </cacheField>
    <cacheField name="Type of Location" numFmtId="0">
      <sharedItems containsBlank="1"/>
    </cacheField>
    <cacheField name="CM/FP" numFmtId="0">
      <sharedItems containsBlank="1" count="3">
        <s v="Camp Management"/>
        <s v="Focal Point"/>
        <m/>
      </sharedItems>
    </cacheField>
    <cacheField name="Responsible Agency" numFmtId="0">
      <sharedItems containsBlank="1" count="7">
        <s v="LWF"/>
        <s v="UNHCR"/>
        <s v="DRC"/>
        <m/>
        <s v="NRC"/>
        <s v="RI"/>
        <s v=" "/>
      </sharedItems>
    </cacheField>
    <cacheField name="Source" numFmtId="0">
      <sharedItems containsBlank="1"/>
    </cacheField>
    <cacheField name="Method" numFmtId="0">
      <sharedItems containsBlank="1"/>
    </cacheField>
    <cacheField name="Update Date" numFmtId="0">
      <sharedItems containsNonDate="0" containsDate="1" containsString="0" containsBlank="1" minDate="2013-09-03T00:00:00" maxDate="2018-04-01T00:00:00"/>
    </cacheField>
    <cacheField name="Comment" numFmtId="0">
      <sharedItems containsBlank="1"/>
    </cacheField>
    <cacheField name="Contact" numFmtId="0">
      <sharedItems containsMixedTypes="1" containsNumber="1" containsInteger="1" minValue="0" maxValue="0" count="7">
        <s v="Yadu Shresk_x000a_Emergency Project Coordinator_x000a_campro.mmr@lwfdws.org"/>
        <s v="Richard Tracey, CCCM/NFI/Shelter Cluster Coordinator, tracey@unhcr.org,09448027896"/>
        <s v="Travis Lyon_x000a_CCCM Officer_x000a_travis.lyon@drcmm.org_x000a_Phone: +95 976 089 8622 "/>
        <s v=""/>
        <s v="Yasmine Maimuna Colijn , Camp Management PM _x000a_ , yasmine.colijn@nrc.no, +95(0) 9250526637 "/>
        <s v="Alejandro Cuyar, Head of Rakhine Programs, _x000a_alejandro.cuyar@ri.org"/>
        <n v="0"/>
      </sharedItems>
    </cacheField>
    <cacheField name="shelter_coverage" numFmtId="9">
      <sharedItems containsSemiMixedTypes="0" containsString="0" containsNumber="1" minValue="0" maxValue="1"/>
    </cacheField>
    <cacheField name="Camp Name2" numFmtId="0" databaseField="0">
      <fieldGroup base="11">
        <discretePr count="106">
          <x v="59"/>
          <x v="59"/>
          <x v="5"/>
          <x v="59"/>
          <x v="42"/>
          <x v="59"/>
          <x v="59"/>
          <x v="12"/>
          <x v="60"/>
          <x v="59"/>
          <x v="59"/>
          <x v="59"/>
          <x v="64"/>
          <x v="59"/>
          <x v="59"/>
          <x v="22"/>
          <x v="41"/>
          <x v="59"/>
          <x v="59"/>
          <x v="59"/>
          <x v="59"/>
          <x v="59"/>
          <x v="59"/>
          <x v="54"/>
          <x v="63"/>
          <x v="61"/>
          <x v="28"/>
          <x v="60"/>
          <x v="60"/>
          <x v="60"/>
          <x v="59"/>
          <x v="59"/>
          <x v="59"/>
          <x v="59"/>
          <x v="59"/>
          <x v="33"/>
          <x v="60"/>
          <x v="60"/>
          <x v="60"/>
          <x v="60"/>
          <x v="60"/>
          <x v="60"/>
          <x v="60"/>
          <x v="60"/>
          <x v="60"/>
          <x v="60"/>
          <x v="60"/>
          <x v="60"/>
          <x v="60"/>
          <x v="60"/>
          <x v="60"/>
          <x v="60"/>
          <x v="60"/>
          <x v="60"/>
          <x v="0"/>
          <x v="32"/>
          <x v="3"/>
          <x v="6"/>
          <x v="18"/>
          <x v="20"/>
          <x v="21"/>
          <x v="27"/>
          <x v="48"/>
          <x v="57"/>
          <x v="1"/>
          <x v="23"/>
          <x v="58"/>
          <x v="31"/>
          <x v="52"/>
          <x v="29"/>
          <x v="46"/>
          <x v="2"/>
          <x v="9"/>
          <x v="10"/>
          <x v="14"/>
          <x v="15"/>
          <x v="19"/>
          <x v="24"/>
          <x v="26"/>
          <x v="30"/>
          <x v="40"/>
          <x v="44"/>
          <x v="45"/>
          <x v="47"/>
          <x v="51"/>
          <x v="53"/>
          <x v="55"/>
          <x v="56"/>
          <x v="4"/>
          <x v="11"/>
          <x v="13"/>
          <x v="16"/>
          <x v="17"/>
          <x v="25"/>
          <x v="34"/>
          <x v="35"/>
          <x v="36"/>
          <x v="37"/>
          <x v="39"/>
          <x v="7"/>
          <x v="8"/>
          <x v="38"/>
          <x v="43"/>
          <x v="50"/>
          <x v="49"/>
          <x v="62"/>
        </discretePr>
        <groupItems count="65">
          <s v="Ah Nauk Pyin"/>
          <s v="Alima Fara"/>
          <s v="Ar Thaw Ka Yone Monastery"/>
          <s v="Baw Di Gone"/>
          <s v="Baw Du Pha"/>
          <s v="Baw Du Pha (IDP in host families)"/>
          <s v="Bomu Ywa 2"/>
          <s v="Bu May Ohn Taw"/>
          <s v="Bu May Ohn Taw Shore"/>
          <s v="Dak Kaung Monastery"/>
          <s v="Dama Set Kyar Monastery"/>
          <s v="Danyawaddy Baw Lone Kwin"/>
          <s v="Dar Pai (IDP in host families)"/>
          <s v="Dohn Taik Kwin"/>
          <s v="Gyit Bak Monastery"/>
          <s v="Gyit Chay Monastery"/>
          <s v="Hmanzi "/>
          <s v="Hmanzi Junction"/>
          <s v="Kan Thar Yar"/>
          <s v="Kha Maung Taw Monastery"/>
          <s v="Kin Chaung"/>
          <s v="Kyaing Gyi"/>
          <s v="Kyauk Ta Lone"/>
          <s v="Lamber Gone Nah"/>
          <s v="Layaungwin Monastery"/>
          <s v="Ma Gyi Myaing"/>
          <s v="Ma Ni Yadanar Monastery"/>
          <s v="Maw Ya Waddy"/>
          <s v="Mingan"/>
          <s v="Myat Buddha Mandine Monastery"/>
          <s v="Myo Ma Monastery"/>
          <s v="Nagara Pauktaw"/>
          <s v="Nyaung Pin Gyi"/>
          <s v="Nyaung Pin Hla"/>
          <s v="Ohn Taw Gyi 1"/>
          <s v="Ohn Taw Gyi 3"/>
          <s v="Ohn Taw Gyi 4"/>
          <s v="Ohn Taw Gyi 5"/>
          <s v="Pa Lin Pyin Ywar Thit"/>
          <s v="Phwe Yar Kone"/>
          <s v="Pyin Nyar Mandine Monastery"/>
          <s v="Ramree Town"/>
          <s v="Ramree Ward 6"/>
          <s v="Sat Roe Kya"/>
          <s v="Shwe Zay Ti Monastery"/>
          <s v="Sin Ku Lann Monastery"/>
          <s v="Sin Tet Maw (from Nget Chaung)"/>
          <s v="Su Taung Pyae Monastery"/>
          <s v="Tha Yay Kone Baung"/>
          <s v="Thae Chaung (IDP in host families)"/>
          <s v="Thae Chaung (Kyaukphyu)"/>
          <s v="Thangga Yarzar Monastery"/>
          <s v="Thay Kan"/>
          <s v="Theit Di Kar Yone Monastery"/>
          <s v="Thet Kae Pyin (IDPs in host family)"/>
          <s v="Weikzar Thaikdi Monastery"/>
          <s v="Ya Tayar Monastery"/>
          <s v="Ywa thit Kay 2"/>
          <s v="Ywa thit Kay 3"/>
          <s v="Group1"/>
          <s v="Group2"/>
          <s v="Ka Nyin Taw"/>
          <m/>
          <s v="Nget Chaung 1"/>
          <s v="Nget Chaung 2"/>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216">
  <r>
    <s v="Rakhine"/>
    <x v="0"/>
    <x v="0"/>
    <s v="MMR012CMP016"/>
    <x v="0"/>
    <x v="0"/>
    <n v="456"/>
    <n v="-456"/>
    <s v="LWF"/>
    <d v="2018-03-31T00:00:00"/>
  </r>
  <r>
    <s v="Rakhine"/>
    <x v="0"/>
    <x v="0"/>
    <s v="MMR012CMP016"/>
    <x v="0"/>
    <x v="1"/>
    <n v="528"/>
    <n v="528"/>
    <s v="LWF"/>
    <d v="2018-03-31T00:00:00"/>
  </r>
  <r>
    <s v="Rakhine"/>
    <x v="0"/>
    <x v="0"/>
    <s v="MMR012CMP016"/>
    <x v="1"/>
    <x v="0"/>
    <n v="473"/>
    <n v="-473"/>
    <s v="LWF"/>
    <d v="2018-03-31T00:00:00"/>
  </r>
  <r>
    <s v="Rakhine"/>
    <x v="0"/>
    <x v="0"/>
    <s v="MMR012CMP016"/>
    <x v="1"/>
    <x v="1"/>
    <n v="401"/>
    <n v="401"/>
    <s v="LWF"/>
    <d v="2018-03-31T00:00:00"/>
  </r>
  <r>
    <s v="Rakhine"/>
    <x v="0"/>
    <x v="0"/>
    <s v="MMR012CMP016"/>
    <x v="2"/>
    <x v="0"/>
    <n v="260"/>
    <n v="-260"/>
    <s v="LWF"/>
    <d v="2018-03-31T00:00:00"/>
  </r>
  <r>
    <s v="Rakhine"/>
    <x v="0"/>
    <x v="0"/>
    <s v="MMR012CMP016"/>
    <x v="2"/>
    <x v="1"/>
    <n v="212"/>
    <n v="212"/>
    <s v="LWF"/>
    <d v="2018-03-31T00:00:00"/>
  </r>
  <r>
    <s v="Rakhine"/>
    <x v="0"/>
    <x v="0"/>
    <s v="MMR012CMP016"/>
    <x v="3"/>
    <x v="0"/>
    <n v="337"/>
    <n v="-337"/>
    <s v="LWF"/>
    <d v="2018-03-31T00:00:00"/>
  </r>
  <r>
    <s v="Rakhine"/>
    <x v="0"/>
    <x v="0"/>
    <s v="MMR012CMP016"/>
    <x v="3"/>
    <x v="1"/>
    <n v="528"/>
    <n v="528"/>
    <s v="LWF"/>
    <d v="2018-03-31T00:00:00"/>
  </r>
  <r>
    <s v="Rakhine"/>
    <x v="0"/>
    <x v="0"/>
    <s v="MMR012CMP016"/>
    <x v="4"/>
    <x v="0"/>
    <n v="500"/>
    <n v="-500"/>
    <s v="LWF"/>
    <d v="2018-03-31T00:00:00"/>
  </r>
  <r>
    <s v="Rakhine"/>
    <x v="0"/>
    <x v="0"/>
    <s v="MMR012CMP016"/>
    <x v="4"/>
    <x v="1"/>
    <n v="544"/>
    <n v="544"/>
    <s v="LWF"/>
    <d v="2018-03-31T00:00:00"/>
  </r>
  <r>
    <s v="Rakhine"/>
    <x v="0"/>
    <x v="0"/>
    <s v="MMR012CMP016"/>
    <x v="5"/>
    <x v="0"/>
    <n v="70"/>
    <n v="-70"/>
    <s v="LWF"/>
    <d v="2018-03-31T00:00:00"/>
  </r>
  <r>
    <s v="Rakhine"/>
    <x v="0"/>
    <x v="0"/>
    <s v="MMR012CMP016"/>
    <x v="5"/>
    <x v="1"/>
    <n v="55"/>
    <n v="55"/>
    <s v="LWF"/>
    <d v="2018-03-31T00:00:00"/>
  </r>
  <r>
    <s v="Rakhine"/>
    <x v="1"/>
    <x v="1"/>
    <s v="MMR012CMP113"/>
    <x v="0"/>
    <x v="0"/>
    <n v="367"/>
    <n v="-367"/>
    <s v="DRC"/>
    <d v="2018-03-31T00:00:00"/>
  </r>
  <r>
    <s v="Rakhine"/>
    <x v="1"/>
    <x v="1"/>
    <s v="MMR012CMP113"/>
    <x v="0"/>
    <x v="1"/>
    <n v="413"/>
    <n v="413"/>
    <s v="DRC"/>
    <d v="2018-03-31T00:00:00"/>
  </r>
  <r>
    <s v="Rakhine"/>
    <x v="1"/>
    <x v="1"/>
    <s v="MMR012CMP113"/>
    <x v="1"/>
    <x v="0"/>
    <n v="427"/>
    <n v="-427"/>
    <s v="DRC"/>
    <d v="2018-03-31T00:00:00"/>
  </r>
  <r>
    <s v="Rakhine"/>
    <x v="1"/>
    <x v="1"/>
    <s v="MMR012CMP113"/>
    <x v="1"/>
    <x v="1"/>
    <n v="382"/>
    <n v="382"/>
    <s v="DRC"/>
    <d v="2018-03-31T00:00:00"/>
  </r>
  <r>
    <s v="Rakhine"/>
    <x v="1"/>
    <x v="1"/>
    <s v="MMR012CMP113"/>
    <x v="2"/>
    <x v="0"/>
    <n v="410"/>
    <n v="-410"/>
    <s v="DRC"/>
    <d v="2018-03-31T00:00:00"/>
  </r>
  <r>
    <s v="Rakhine"/>
    <x v="1"/>
    <x v="1"/>
    <s v="MMR012CMP113"/>
    <x v="2"/>
    <x v="1"/>
    <n v="328"/>
    <n v="328"/>
    <s v="DRC"/>
    <d v="2018-03-31T00:00:00"/>
  </r>
  <r>
    <s v="Rakhine"/>
    <x v="1"/>
    <x v="1"/>
    <s v="MMR012CMP113"/>
    <x v="3"/>
    <x v="0"/>
    <n v="378"/>
    <n v="-378"/>
    <s v="DRC"/>
    <d v="2018-03-31T00:00:00"/>
  </r>
  <r>
    <s v="Rakhine"/>
    <x v="1"/>
    <x v="1"/>
    <s v="MMR012CMP113"/>
    <x v="3"/>
    <x v="1"/>
    <n v="453"/>
    <n v="453"/>
    <s v="DRC"/>
    <d v="2018-03-31T00:00:00"/>
  </r>
  <r>
    <s v="Rakhine"/>
    <x v="1"/>
    <x v="1"/>
    <s v="MMR012CMP113"/>
    <x v="4"/>
    <x v="0"/>
    <n v="716"/>
    <n v="-716"/>
    <s v="DRC"/>
    <d v="2018-03-31T00:00:00"/>
  </r>
  <r>
    <s v="Rakhine"/>
    <x v="1"/>
    <x v="1"/>
    <s v="MMR012CMP113"/>
    <x v="4"/>
    <x v="1"/>
    <n v="775"/>
    <n v="775"/>
    <s v="DRC"/>
    <d v="2018-03-31T00:00:00"/>
  </r>
  <r>
    <s v="Rakhine"/>
    <x v="1"/>
    <x v="1"/>
    <s v="MMR012CMP113"/>
    <x v="5"/>
    <x v="0"/>
    <n v="99"/>
    <n v="-99"/>
    <s v="DRC"/>
    <d v="2018-03-31T00:00:00"/>
  </r>
  <r>
    <s v="Rakhine"/>
    <x v="1"/>
    <x v="1"/>
    <s v="MMR012CMP113"/>
    <x v="5"/>
    <x v="1"/>
    <n v="85"/>
    <n v="85"/>
    <s v="DRC"/>
    <d v="2018-03-31T00:00:00"/>
  </r>
  <r>
    <s v="Rakhine"/>
    <x v="1"/>
    <x v="2"/>
    <s v="MMR012CMP114"/>
    <x v="0"/>
    <x v="0"/>
    <n v="694"/>
    <n v="-694"/>
    <s v="DRC"/>
    <d v="2018-03-31T00:00:00"/>
  </r>
  <r>
    <s v="Rakhine"/>
    <x v="1"/>
    <x v="2"/>
    <s v="MMR012CMP114"/>
    <x v="0"/>
    <x v="1"/>
    <n v="689"/>
    <n v="689"/>
    <s v="DRC"/>
    <d v="2018-03-31T00:00:00"/>
  </r>
  <r>
    <s v="Rakhine"/>
    <x v="1"/>
    <x v="2"/>
    <s v="MMR012CMP114"/>
    <x v="1"/>
    <x v="0"/>
    <n v="689"/>
    <n v="-689"/>
    <s v="DRC"/>
    <d v="2018-03-31T00:00:00"/>
  </r>
  <r>
    <s v="Rakhine"/>
    <x v="1"/>
    <x v="2"/>
    <s v="MMR012CMP114"/>
    <x v="1"/>
    <x v="1"/>
    <n v="670"/>
    <n v="670"/>
    <s v="DRC"/>
    <d v="2018-03-31T00:00:00"/>
  </r>
  <r>
    <s v="Rakhine"/>
    <x v="1"/>
    <x v="2"/>
    <s v="MMR012CMP114"/>
    <x v="2"/>
    <x v="0"/>
    <n v="579"/>
    <n v="-579"/>
    <s v="DRC"/>
    <d v="2018-03-31T00:00:00"/>
  </r>
  <r>
    <s v="Rakhine"/>
    <x v="1"/>
    <x v="2"/>
    <s v="MMR012CMP114"/>
    <x v="2"/>
    <x v="1"/>
    <n v="575"/>
    <n v="575"/>
    <s v="DRC"/>
    <d v="2018-03-31T00:00:00"/>
  </r>
  <r>
    <s v="Rakhine"/>
    <x v="1"/>
    <x v="2"/>
    <s v="MMR012CMP114"/>
    <x v="3"/>
    <x v="0"/>
    <n v="675"/>
    <n v="-675"/>
    <s v="DRC"/>
    <d v="2018-03-31T00:00:00"/>
  </r>
  <r>
    <s v="Rakhine"/>
    <x v="1"/>
    <x v="2"/>
    <s v="MMR012CMP114"/>
    <x v="3"/>
    <x v="1"/>
    <n v="820"/>
    <n v="820"/>
    <s v="DRC"/>
    <d v="2018-03-31T00:00:00"/>
  </r>
  <r>
    <s v="Rakhine"/>
    <x v="1"/>
    <x v="2"/>
    <s v="MMR012CMP114"/>
    <x v="4"/>
    <x v="0"/>
    <n v="884"/>
    <n v="-884"/>
    <s v="DRC"/>
    <d v="2018-03-31T00:00:00"/>
  </r>
  <r>
    <s v="Rakhine"/>
    <x v="1"/>
    <x v="2"/>
    <s v="MMR012CMP114"/>
    <x v="4"/>
    <x v="1"/>
    <n v="862"/>
    <n v="862"/>
    <s v="DRC"/>
    <d v="2018-03-31T00:00:00"/>
  </r>
  <r>
    <s v="Rakhine"/>
    <x v="1"/>
    <x v="2"/>
    <s v="MMR012CMP114"/>
    <x v="5"/>
    <x v="0"/>
    <n v="120"/>
    <n v="-120"/>
    <s v="DRC"/>
    <d v="2018-03-31T00:00:00"/>
  </r>
  <r>
    <s v="Rakhine"/>
    <x v="1"/>
    <x v="2"/>
    <s v="MMR012CMP114"/>
    <x v="5"/>
    <x v="1"/>
    <n v="120"/>
    <n v="120"/>
    <s v="DRC"/>
    <d v="2018-03-31T00:00:00"/>
  </r>
  <r>
    <s v="Rakhine"/>
    <x v="1"/>
    <x v="3"/>
    <s v="MMR012CMP041"/>
    <x v="0"/>
    <x v="0"/>
    <n v="1017.9647974726391"/>
    <n v="-1017.9647974726391"/>
    <s v="DRC"/>
    <d v="2018-03-31T00:00:00"/>
  </r>
  <r>
    <s v="Rakhine"/>
    <x v="1"/>
    <x v="3"/>
    <s v="MMR012CMP041"/>
    <x v="0"/>
    <x v="1"/>
    <n v="963"/>
    <n v="963"/>
    <s v="DRC"/>
    <d v="2018-03-31T00:00:00"/>
  </r>
  <r>
    <s v="Rakhine"/>
    <x v="1"/>
    <x v="3"/>
    <s v="MMR012CMP041"/>
    <x v="1"/>
    <x v="0"/>
    <n v="1078.2221595396593"/>
    <n v="-1078.2221595396593"/>
    <s v="DRC"/>
    <d v="2018-03-31T00:00:00"/>
  </r>
  <r>
    <s v="Rakhine"/>
    <x v="1"/>
    <x v="3"/>
    <s v="MMR012CMP041"/>
    <x v="1"/>
    <x v="1"/>
    <n v="1087"/>
    <n v="1087"/>
    <s v="DRC"/>
    <d v="2018-03-31T00:00:00"/>
  </r>
  <r>
    <s v="Rakhine"/>
    <x v="1"/>
    <x v="3"/>
    <s v="MMR012CMP041"/>
    <x v="2"/>
    <x v="0"/>
    <n v="926.93771860543836"/>
    <n v="-926.93771860543836"/>
    <s v="DRC"/>
    <d v="2018-03-31T00:00:00"/>
  </r>
  <r>
    <s v="Rakhine"/>
    <x v="1"/>
    <x v="3"/>
    <s v="MMR012CMP041"/>
    <x v="2"/>
    <x v="1"/>
    <n v="956"/>
    <n v="956"/>
    <s v="DRC"/>
    <d v="2018-03-31T00:00:00"/>
  </r>
  <r>
    <s v="Rakhine"/>
    <x v="1"/>
    <x v="3"/>
    <s v="MMR012CMP041"/>
    <x v="3"/>
    <x v="0"/>
    <n v="947"/>
    <n v="-947"/>
    <s v="DRC"/>
    <d v="2018-03-31T00:00:00"/>
  </r>
  <r>
    <s v="Rakhine"/>
    <x v="1"/>
    <x v="3"/>
    <s v="MMR012CMP041"/>
    <x v="3"/>
    <x v="1"/>
    <n v="1207.7113844070857"/>
    <n v="1207.7113844070857"/>
    <s v="DRC"/>
    <d v="2018-03-31T00:00:00"/>
  </r>
  <r>
    <s v="Rakhine"/>
    <x v="1"/>
    <x v="3"/>
    <s v="MMR012CMP041"/>
    <x v="4"/>
    <x v="0"/>
    <n v="1321"/>
    <n v="-1321"/>
    <s v="DRC"/>
    <d v="2018-03-31T00:00:00"/>
  </r>
  <r>
    <s v="Rakhine"/>
    <x v="1"/>
    <x v="3"/>
    <s v="MMR012CMP041"/>
    <x v="4"/>
    <x v="1"/>
    <n v="1389.765542141487"/>
    <n v="1389.765542141487"/>
    <s v="DRC"/>
    <d v="2018-03-31T00:00:00"/>
  </r>
  <r>
    <s v="Rakhine"/>
    <x v="1"/>
    <x v="3"/>
    <s v="MMR012CMP041"/>
    <x v="5"/>
    <x v="0"/>
    <n v="234"/>
    <n v="-234"/>
    <s v="DRC"/>
    <d v="2018-03-31T00:00:00"/>
  </r>
  <r>
    <s v="Rakhine"/>
    <x v="1"/>
    <x v="3"/>
    <s v="MMR012CMP041"/>
    <x v="5"/>
    <x v="1"/>
    <n v="234"/>
    <n v="234"/>
    <s v="DRC"/>
    <d v="2018-03-31T00:00:00"/>
  </r>
  <r>
    <s v="Rakhine"/>
    <x v="1"/>
    <x v="4"/>
    <s v="MMR012CMP042"/>
    <x v="0"/>
    <x v="0"/>
    <n v="434"/>
    <n v="-434"/>
    <s v="LWF"/>
    <d v="2018-03-31T00:00:00"/>
  </r>
  <r>
    <s v="Rakhine"/>
    <x v="1"/>
    <x v="4"/>
    <s v="MMR012CMP042"/>
    <x v="0"/>
    <x v="1"/>
    <n v="449"/>
    <n v="449"/>
    <s v="LWF"/>
    <d v="2018-03-31T00:00:00"/>
  </r>
  <r>
    <s v="Rakhine"/>
    <x v="1"/>
    <x v="4"/>
    <s v="MMR012CMP042"/>
    <x v="1"/>
    <x v="0"/>
    <n v="419"/>
    <n v="-419"/>
    <s v="LWF"/>
    <d v="2018-03-31T00:00:00"/>
  </r>
  <r>
    <s v="Rakhine"/>
    <x v="1"/>
    <x v="4"/>
    <s v="MMR012CMP042"/>
    <x v="1"/>
    <x v="1"/>
    <n v="392"/>
    <n v="392"/>
    <s v="LWF"/>
    <d v="2018-03-31T00:00:00"/>
  </r>
  <r>
    <s v="Rakhine"/>
    <x v="1"/>
    <x v="4"/>
    <s v="MMR012CMP042"/>
    <x v="2"/>
    <x v="0"/>
    <n v="336"/>
    <n v="-336"/>
    <s v="LWF"/>
    <d v="2018-03-31T00:00:00"/>
  </r>
  <r>
    <s v="Rakhine"/>
    <x v="1"/>
    <x v="4"/>
    <s v="MMR012CMP042"/>
    <x v="2"/>
    <x v="1"/>
    <n v="299"/>
    <n v="299"/>
    <s v="LWF"/>
    <d v="2018-03-31T00:00:00"/>
  </r>
  <r>
    <s v="Rakhine"/>
    <x v="1"/>
    <x v="4"/>
    <s v="MMR012CMP042"/>
    <x v="3"/>
    <x v="0"/>
    <n v="313"/>
    <n v="-313"/>
    <s v="LWF"/>
    <d v="2018-03-31T00:00:00"/>
  </r>
  <r>
    <s v="Rakhine"/>
    <x v="1"/>
    <x v="4"/>
    <s v="MMR012CMP042"/>
    <x v="3"/>
    <x v="1"/>
    <n v="456"/>
    <n v="456"/>
    <s v="LWF"/>
    <d v="2018-03-31T00:00:00"/>
  </r>
  <r>
    <s v="Rakhine"/>
    <x v="1"/>
    <x v="4"/>
    <s v="MMR012CMP042"/>
    <x v="4"/>
    <x v="0"/>
    <n v="610"/>
    <n v="-610"/>
    <s v="LWF"/>
    <d v="2018-03-31T00:00:00"/>
  </r>
  <r>
    <s v="Rakhine"/>
    <x v="1"/>
    <x v="4"/>
    <s v="MMR012CMP042"/>
    <x v="4"/>
    <x v="1"/>
    <n v="630"/>
    <n v="630"/>
    <s v="LWF"/>
    <d v="2018-03-31T00:00:00"/>
  </r>
  <r>
    <s v="Rakhine"/>
    <x v="1"/>
    <x v="4"/>
    <s v="MMR012CMP042"/>
    <x v="5"/>
    <x v="0"/>
    <n v="66"/>
    <n v="-66"/>
    <s v="LWF"/>
    <d v="2018-03-31T00:00:00"/>
  </r>
  <r>
    <s v="Rakhine"/>
    <x v="1"/>
    <x v="4"/>
    <s v="MMR012CMP042"/>
    <x v="5"/>
    <x v="1"/>
    <n v="77"/>
    <n v="77"/>
    <s v="LWF"/>
    <d v="2018-03-31T00:00:00"/>
  </r>
  <r>
    <s v="Rakhine"/>
    <x v="0"/>
    <x v="5"/>
    <s v="MMR012CMP018"/>
    <x v="0"/>
    <x v="0"/>
    <n v="737"/>
    <n v="-737"/>
    <s v="DRC"/>
    <d v="2018-03-31T00:00:00"/>
  </r>
  <r>
    <s v="Rakhine"/>
    <x v="0"/>
    <x v="5"/>
    <s v="MMR012CMP018"/>
    <x v="0"/>
    <x v="1"/>
    <n v="788"/>
    <n v="788"/>
    <s v="DRC"/>
    <d v="2018-03-31T00:00:00"/>
  </r>
  <r>
    <s v="Rakhine"/>
    <x v="0"/>
    <x v="5"/>
    <s v="MMR012CMP018"/>
    <x v="1"/>
    <x v="0"/>
    <n v="565"/>
    <n v="-565"/>
    <s v="DRC"/>
    <d v="2018-03-31T00:00:00"/>
  </r>
  <r>
    <s v="Rakhine"/>
    <x v="0"/>
    <x v="5"/>
    <s v="MMR012CMP018"/>
    <x v="1"/>
    <x v="1"/>
    <n v="541"/>
    <n v="541"/>
    <s v="DRC"/>
    <d v="2018-03-31T00:00:00"/>
  </r>
  <r>
    <s v="Rakhine"/>
    <x v="0"/>
    <x v="5"/>
    <s v="MMR012CMP018"/>
    <x v="2"/>
    <x v="0"/>
    <n v="338"/>
    <n v="-338"/>
    <s v="DRC"/>
    <d v="2018-03-31T00:00:00"/>
  </r>
  <r>
    <s v="Rakhine"/>
    <x v="0"/>
    <x v="5"/>
    <s v="MMR012CMP018"/>
    <x v="2"/>
    <x v="1"/>
    <n v="282"/>
    <n v="282"/>
    <s v="DRC"/>
    <d v="2018-03-31T00:00:00"/>
  </r>
  <r>
    <s v="Rakhine"/>
    <x v="0"/>
    <x v="5"/>
    <s v="MMR012CMP018"/>
    <x v="3"/>
    <x v="0"/>
    <n v="500"/>
    <n v="-500"/>
    <s v="DRC"/>
    <d v="2018-03-31T00:00:00"/>
  </r>
  <r>
    <s v="Rakhine"/>
    <x v="0"/>
    <x v="5"/>
    <s v="MMR012CMP018"/>
    <x v="3"/>
    <x v="1"/>
    <n v="738"/>
    <n v="738"/>
    <s v="DRC"/>
    <d v="2018-03-31T00:00:00"/>
  </r>
  <r>
    <s v="Rakhine"/>
    <x v="0"/>
    <x v="5"/>
    <s v="MMR012CMP018"/>
    <x v="4"/>
    <x v="0"/>
    <n v="672"/>
    <n v="-672"/>
    <s v="DRC"/>
    <d v="2018-03-31T00:00:00"/>
  </r>
  <r>
    <s v="Rakhine"/>
    <x v="0"/>
    <x v="5"/>
    <s v="MMR012CMP018"/>
    <x v="4"/>
    <x v="1"/>
    <n v="575"/>
    <n v="575"/>
    <s v="DRC"/>
    <d v="2018-03-31T00:00:00"/>
  </r>
  <r>
    <s v="Rakhine"/>
    <x v="0"/>
    <x v="5"/>
    <s v="MMR012CMP018"/>
    <x v="5"/>
    <x v="0"/>
    <n v="118"/>
    <n v="-118"/>
    <s v="DRC"/>
    <d v="2018-03-31T00:00:00"/>
  </r>
  <r>
    <s v="Rakhine"/>
    <x v="0"/>
    <x v="5"/>
    <s v="MMR012CMP018"/>
    <x v="5"/>
    <x v="1"/>
    <n v="91"/>
    <n v="91"/>
    <s v="DRC"/>
    <d v="2018-03-31T00:00:00"/>
  </r>
  <r>
    <s v="Rakhine"/>
    <x v="1"/>
    <x v="6"/>
    <s v="MMR012CMP092"/>
    <x v="0"/>
    <x v="0"/>
    <n v="305"/>
    <n v="-305"/>
    <s v="NRC"/>
    <d v="2018-03-31T00:00:00"/>
  </r>
  <r>
    <s v="Rakhine"/>
    <x v="1"/>
    <x v="6"/>
    <s v="MMR012CMP092"/>
    <x v="0"/>
    <x v="1"/>
    <n v="340"/>
    <n v="340"/>
    <s v="NRC"/>
    <d v="2018-03-31T00:00:00"/>
  </r>
  <r>
    <s v="Rakhine"/>
    <x v="1"/>
    <x v="6"/>
    <s v="MMR012CMP092"/>
    <x v="1"/>
    <x v="0"/>
    <n v="333"/>
    <n v="-333"/>
    <s v="NRC"/>
    <d v="2018-03-31T00:00:00"/>
  </r>
  <r>
    <s v="Rakhine"/>
    <x v="1"/>
    <x v="6"/>
    <s v="MMR012CMP092"/>
    <x v="1"/>
    <x v="1"/>
    <n v="291"/>
    <n v="291"/>
    <s v="NRC"/>
    <d v="2018-03-31T00:00:00"/>
  </r>
  <r>
    <s v="Rakhine"/>
    <x v="1"/>
    <x v="6"/>
    <s v="MMR012CMP092"/>
    <x v="2"/>
    <x v="0"/>
    <n v="268"/>
    <n v="-268"/>
    <s v="NRC"/>
    <d v="2018-03-31T00:00:00"/>
  </r>
  <r>
    <s v="Rakhine"/>
    <x v="1"/>
    <x v="6"/>
    <s v="MMR012CMP092"/>
    <x v="2"/>
    <x v="1"/>
    <n v="264"/>
    <n v="264"/>
    <s v="NRC"/>
    <d v="2018-03-31T00:00:00"/>
  </r>
  <r>
    <s v="Rakhine"/>
    <x v="1"/>
    <x v="6"/>
    <s v="MMR012CMP092"/>
    <x v="3"/>
    <x v="0"/>
    <n v="276"/>
    <n v="-276"/>
    <s v="NRC"/>
    <d v="2018-03-31T00:00:00"/>
  </r>
  <r>
    <s v="Rakhine"/>
    <x v="1"/>
    <x v="6"/>
    <s v="MMR012CMP092"/>
    <x v="3"/>
    <x v="1"/>
    <n v="360"/>
    <n v="360"/>
    <s v="NRC"/>
    <d v="2018-03-31T00:00:00"/>
  </r>
  <r>
    <s v="Rakhine"/>
    <x v="1"/>
    <x v="6"/>
    <s v="MMR012CMP092"/>
    <x v="4"/>
    <x v="0"/>
    <n v="406"/>
    <n v="-406"/>
    <s v="NRC"/>
    <d v="2018-03-31T00:00:00"/>
  </r>
  <r>
    <s v="Rakhine"/>
    <x v="1"/>
    <x v="6"/>
    <s v="MMR012CMP092"/>
    <x v="4"/>
    <x v="1"/>
    <n v="454"/>
    <n v="454"/>
    <s v="NRC"/>
    <d v="2018-03-31T00:00:00"/>
  </r>
  <r>
    <s v="Rakhine"/>
    <x v="1"/>
    <x v="6"/>
    <s v="MMR012CMP092"/>
    <x v="5"/>
    <x v="0"/>
    <n v="65"/>
    <n v="-65"/>
    <s v="NRC"/>
    <d v="2018-03-31T00:00:00"/>
  </r>
  <r>
    <s v="Rakhine"/>
    <x v="1"/>
    <x v="6"/>
    <s v="MMR012CMP092"/>
    <x v="5"/>
    <x v="1"/>
    <n v="78"/>
    <n v="78"/>
    <s v="NRC"/>
    <d v="2018-03-31T00:00:00"/>
  </r>
  <r>
    <s v="Rakhine"/>
    <x v="0"/>
    <x v="7"/>
    <s v="MMR012CMP017"/>
    <x v="0"/>
    <x v="0"/>
    <n v="581"/>
    <n v="-581"/>
    <s v="LWF"/>
    <d v="2018-03-31T00:00:00"/>
  </r>
  <r>
    <s v="Rakhine"/>
    <x v="0"/>
    <x v="7"/>
    <s v="MMR012CMP017"/>
    <x v="0"/>
    <x v="1"/>
    <n v="520"/>
    <n v="520"/>
    <s v="LWF"/>
    <d v="2018-03-31T00:00:00"/>
  </r>
  <r>
    <s v="Rakhine"/>
    <x v="0"/>
    <x v="7"/>
    <s v="MMR012CMP017"/>
    <x v="1"/>
    <x v="0"/>
    <n v="549"/>
    <n v="-549"/>
    <s v="LWF"/>
    <d v="2018-03-31T00:00:00"/>
  </r>
  <r>
    <s v="Rakhine"/>
    <x v="0"/>
    <x v="7"/>
    <s v="MMR012CMP017"/>
    <x v="1"/>
    <x v="1"/>
    <n v="535"/>
    <n v="535"/>
    <s v="LWF"/>
    <d v="2018-03-31T00:00:00"/>
  </r>
  <r>
    <s v="Rakhine"/>
    <x v="0"/>
    <x v="7"/>
    <s v="MMR012CMP017"/>
    <x v="2"/>
    <x v="0"/>
    <n v="297"/>
    <n v="-297"/>
    <s v="LWF"/>
    <d v="2018-03-31T00:00:00"/>
  </r>
  <r>
    <s v="Rakhine"/>
    <x v="0"/>
    <x v="7"/>
    <s v="MMR012CMP017"/>
    <x v="2"/>
    <x v="1"/>
    <n v="238"/>
    <n v="238"/>
    <s v="LWF"/>
    <d v="2018-03-31T00:00:00"/>
  </r>
  <r>
    <s v="Rakhine"/>
    <x v="0"/>
    <x v="7"/>
    <s v="MMR012CMP017"/>
    <x v="3"/>
    <x v="0"/>
    <n v="244"/>
    <n v="-244"/>
    <s v="LWF"/>
    <d v="2018-03-31T00:00:00"/>
  </r>
  <r>
    <s v="Rakhine"/>
    <x v="0"/>
    <x v="7"/>
    <s v="MMR012CMP017"/>
    <x v="3"/>
    <x v="1"/>
    <n v="392"/>
    <n v="392"/>
    <s v="LWF"/>
    <d v="2018-03-31T00:00:00"/>
  </r>
  <r>
    <s v="Rakhine"/>
    <x v="0"/>
    <x v="7"/>
    <s v="MMR012CMP017"/>
    <x v="4"/>
    <x v="0"/>
    <n v="563"/>
    <n v="-563"/>
    <s v="LWF"/>
    <d v="2018-03-31T00:00:00"/>
  </r>
  <r>
    <s v="Rakhine"/>
    <x v="0"/>
    <x v="7"/>
    <s v="MMR012CMP017"/>
    <x v="4"/>
    <x v="1"/>
    <n v="540"/>
    <n v="540"/>
    <s v="LWF"/>
    <d v="2018-03-31T00:00:00"/>
  </r>
  <r>
    <s v="Rakhine"/>
    <x v="0"/>
    <x v="7"/>
    <s v="MMR012CMP017"/>
    <x v="5"/>
    <x v="0"/>
    <n v="69"/>
    <n v="-69"/>
    <s v="LWF"/>
    <d v="2018-03-31T00:00:00"/>
  </r>
  <r>
    <s v="Rakhine"/>
    <x v="0"/>
    <x v="7"/>
    <s v="MMR012CMP017"/>
    <x v="5"/>
    <x v="1"/>
    <n v="64"/>
    <n v="64"/>
    <s v="LWF"/>
    <d v="2018-03-31T00:00:00"/>
  </r>
  <r>
    <s v="Rakhine"/>
    <x v="0"/>
    <x v="8"/>
    <s v="MMR012CMP017"/>
    <x v="0"/>
    <x v="0"/>
    <n v="583"/>
    <n v="-583"/>
    <s v="LWF"/>
    <d v="2018-03-31T00:00:00"/>
  </r>
  <r>
    <s v="Rakhine"/>
    <x v="0"/>
    <x v="8"/>
    <s v="MMR012CMP017"/>
    <x v="0"/>
    <x v="1"/>
    <n v="598"/>
    <n v="598"/>
    <s v="LWF"/>
    <d v="2018-03-31T00:00:00"/>
  </r>
  <r>
    <s v="Rakhine"/>
    <x v="0"/>
    <x v="8"/>
    <s v="MMR012CMP017"/>
    <x v="1"/>
    <x v="0"/>
    <n v="377"/>
    <n v="-377"/>
    <s v="LWF"/>
    <d v="2018-03-31T00:00:00"/>
  </r>
  <r>
    <s v="Rakhine"/>
    <x v="0"/>
    <x v="8"/>
    <s v="MMR012CMP017"/>
    <x v="1"/>
    <x v="1"/>
    <n v="334"/>
    <n v="334"/>
    <s v="LWF"/>
    <d v="2018-03-31T00:00:00"/>
  </r>
  <r>
    <s v="Rakhine"/>
    <x v="0"/>
    <x v="8"/>
    <s v="MMR012CMP017"/>
    <x v="2"/>
    <x v="0"/>
    <n v="222"/>
    <n v="-222"/>
    <s v="LWF"/>
    <d v="2018-03-31T00:00:00"/>
  </r>
  <r>
    <s v="Rakhine"/>
    <x v="0"/>
    <x v="8"/>
    <s v="MMR012CMP017"/>
    <x v="2"/>
    <x v="1"/>
    <n v="220"/>
    <n v="220"/>
    <s v="LWF"/>
    <d v="2018-03-31T00:00:00"/>
  </r>
  <r>
    <s v="Rakhine"/>
    <x v="0"/>
    <x v="8"/>
    <s v="MMR012CMP017"/>
    <x v="3"/>
    <x v="0"/>
    <n v="336"/>
    <n v="-336"/>
    <s v="LWF"/>
    <d v="2018-03-31T00:00:00"/>
  </r>
  <r>
    <s v="Rakhine"/>
    <x v="0"/>
    <x v="8"/>
    <s v="MMR012CMP017"/>
    <x v="3"/>
    <x v="1"/>
    <n v="476"/>
    <n v="476"/>
    <s v="LWF"/>
    <d v="2018-03-31T00:00:00"/>
  </r>
  <r>
    <s v="Rakhine"/>
    <x v="0"/>
    <x v="8"/>
    <s v="MMR012CMP017"/>
    <x v="4"/>
    <x v="0"/>
    <n v="429"/>
    <n v="-429"/>
    <s v="LWF"/>
    <d v="2018-03-31T00:00:00"/>
  </r>
  <r>
    <s v="Rakhine"/>
    <x v="0"/>
    <x v="8"/>
    <s v="MMR012CMP017"/>
    <x v="4"/>
    <x v="1"/>
    <n v="349"/>
    <n v="349"/>
    <s v="LWF"/>
    <d v="2018-03-31T00:00:00"/>
  </r>
  <r>
    <s v="Rakhine"/>
    <x v="0"/>
    <x v="8"/>
    <s v="MMR012CMP017"/>
    <x v="5"/>
    <x v="0"/>
    <n v="89"/>
    <n v="-89"/>
    <s v="LWF"/>
    <d v="2018-03-31T00:00:00"/>
  </r>
  <r>
    <s v="Rakhine"/>
    <x v="0"/>
    <x v="8"/>
    <s v="MMR012CMP017"/>
    <x v="5"/>
    <x v="1"/>
    <n v="66"/>
    <n v="66"/>
    <s v="LWF"/>
    <d v="2018-03-31T00:00:00"/>
  </r>
  <r>
    <s v="Rakhine"/>
    <x v="1"/>
    <x v="9"/>
    <s v="MMR012CMP098"/>
    <x v="0"/>
    <x v="0"/>
    <n v="460"/>
    <n v="-460"/>
    <s v="DRC"/>
    <d v="2018-03-31T00:00:00"/>
  </r>
  <r>
    <s v="Rakhine"/>
    <x v="1"/>
    <x v="9"/>
    <s v="MMR012CMP098"/>
    <x v="0"/>
    <x v="1"/>
    <n v="478"/>
    <n v="478"/>
    <s v="DRC"/>
    <d v="2018-03-31T00:00:00"/>
  </r>
  <r>
    <s v="Rakhine"/>
    <x v="1"/>
    <x v="9"/>
    <s v="MMR012CMP098"/>
    <x v="1"/>
    <x v="0"/>
    <n v="435"/>
    <n v="-435"/>
    <s v="DRC"/>
    <d v="2018-03-31T00:00:00"/>
  </r>
  <r>
    <s v="Rakhine"/>
    <x v="1"/>
    <x v="9"/>
    <s v="MMR012CMP098"/>
    <x v="1"/>
    <x v="1"/>
    <n v="359"/>
    <n v="359"/>
    <s v="DRC"/>
    <d v="2018-03-31T00:00:00"/>
  </r>
  <r>
    <s v="Rakhine"/>
    <x v="1"/>
    <x v="9"/>
    <s v="MMR012CMP098"/>
    <x v="2"/>
    <x v="0"/>
    <n v="355"/>
    <n v="-355"/>
    <s v="DRC"/>
    <d v="2018-03-31T00:00:00"/>
  </r>
  <r>
    <s v="Rakhine"/>
    <x v="1"/>
    <x v="9"/>
    <s v="MMR012CMP098"/>
    <x v="2"/>
    <x v="1"/>
    <n v="282"/>
    <n v="282"/>
    <s v="DRC"/>
    <d v="2018-03-31T00:00:00"/>
  </r>
  <r>
    <s v="Rakhine"/>
    <x v="1"/>
    <x v="9"/>
    <s v="MMR012CMP098"/>
    <x v="3"/>
    <x v="0"/>
    <n v="340"/>
    <n v="-340"/>
    <s v="DRC"/>
    <d v="2018-03-31T00:00:00"/>
  </r>
  <r>
    <s v="Rakhine"/>
    <x v="1"/>
    <x v="9"/>
    <s v="MMR012CMP098"/>
    <x v="3"/>
    <x v="1"/>
    <n v="453"/>
    <n v="453"/>
    <s v="DRC"/>
    <d v="2018-03-31T00:00:00"/>
  </r>
  <r>
    <s v="Rakhine"/>
    <x v="1"/>
    <x v="9"/>
    <s v="MMR012CMP098"/>
    <x v="4"/>
    <x v="0"/>
    <n v="413"/>
    <n v="-413"/>
    <s v="DRC"/>
    <d v="2018-03-31T00:00:00"/>
  </r>
  <r>
    <s v="Rakhine"/>
    <x v="1"/>
    <x v="9"/>
    <s v="MMR012CMP098"/>
    <x v="4"/>
    <x v="1"/>
    <n v="348"/>
    <n v="348"/>
    <s v="DRC"/>
    <d v="2018-03-31T00:00:00"/>
  </r>
  <r>
    <s v="Rakhine"/>
    <x v="1"/>
    <x v="9"/>
    <s v="MMR012CMP098"/>
    <x v="5"/>
    <x v="0"/>
    <n v="45"/>
    <n v="-45"/>
    <s v="DRC"/>
    <d v="2018-03-31T00:00:00"/>
  </r>
  <r>
    <s v="Rakhine"/>
    <x v="1"/>
    <x v="9"/>
    <s v="MMR012CMP098"/>
    <x v="5"/>
    <x v="1"/>
    <n v="39"/>
    <n v="39"/>
    <s v="DRC"/>
    <d v="2018-03-31T00:00:00"/>
  </r>
  <r>
    <s v="Rakhine"/>
    <x v="1"/>
    <x v="10"/>
    <s v="MMR012CMP115"/>
    <x v="0"/>
    <x v="0"/>
    <n v="1563"/>
    <n v="-1563"/>
    <s v="DRC"/>
    <d v="2018-03-31T00:00:00"/>
  </r>
  <r>
    <s v="Rakhine"/>
    <x v="1"/>
    <x v="10"/>
    <s v="MMR012CMP115"/>
    <x v="0"/>
    <x v="1"/>
    <n v="1446"/>
    <n v="1446"/>
    <s v="DRC"/>
    <d v="2018-03-31T00:00:00"/>
  </r>
  <r>
    <s v="Rakhine"/>
    <x v="1"/>
    <x v="10"/>
    <s v="MMR012CMP115"/>
    <x v="1"/>
    <x v="0"/>
    <n v="1417"/>
    <n v="-1417"/>
    <s v="DRC"/>
    <d v="2018-03-31T00:00:00"/>
  </r>
  <r>
    <s v="Rakhine"/>
    <x v="1"/>
    <x v="10"/>
    <s v="MMR012CMP115"/>
    <x v="1"/>
    <x v="1"/>
    <n v="1219"/>
    <n v="1219"/>
    <s v="DRC"/>
    <d v="2018-03-31T00:00:00"/>
  </r>
  <r>
    <s v="Rakhine"/>
    <x v="1"/>
    <x v="10"/>
    <s v="MMR012CMP115"/>
    <x v="2"/>
    <x v="0"/>
    <n v="985"/>
    <n v="-985"/>
    <s v="DRC"/>
    <d v="2018-03-31T00:00:00"/>
  </r>
  <r>
    <s v="Rakhine"/>
    <x v="1"/>
    <x v="10"/>
    <s v="MMR012CMP115"/>
    <x v="2"/>
    <x v="1"/>
    <n v="909"/>
    <n v="909"/>
    <s v="DRC"/>
    <d v="2018-03-31T00:00:00"/>
  </r>
  <r>
    <s v="Rakhine"/>
    <x v="1"/>
    <x v="10"/>
    <s v="MMR012CMP115"/>
    <x v="3"/>
    <x v="0"/>
    <n v="1061"/>
    <n v="-1061"/>
    <s v="DRC"/>
    <d v="2018-03-31T00:00:00"/>
  </r>
  <r>
    <s v="Rakhine"/>
    <x v="1"/>
    <x v="10"/>
    <s v="MMR012CMP115"/>
    <x v="3"/>
    <x v="1"/>
    <n v="1517"/>
    <n v="1517"/>
    <s v="DRC"/>
    <d v="2018-03-31T00:00:00"/>
  </r>
  <r>
    <s v="Rakhine"/>
    <x v="1"/>
    <x v="10"/>
    <s v="MMR012CMP115"/>
    <x v="4"/>
    <x v="0"/>
    <n v="1463"/>
    <n v="-1463"/>
    <s v="DRC"/>
    <d v="2018-03-31T00:00:00"/>
  </r>
  <r>
    <s v="Rakhine"/>
    <x v="1"/>
    <x v="10"/>
    <s v="MMR012CMP115"/>
    <x v="4"/>
    <x v="1"/>
    <n v="1580"/>
    <n v="1580"/>
    <s v="DRC"/>
    <d v="2018-03-31T00:00:00"/>
  </r>
  <r>
    <s v="Rakhine"/>
    <x v="1"/>
    <x v="10"/>
    <s v="MMR012CMP115"/>
    <x v="5"/>
    <x v="0"/>
    <n v="312"/>
    <n v="-312"/>
    <s v="DRC"/>
    <d v="2018-03-31T00:00:00"/>
  </r>
  <r>
    <s v="Rakhine"/>
    <x v="1"/>
    <x v="10"/>
    <s v="MMR012CMP115"/>
    <x v="5"/>
    <x v="1"/>
    <n v="322"/>
    <n v="322"/>
    <s v="DRC"/>
    <d v="2018-03-31T00:00:00"/>
  </r>
  <r>
    <s v="Rakhine"/>
    <x v="1"/>
    <x v="11"/>
    <s v="MMR012CMP116"/>
    <x v="0"/>
    <x v="0"/>
    <n v="1075"/>
    <n v="-1075"/>
    <s v="LWF"/>
    <d v="2018-03-31T00:00:00"/>
  </r>
  <r>
    <s v="Rakhine"/>
    <x v="1"/>
    <x v="11"/>
    <s v="MMR012CMP116"/>
    <x v="0"/>
    <x v="1"/>
    <n v="990"/>
    <n v="990"/>
    <s v="LWF"/>
    <d v="2018-03-31T00:00:00"/>
  </r>
  <r>
    <s v="Rakhine"/>
    <x v="1"/>
    <x v="11"/>
    <s v="MMR012CMP116"/>
    <x v="1"/>
    <x v="0"/>
    <n v="1250"/>
    <n v="-1250"/>
    <s v="LWF"/>
    <d v="2018-03-31T00:00:00"/>
  </r>
  <r>
    <s v="Rakhine"/>
    <x v="1"/>
    <x v="11"/>
    <s v="MMR012CMP116"/>
    <x v="1"/>
    <x v="1"/>
    <n v="1062"/>
    <n v="1062"/>
    <s v="LWF"/>
    <d v="2018-03-31T00:00:00"/>
  </r>
  <r>
    <s v="Rakhine"/>
    <x v="1"/>
    <x v="11"/>
    <s v="MMR012CMP116"/>
    <x v="2"/>
    <x v="0"/>
    <n v="890"/>
    <n v="-890"/>
    <s v="LWF"/>
    <d v="2018-03-31T00:00:00"/>
  </r>
  <r>
    <s v="Rakhine"/>
    <x v="1"/>
    <x v="11"/>
    <s v="MMR012CMP116"/>
    <x v="2"/>
    <x v="1"/>
    <n v="854"/>
    <n v="854"/>
    <s v="LWF"/>
    <d v="2018-03-31T00:00:00"/>
  </r>
  <r>
    <s v="Rakhine"/>
    <x v="1"/>
    <x v="11"/>
    <s v="MMR012CMP116"/>
    <x v="3"/>
    <x v="0"/>
    <n v="634"/>
    <n v="-634"/>
    <s v="LWF"/>
    <d v="2018-03-31T00:00:00"/>
  </r>
  <r>
    <s v="Rakhine"/>
    <x v="1"/>
    <x v="11"/>
    <s v="MMR012CMP116"/>
    <x v="3"/>
    <x v="1"/>
    <n v="1024"/>
    <n v="1024"/>
    <s v="LWF"/>
    <d v="2018-03-31T00:00:00"/>
  </r>
  <r>
    <s v="Rakhine"/>
    <x v="1"/>
    <x v="11"/>
    <s v="MMR012CMP116"/>
    <x v="4"/>
    <x v="0"/>
    <n v="1433"/>
    <n v="-1433"/>
    <s v="LWF"/>
    <d v="2018-03-31T00:00:00"/>
  </r>
  <r>
    <s v="Rakhine"/>
    <x v="1"/>
    <x v="11"/>
    <s v="MMR012CMP116"/>
    <x v="4"/>
    <x v="1"/>
    <n v="1726"/>
    <n v="1726"/>
    <s v="LWF"/>
    <d v="2018-03-31T00:00:00"/>
  </r>
  <r>
    <s v="Rakhine"/>
    <x v="1"/>
    <x v="11"/>
    <s v="MMR012CMP116"/>
    <x v="5"/>
    <x v="0"/>
    <n v="138"/>
    <n v="-138"/>
    <s v="LWF"/>
    <d v="2018-03-31T00:00:00"/>
  </r>
  <r>
    <s v="Rakhine"/>
    <x v="1"/>
    <x v="11"/>
    <s v="MMR012CMP116"/>
    <x v="5"/>
    <x v="1"/>
    <n v="158"/>
    <n v="158"/>
    <s v="LWF"/>
    <d v="2018-03-31T00:00:00"/>
  </r>
  <r>
    <s v="Rakhine"/>
    <x v="1"/>
    <x v="12"/>
    <s v="MMR012CMP045"/>
    <x v="0"/>
    <x v="0"/>
    <n v="1305"/>
    <n v="-1305"/>
    <s v="DRC"/>
    <d v="2018-03-31T00:00:00"/>
  </r>
  <r>
    <s v="Rakhine"/>
    <x v="1"/>
    <x v="12"/>
    <s v="MMR012CMP045"/>
    <x v="0"/>
    <x v="1"/>
    <n v="1363"/>
    <n v="1363"/>
    <s v="DRC"/>
    <d v="2018-03-31T00:00:00"/>
  </r>
  <r>
    <s v="Rakhine"/>
    <x v="1"/>
    <x v="12"/>
    <s v="MMR012CMP045"/>
    <x v="1"/>
    <x v="0"/>
    <n v="1444"/>
    <n v="-1444"/>
    <s v="DRC"/>
    <d v="2018-03-31T00:00:00"/>
  </r>
  <r>
    <s v="Rakhine"/>
    <x v="1"/>
    <x v="12"/>
    <s v="MMR012CMP045"/>
    <x v="1"/>
    <x v="1"/>
    <n v="1341"/>
    <n v="1341"/>
    <s v="DRC"/>
    <d v="2018-03-31T00:00:00"/>
  </r>
  <r>
    <s v="Rakhine"/>
    <x v="1"/>
    <x v="12"/>
    <s v="MMR012CMP045"/>
    <x v="2"/>
    <x v="0"/>
    <n v="1047"/>
    <n v="-1047"/>
    <s v="DRC"/>
    <d v="2018-03-31T00:00:00"/>
  </r>
  <r>
    <s v="Rakhine"/>
    <x v="1"/>
    <x v="12"/>
    <s v="MMR012CMP045"/>
    <x v="2"/>
    <x v="1"/>
    <n v="1059"/>
    <n v="1059"/>
    <s v="DRC"/>
    <d v="2018-03-31T00:00:00"/>
  </r>
  <r>
    <s v="Rakhine"/>
    <x v="1"/>
    <x v="12"/>
    <s v="MMR012CMP045"/>
    <x v="3"/>
    <x v="0"/>
    <n v="1076"/>
    <n v="-1076"/>
    <s v="DRC"/>
    <d v="2018-03-31T00:00:00"/>
  </r>
  <r>
    <s v="Rakhine"/>
    <x v="1"/>
    <x v="12"/>
    <s v="MMR012CMP045"/>
    <x v="3"/>
    <x v="1"/>
    <n v="1535"/>
    <n v="1535"/>
    <s v="DRC"/>
    <d v="2018-03-31T00:00:00"/>
  </r>
  <r>
    <s v="Rakhine"/>
    <x v="1"/>
    <x v="12"/>
    <s v="MMR012CMP045"/>
    <x v="4"/>
    <x v="0"/>
    <n v="1526"/>
    <n v="-1526"/>
    <s v="DRC"/>
    <d v="2018-03-31T00:00:00"/>
  </r>
  <r>
    <s v="Rakhine"/>
    <x v="1"/>
    <x v="12"/>
    <s v="MMR012CMP045"/>
    <x v="4"/>
    <x v="1"/>
    <n v="1545"/>
    <n v="1545"/>
    <s v="DRC"/>
    <d v="2018-03-31T00:00:00"/>
  </r>
  <r>
    <s v="Rakhine"/>
    <x v="1"/>
    <x v="12"/>
    <s v="MMR012CMP045"/>
    <x v="5"/>
    <x v="0"/>
    <n v="268"/>
    <n v="-268"/>
    <s v="DRC"/>
    <d v="2018-03-31T00:00:00"/>
  </r>
  <r>
    <s v="Rakhine"/>
    <x v="1"/>
    <x v="12"/>
    <s v="MMR012CMP045"/>
    <x v="5"/>
    <x v="1"/>
    <n v="234"/>
    <n v="234"/>
    <s v="DRC"/>
    <d v="2018-03-31T00:00:00"/>
  </r>
  <r>
    <s v="Rakhine"/>
    <x v="0"/>
    <x v="13"/>
    <s v="MMR012CMP019"/>
    <x v="0"/>
    <x v="0"/>
    <n v="220"/>
    <n v="-220"/>
    <s v="DRC"/>
    <d v="2018-03-31T00:00:00"/>
  </r>
  <r>
    <s v="Rakhine"/>
    <x v="0"/>
    <x v="13"/>
    <s v="MMR012CMP019"/>
    <x v="0"/>
    <x v="1"/>
    <n v="191"/>
    <n v="191"/>
    <s v="DRC"/>
    <d v="2018-03-31T00:00:00"/>
  </r>
  <r>
    <s v="Rakhine"/>
    <x v="0"/>
    <x v="13"/>
    <s v="MMR012CMP019"/>
    <x v="1"/>
    <x v="0"/>
    <n v="194"/>
    <n v="-194"/>
    <s v="DRC"/>
    <d v="2018-03-31T00:00:00"/>
  </r>
  <r>
    <s v="Rakhine"/>
    <x v="0"/>
    <x v="13"/>
    <s v="MMR012CMP019"/>
    <x v="1"/>
    <x v="1"/>
    <n v="169"/>
    <n v="169"/>
    <s v="DRC"/>
    <d v="2018-03-31T00:00:00"/>
  </r>
  <r>
    <s v="Rakhine"/>
    <x v="0"/>
    <x v="13"/>
    <s v="MMR012CMP019"/>
    <x v="2"/>
    <x v="0"/>
    <n v="217"/>
    <n v="-217"/>
    <s v="DRC"/>
    <d v="2018-03-31T00:00:00"/>
  </r>
  <r>
    <s v="Rakhine"/>
    <x v="0"/>
    <x v="13"/>
    <s v="MMR012CMP019"/>
    <x v="2"/>
    <x v="1"/>
    <n v="196"/>
    <n v="196"/>
    <s v="DRC"/>
    <d v="2018-03-31T00:00:00"/>
  </r>
  <r>
    <s v="Rakhine"/>
    <x v="0"/>
    <x v="13"/>
    <s v="MMR012CMP019"/>
    <x v="3"/>
    <x v="0"/>
    <n v="304"/>
    <n v="-304"/>
    <s v="DRC"/>
    <d v="2018-03-31T00:00:00"/>
  </r>
  <r>
    <s v="Rakhine"/>
    <x v="0"/>
    <x v="13"/>
    <s v="MMR012CMP019"/>
    <x v="3"/>
    <x v="1"/>
    <n v="325"/>
    <n v="325"/>
    <s v="DRC"/>
    <d v="2018-03-31T00:00:00"/>
  </r>
  <r>
    <s v="Rakhine"/>
    <x v="0"/>
    <x v="13"/>
    <s v="MMR012CMP019"/>
    <x v="4"/>
    <x v="0"/>
    <n v="409"/>
    <n v="-409"/>
    <s v="DRC"/>
    <d v="2018-03-31T00:00:00"/>
  </r>
  <r>
    <s v="Rakhine"/>
    <x v="0"/>
    <x v="13"/>
    <s v="MMR012CMP019"/>
    <x v="4"/>
    <x v="1"/>
    <n v="443"/>
    <n v="443"/>
    <s v="DRC"/>
    <d v="2018-03-31T00:00:00"/>
  </r>
  <r>
    <s v="Rakhine"/>
    <x v="0"/>
    <x v="13"/>
    <s v="MMR012CMP019"/>
    <x v="5"/>
    <x v="0"/>
    <n v="88"/>
    <n v="-88"/>
    <s v="DRC"/>
    <d v="2018-03-31T00:00:00"/>
  </r>
  <r>
    <s v="Rakhine"/>
    <x v="0"/>
    <x v="13"/>
    <s v="MMR012CMP019"/>
    <x v="5"/>
    <x v="1"/>
    <n v="89"/>
    <n v="89"/>
    <s v="DRC"/>
    <d v="2018-03-31T00:00:00"/>
  </r>
  <r>
    <s v="Rakhine"/>
    <x v="2"/>
    <x v="14"/>
    <s v="MMR012CMP014"/>
    <x v="0"/>
    <x v="0"/>
    <n v="233"/>
    <n v="-233"/>
    <s v="RI"/>
    <d v="2017-08-31T00:00:00"/>
  </r>
  <r>
    <s v="Rakhine"/>
    <x v="2"/>
    <x v="14"/>
    <s v="MMR012CMP014"/>
    <x v="0"/>
    <x v="1"/>
    <n v="236"/>
    <n v="236"/>
    <s v="RI"/>
    <d v="2017-08-31T00:00:00"/>
  </r>
  <r>
    <s v="Rakhine"/>
    <x v="2"/>
    <x v="14"/>
    <s v="MMR012CMP014"/>
    <x v="1"/>
    <x v="0"/>
    <n v="236"/>
    <n v="-236"/>
    <s v="RI"/>
    <d v="2017-08-31T00:00:00"/>
  </r>
  <r>
    <s v="Rakhine"/>
    <x v="2"/>
    <x v="14"/>
    <s v="MMR012CMP014"/>
    <x v="1"/>
    <x v="1"/>
    <n v="241"/>
    <n v="241"/>
    <s v="RI"/>
    <d v="2017-08-31T00:00:00"/>
  </r>
  <r>
    <s v="Rakhine"/>
    <x v="2"/>
    <x v="14"/>
    <s v="MMR012CMP014"/>
    <x v="2"/>
    <x v="0"/>
    <n v="196"/>
    <n v="-196"/>
    <s v="RI"/>
    <d v="2017-08-31T00:00:00"/>
  </r>
  <r>
    <s v="Rakhine"/>
    <x v="2"/>
    <x v="14"/>
    <s v="MMR012CMP014"/>
    <x v="2"/>
    <x v="1"/>
    <n v="199"/>
    <n v="199"/>
    <s v="RI"/>
    <d v="2017-08-31T00:00:00"/>
  </r>
  <r>
    <s v="Rakhine"/>
    <x v="2"/>
    <x v="14"/>
    <s v="MMR012CMP014"/>
    <x v="3"/>
    <x v="0"/>
    <n v="158"/>
    <n v="-158"/>
    <s v="RI"/>
    <d v="2017-08-31T00:00:00"/>
  </r>
  <r>
    <s v="Rakhine"/>
    <x v="2"/>
    <x v="14"/>
    <s v="MMR012CMP014"/>
    <x v="3"/>
    <x v="1"/>
    <n v="246"/>
    <n v="246"/>
    <s v="RI"/>
    <d v="2017-08-31T00:00:00"/>
  </r>
  <r>
    <s v="Rakhine"/>
    <x v="2"/>
    <x v="14"/>
    <s v="MMR012CMP014"/>
    <x v="4"/>
    <x v="0"/>
    <n v="325"/>
    <n v="-325"/>
    <s v="RI"/>
    <d v="2017-08-31T00:00:00"/>
  </r>
  <r>
    <s v="Rakhine"/>
    <x v="2"/>
    <x v="14"/>
    <s v="MMR012CMP014"/>
    <x v="4"/>
    <x v="1"/>
    <n v="427"/>
    <n v="427"/>
    <s v="RI"/>
    <d v="2017-08-31T00:00:00"/>
  </r>
  <r>
    <s v="Rakhine"/>
    <x v="2"/>
    <x v="14"/>
    <s v="MMR012CMP014"/>
    <x v="5"/>
    <x v="0"/>
    <n v="56"/>
    <n v="-56"/>
    <s v="RI"/>
    <d v="2017-08-31T00:00:00"/>
  </r>
  <r>
    <s v="Rakhine"/>
    <x v="2"/>
    <x v="14"/>
    <s v="MMR012CMP014"/>
    <x v="5"/>
    <x v="1"/>
    <n v="53"/>
    <n v="53"/>
    <s v="RI"/>
    <d v="2017-08-31T00:00:00"/>
  </r>
  <r>
    <s v="Rakhine"/>
    <x v="1"/>
    <x v="15"/>
    <s v="MMR012CMP046"/>
    <x v="0"/>
    <x v="0"/>
    <n v="984"/>
    <n v="-984"/>
    <s v="LWF"/>
    <d v="2018-03-31T00:00:00"/>
  </r>
  <r>
    <s v="Rakhine"/>
    <x v="1"/>
    <x v="15"/>
    <s v="MMR012CMP046"/>
    <x v="0"/>
    <x v="1"/>
    <n v="1097"/>
    <n v="1097"/>
    <s v="LWF"/>
    <d v="2018-03-31T00:00:00"/>
  </r>
  <r>
    <s v="Rakhine"/>
    <x v="1"/>
    <x v="15"/>
    <s v="MMR012CMP046"/>
    <x v="1"/>
    <x v="0"/>
    <n v="1070"/>
    <n v="-1070"/>
    <s v="LWF"/>
    <d v="2018-03-31T00:00:00"/>
  </r>
  <r>
    <s v="Rakhine"/>
    <x v="1"/>
    <x v="15"/>
    <s v="MMR012CMP046"/>
    <x v="1"/>
    <x v="1"/>
    <n v="1104"/>
    <n v="1104"/>
    <s v="LWF"/>
    <d v="2018-03-31T00:00:00"/>
  </r>
  <r>
    <s v="Rakhine"/>
    <x v="1"/>
    <x v="15"/>
    <s v="MMR012CMP046"/>
    <x v="2"/>
    <x v="0"/>
    <n v="1043"/>
    <n v="-1043"/>
    <s v="LWF"/>
    <d v="2018-03-31T00:00:00"/>
  </r>
  <r>
    <s v="Rakhine"/>
    <x v="1"/>
    <x v="15"/>
    <s v="MMR012CMP046"/>
    <x v="2"/>
    <x v="1"/>
    <n v="1023"/>
    <n v="1023"/>
    <s v="LWF"/>
    <d v="2018-03-31T00:00:00"/>
  </r>
  <r>
    <s v="Rakhine"/>
    <x v="1"/>
    <x v="15"/>
    <s v="MMR012CMP046"/>
    <x v="3"/>
    <x v="0"/>
    <n v="1110"/>
    <n v="-1110"/>
    <s v="LWF"/>
    <d v="2018-03-31T00:00:00"/>
  </r>
  <r>
    <s v="Rakhine"/>
    <x v="1"/>
    <x v="15"/>
    <s v="MMR012CMP046"/>
    <x v="3"/>
    <x v="1"/>
    <n v="1236"/>
    <n v="1236"/>
    <s v="LWF"/>
    <d v="2018-03-31T00:00:00"/>
  </r>
  <r>
    <s v="Rakhine"/>
    <x v="1"/>
    <x v="15"/>
    <s v="MMR012CMP046"/>
    <x v="4"/>
    <x v="0"/>
    <n v="1883"/>
    <n v="-1883"/>
    <s v="LWF"/>
    <d v="2018-03-31T00:00:00"/>
  </r>
  <r>
    <s v="Rakhine"/>
    <x v="1"/>
    <x v="15"/>
    <s v="MMR012CMP046"/>
    <x v="4"/>
    <x v="1"/>
    <n v="1977"/>
    <n v="1977"/>
    <s v="LWF"/>
    <d v="2018-03-31T00:00:00"/>
  </r>
  <r>
    <s v="Rakhine"/>
    <x v="1"/>
    <x v="15"/>
    <s v="MMR012CMP046"/>
    <x v="5"/>
    <x v="0"/>
    <n v="260"/>
    <n v="-260"/>
    <s v="LWF"/>
    <d v="2018-03-31T00:00:00"/>
  </r>
  <r>
    <s v="Rakhine"/>
    <x v="1"/>
    <x v="15"/>
    <s v="MMR012CMP046"/>
    <x v="5"/>
    <x v="1"/>
    <n v="262"/>
    <n v="262"/>
    <s v="LWF"/>
    <d v="2018-03-31T00:00:00"/>
  </r>
  <r>
    <s v="Rakhine"/>
    <x v="1"/>
    <x v="16"/>
    <s v="MMR012CMP048"/>
    <x v="0"/>
    <x v="0"/>
    <n v="497"/>
    <n v="-497"/>
    <s v="NRC"/>
    <d v="2018-03-31T00:00:00"/>
  </r>
  <r>
    <s v="Rakhine"/>
    <x v="1"/>
    <x v="16"/>
    <s v="MMR012CMP048"/>
    <x v="0"/>
    <x v="1"/>
    <n v="581"/>
    <n v="581"/>
    <s v="NRC"/>
    <d v="2018-03-31T00:00:00"/>
  </r>
  <r>
    <s v="Rakhine"/>
    <x v="1"/>
    <x v="16"/>
    <s v="MMR012CMP048"/>
    <x v="1"/>
    <x v="0"/>
    <n v="569"/>
    <n v="-569"/>
    <s v="NRC"/>
    <d v="2018-03-31T00:00:00"/>
  </r>
  <r>
    <s v="Rakhine"/>
    <x v="1"/>
    <x v="16"/>
    <s v="MMR012CMP048"/>
    <x v="1"/>
    <x v="1"/>
    <n v="498"/>
    <n v="498"/>
    <s v="NRC"/>
    <d v="2018-03-31T00:00:00"/>
  </r>
  <r>
    <s v="Rakhine"/>
    <x v="1"/>
    <x v="16"/>
    <s v="MMR012CMP048"/>
    <x v="2"/>
    <x v="0"/>
    <n v="459"/>
    <n v="-459"/>
    <s v="NRC"/>
    <d v="2018-03-31T00:00:00"/>
  </r>
  <r>
    <s v="Rakhine"/>
    <x v="1"/>
    <x v="16"/>
    <s v="MMR012CMP048"/>
    <x v="2"/>
    <x v="1"/>
    <n v="451"/>
    <n v="451"/>
    <s v="NRC"/>
    <d v="2018-03-31T00:00:00"/>
  </r>
  <r>
    <s v="Rakhine"/>
    <x v="1"/>
    <x v="16"/>
    <s v="MMR012CMP048"/>
    <x v="3"/>
    <x v="0"/>
    <n v="471"/>
    <n v="-471"/>
    <s v="NRC"/>
    <d v="2018-03-31T00:00:00"/>
  </r>
  <r>
    <s v="Rakhine"/>
    <x v="1"/>
    <x v="16"/>
    <s v="MMR012CMP048"/>
    <x v="3"/>
    <x v="1"/>
    <n v="616"/>
    <n v="616"/>
    <s v="NRC"/>
    <d v="2018-03-31T00:00:00"/>
  </r>
  <r>
    <s v="Rakhine"/>
    <x v="1"/>
    <x v="16"/>
    <s v="MMR012CMP048"/>
    <x v="4"/>
    <x v="0"/>
    <n v="694"/>
    <n v="-694"/>
    <s v="NRC"/>
    <d v="2018-03-31T00:00:00"/>
  </r>
  <r>
    <s v="Rakhine"/>
    <x v="1"/>
    <x v="16"/>
    <s v="MMR012CMP048"/>
    <x v="4"/>
    <x v="1"/>
    <n v="774"/>
    <n v="774"/>
    <s v="NRC"/>
    <d v="2018-03-31T00:00:00"/>
  </r>
  <r>
    <s v="Rakhine"/>
    <x v="1"/>
    <x v="16"/>
    <s v="MMR012CMP048"/>
    <x v="5"/>
    <x v="0"/>
    <n v="114"/>
    <n v="-114"/>
    <s v="NRC"/>
    <d v="2018-03-31T00:00:00"/>
  </r>
  <r>
    <s v="Rakhine"/>
    <x v="1"/>
    <x v="16"/>
    <s v="MMR012CMP048"/>
    <x v="5"/>
    <x v="1"/>
    <n v="131"/>
    <n v="131"/>
    <s v="NRC"/>
    <d v="2018-03-31T00:00:00"/>
  </r>
  <r>
    <s v="Rakhine"/>
    <x v="1"/>
    <x v="17"/>
    <s v="MMR012CMP039"/>
    <x v="0"/>
    <x v="0"/>
    <n v="240"/>
    <n v="-240"/>
    <s v="LWF"/>
    <d v="2018-03-31T00:00:00"/>
  </r>
  <r>
    <s v="Rakhine"/>
    <x v="1"/>
    <x v="17"/>
    <s v="MMR012CMP039"/>
    <x v="0"/>
    <x v="1"/>
    <n v="207"/>
    <n v="207"/>
    <s v="LWF"/>
    <d v="2018-03-31T00:00:00"/>
  </r>
  <r>
    <s v="Rakhine"/>
    <x v="1"/>
    <x v="17"/>
    <s v="MMR012CMP039"/>
    <x v="1"/>
    <x v="0"/>
    <n v="196"/>
    <n v="-196"/>
    <s v="LWF"/>
    <d v="2018-03-31T00:00:00"/>
  </r>
  <r>
    <s v="Rakhine"/>
    <x v="1"/>
    <x v="17"/>
    <s v="MMR012CMP039"/>
    <x v="1"/>
    <x v="1"/>
    <n v="183"/>
    <n v="183"/>
    <s v="LWF"/>
    <d v="2018-03-31T00:00:00"/>
  </r>
  <r>
    <s v="Rakhine"/>
    <x v="1"/>
    <x v="17"/>
    <s v="MMR012CMP039"/>
    <x v="2"/>
    <x v="0"/>
    <n v="142"/>
    <n v="-142"/>
    <s v="LWF"/>
    <d v="2018-03-31T00:00:00"/>
  </r>
  <r>
    <s v="Rakhine"/>
    <x v="1"/>
    <x v="17"/>
    <s v="MMR012CMP039"/>
    <x v="2"/>
    <x v="1"/>
    <n v="133"/>
    <n v="133"/>
    <s v="LWF"/>
    <d v="2018-03-31T00:00:00"/>
  </r>
  <r>
    <s v="Rakhine"/>
    <x v="1"/>
    <x v="17"/>
    <s v="MMR012CMP039"/>
    <x v="3"/>
    <x v="0"/>
    <n v="142"/>
    <n v="-142"/>
    <s v="LWF"/>
    <d v="2018-03-31T00:00:00"/>
  </r>
  <r>
    <s v="Rakhine"/>
    <x v="1"/>
    <x v="17"/>
    <s v="MMR012CMP039"/>
    <x v="3"/>
    <x v="1"/>
    <n v="212"/>
    <n v="212"/>
    <s v="LWF"/>
    <d v="2018-03-31T00:00:00"/>
  </r>
  <r>
    <s v="Rakhine"/>
    <x v="1"/>
    <x v="17"/>
    <s v="MMR012CMP039"/>
    <x v="4"/>
    <x v="0"/>
    <n v="334"/>
    <n v="-334"/>
    <s v="LWF"/>
    <d v="2018-03-31T00:00:00"/>
  </r>
  <r>
    <s v="Rakhine"/>
    <x v="1"/>
    <x v="17"/>
    <s v="MMR012CMP039"/>
    <x v="4"/>
    <x v="1"/>
    <n v="352"/>
    <n v="352"/>
    <s v="LWF"/>
    <d v="2018-03-31T00:00:00"/>
  </r>
  <r>
    <s v="Rakhine"/>
    <x v="1"/>
    <x v="17"/>
    <s v="MMR012CMP039"/>
    <x v="5"/>
    <x v="0"/>
    <n v="51"/>
    <n v="-51"/>
    <s v="LWF"/>
    <d v="2018-03-31T00:00:00"/>
  </r>
  <r>
    <s v="Rakhine"/>
    <x v="1"/>
    <x v="17"/>
    <s v="MMR012CMP039"/>
    <x v="5"/>
    <x v="1"/>
    <n v="60"/>
    <n v="60"/>
    <s v="LWF"/>
    <d v="2018-03-31T00:00:00"/>
  </r>
</pivotCacheRecords>
</file>

<file path=xl/pivotCache/pivotCacheRecords2.xml><?xml version="1.0" encoding="utf-8"?>
<pivotCacheRecords xmlns="http://schemas.openxmlformats.org/spreadsheetml/2006/main" xmlns:r="http://schemas.openxmlformats.org/officeDocument/2006/relationships" count="534">
  <r>
    <n v="0.4"/>
    <x v="0"/>
    <x v="0"/>
    <x v="0"/>
    <s v="Oxfam"/>
    <x v="0"/>
    <x v="0"/>
    <s v="Say Tha Mar Gyi"/>
    <m/>
    <n v="2280"/>
    <n v="12540"/>
    <n v="2280"/>
    <m/>
    <m/>
    <m/>
    <m/>
    <m/>
    <m/>
    <m/>
    <m/>
    <m/>
    <m/>
    <m/>
    <m/>
    <m/>
    <m/>
    <m/>
    <m/>
    <n v="0"/>
    <n v="2280"/>
    <n v="0"/>
    <n v="0"/>
    <n v="0"/>
    <n v="0"/>
    <n v="0"/>
    <n v="0"/>
    <n v="0"/>
    <n v="0"/>
    <n v="0"/>
    <n v="0"/>
    <n v="0"/>
    <n v="0"/>
    <n v="0"/>
    <s v="MMR012CMP045"/>
    <x v="0"/>
    <m/>
  </r>
  <r>
    <n v="0.43333333333333335"/>
    <x v="0"/>
    <x v="1"/>
    <x v="0"/>
    <s v="Oxfam"/>
    <x v="0"/>
    <x v="0"/>
    <s v="Ohn Taw Gyi (North)"/>
    <m/>
    <n v="2728"/>
    <n v="15004"/>
    <n v="2728"/>
    <m/>
    <m/>
    <m/>
    <m/>
    <m/>
    <m/>
    <m/>
    <m/>
    <m/>
    <m/>
    <m/>
    <m/>
    <m/>
    <m/>
    <m/>
    <m/>
    <n v="0"/>
    <n v="2728"/>
    <n v="0"/>
    <n v="0"/>
    <n v="0"/>
    <n v="0"/>
    <n v="0"/>
    <n v="0"/>
    <n v="0"/>
    <n v="0"/>
    <n v="0"/>
    <n v="0"/>
    <n v="0"/>
    <n v="0"/>
    <n v="0"/>
    <s v="MMR012CMP115"/>
    <x v="0"/>
    <m/>
  </r>
  <r>
    <n v="0.46666666666666667"/>
    <x v="0"/>
    <x v="2"/>
    <x v="0"/>
    <s v="Oxfam"/>
    <x v="0"/>
    <x v="0"/>
    <s v="Thet Kae Pyin "/>
    <m/>
    <n v="1312"/>
    <n v="7216"/>
    <n v="1312"/>
    <m/>
    <m/>
    <m/>
    <m/>
    <m/>
    <m/>
    <m/>
    <m/>
    <m/>
    <m/>
    <m/>
    <m/>
    <m/>
    <m/>
    <m/>
    <m/>
    <n v="0"/>
    <n v="1312"/>
    <n v="0"/>
    <n v="0"/>
    <n v="0"/>
    <n v="0"/>
    <n v="0"/>
    <n v="0"/>
    <n v="0"/>
    <n v="0"/>
    <n v="0"/>
    <n v="0"/>
    <n v="0"/>
    <n v="0"/>
    <n v="0"/>
    <s v="MMR012CMP048"/>
    <x v="0"/>
    <m/>
  </r>
  <r>
    <n v="0.46666666666666667"/>
    <x v="0"/>
    <x v="2"/>
    <x v="0"/>
    <s v="Oxfam"/>
    <x v="0"/>
    <x v="0"/>
    <s v="Maw Ti Ngar"/>
    <m/>
    <n v="656"/>
    <n v="3608"/>
    <n v="656"/>
    <m/>
    <m/>
    <m/>
    <m/>
    <m/>
    <m/>
    <m/>
    <m/>
    <m/>
    <m/>
    <m/>
    <m/>
    <m/>
    <m/>
    <m/>
    <m/>
    <n v="0"/>
    <n v="656"/>
    <n v="0"/>
    <n v="0"/>
    <n v="0"/>
    <n v="0"/>
    <n v="0"/>
    <n v="0"/>
    <n v="0"/>
    <n v="0"/>
    <n v="0"/>
    <n v="0"/>
    <n v="0"/>
    <n v="0"/>
    <n v="0"/>
    <s v="MMR012CMP092"/>
    <x v="0"/>
    <m/>
  </r>
  <r>
    <n v="0.83333333333333337"/>
    <x v="0"/>
    <x v="3"/>
    <x v="1"/>
    <s v="SCI"/>
    <x v="0"/>
    <x v="1"/>
    <s v="Sin Tet Maw"/>
    <m/>
    <n v="720"/>
    <n v="2810"/>
    <n v="1440"/>
    <m/>
    <m/>
    <m/>
    <m/>
    <m/>
    <m/>
    <m/>
    <m/>
    <m/>
    <m/>
    <m/>
    <m/>
    <m/>
    <m/>
    <m/>
    <m/>
    <n v="0"/>
    <n v="1440"/>
    <n v="0"/>
    <n v="0"/>
    <n v="0"/>
    <n v="0"/>
    <n v="0"/>
    <n v="0"/>
    <n v="0"/>
    <n v="0"/>
    <n v="0"/>
    <n v="0"/>
    <n v="0"/>
    <n v="0"/>
    <n v="0"/>
    <s v="MMR012CMP019"/>
    <x v="0"/>
    <m/>
  </r>
  <r>
    <n v="1.3"/>
    <x v="0"/>
    <x v="4"/>
    <x v="0"/>
    <s v="Oxfam"/>
    <x v="0"/>
    <x v="0"/>
    <s v="Thet Kae Pyin "/>
    <m/>
    <n v="1312"/>
    <n v="5856"/>
    <n v="1312"/>
    <m/>
    <m/>
    <m/>
    <m/>
    <m/>
    <m/>
    <m/>
    <m/>
    <m/>
    <m/>
    <m/>
    <m/>
    <m/>
    <m/>
    <m/>
    <m/>
    <n v="0"/>
    <n v="1312"/>
    <n v="0"/>
    <n v="0"/>
    <n v="0"/>
    <n v="0"/>
    <n v="0"/>
    <n v="0"/>
    <n v="0"/>
    <n v="0"/>
    <n v="0"/>
    <n v="0"/>
    <n v="0"/>
    <n v="0"/>
    <n v="0"/>
    <s v="MMR012CMP048"/>
    <x v="0"/>
    <m/>
  </r>
  <r>
    <n v="1.3333333333333333"/>
    <x v="0"/>
    <x v="5"/>
    <x v="0"/>
    <s v="Oxfam"/>
    <x v="0"/>
    <x v="0"/>
    <s v="Maw Ti Ngar"/>
    <m/>
    <n v="656"/>
    <n v="3441"/>
    <n v="656"/>
    <m/>
    <m/>
    <m/>
    <m/>
    <m/>
    <m/>
    <m/>
    <m/>
    <m/>
    <m/>
    <m/>
    <m/>
    <m/>
    <m/>
    <m/>
    <m/>
    <n v="0"/>
    <n v="656"/>
    <n v="0"/>
    <n v="0"/>
    <n v="0"/>
    <n v="0"/>
    <n v="0"/>
    <n v="0"/>
    <n v="0"/>
    <n v="0"/>
    <n v="0"/>
    <n v="0"/>
    <n v="0"/>
    <n v="0"/>
    <n v="0"/>
    <s v="MMR012CMP092"/>
    <x v="0"/>
    <m/>
  </r>
  <r>
    <n v="1.3333333333333333"/>
    <x v="0"/>
    <x v="5"/>
    <x v="0"/>
    <s v="Oxfam"/>
    <x v="0"/>
    <x v="0"/>
    <s v="Say Tha Mar Gyi"/>
    <m/>
    <n v="2280"/>
    <n v="13743"/>
    <n v="2280"/>
    <m/>
    <m/>
    <m/>
    <m/>
    <m/>
    <m/>
    <m/>
    <m/>
    <m/>
    <m/>
    <m/>
    <m/>
    <m/>
    <m/>
    <m/>
    <m/>
    <n v="0"/>
    <n v="2280"/>
    <n v="0"/>
    <n v="0"/>
    <n v="0"/>
    <n v="0"/>
    <n v="0"/>
    <n v="0"/>
    <n v="0"/>
    <n v="0"/>
    <n v="0"/>
    <n v="0"/>
    <n v="0"/>
    <n v="0"/>
    <n v="0"/>
    <s v="MMR012CMP045"/>
    <x v="0"/>
    <m/>
  </r>
  <r>
    <n v="1.4333333333333333"/>
    <x v="0"/>
    <x v="6"/>
    <x v="0"/>
    <s v="Oxfam"/>
    <x v="0"/>
    <x v="0"/>
    <s v="Ohn Taw Gyi (North)"/>
    <m/>
    <n v="2728"/>
    <n v="13794"/>
    <n v="2728"/>
    <m/>
    <m/>
    <m/>
    <m/>
    <m/>
    <m/>
    <m/>
    <m/>
    <m/>
    <m/>
    <m/>
    <m/>
    <m/>
    <m/>
    <m/>
    <m/>
    <n v="0"/>
    <n v="2728"/>
    <n v="0"/>
    <n v="0"/>
    <n v="0"/>
    <n v="0"/>
    <n v="0"/>
    <n v="0"/>
    <n v="0"/>
    <n v="0"/>
    <n v="0"/>
    <n v="0"/>
    <n v="0"/>
    <n v="0"/>
    <n v="0"/>
    <s v="MMR012CMP115"/>
    <x v="0"/>
    <m/>
  </r>
  <r>
    <n v="1.9333333333333333"/>
    <x v="0"/>
    <x v="7"/>
    <x v="2"/>
    <s v="DRC"/>
    <x v="0"/>
    <x v="0"/>
    <s v="Say Tha Mar Gyi"/>
    <m/>
    <n v="37"/>
    <n v="37"/>
    <m/>
    <m/>
    <n v="37"/>
    <m/>
    <n v="37"/>
    <n v="37"/>
    <m/>
    <m/>
    <m/>
    <n v="111"/>
    <m/>
    <m/>
    <m/>
    <m/>
    <m/>
    <m/>
    <m/>
    <n v="0"/>
    <n v="0"/>
    <n v="0"/>
    <n v="37"/>
    <n v="0"/>
    <n v="37"/>
    <n v="37"/>
    <n v="0"/>
    <n v="0"/>
    <n v="0"/>
    <n v="277.5"/>
    <n v="0"/>
    <n v="0"/>
    <n v="0"/>
    <n v="0"/>
    <s v="MMR012CMP045"/>
    <x v="0"/>
    <s v="Distributed to Disable person , one person per HH"/>
  </r>
  <r>
    <n v="1.9666666666666666"/>
    <x v="0"/>
    <x v="8"/>
    <x v="2"/>
    <s v="LWF"/>
    <x v="0"/>
    <x v="1"/>
    <s v="Ah Nauk Ywe"/>
    <m/>
    <n v="857"/>
    <n v="4287"/>
    <m/>
    <m/>
    <n v="1714"/>
    <m/>
    <n v="1714"/>
    <n v="857"/>
    <m/>
    <m/>
    <m/>
    <n v="4285"/>
    <m/>
    <m/>
    <m/>
    <m/>
    <m/>
    <m/>
    <m/>
    <n v="0"/>
    <n v="0"/>
    <n v="0"/>
    <n v="1714"/>
    <n v="0"/>
    <n v="1714"/>
    <n v="857"/>
    <n v="0"/>
    <n v="0"/>
    <n v="0"/>
    <n v="4285"/>
    <n v="0"/>
    <n v="0"/>
    <n v="0"/>
    <n v="0"/>
    <s v="MMR012CMP016"/>
    <x v="0"/>
    <m/>
  </r>
  <r>
    <n v="1.9666666666666666"/>
    <x v="0"/>
    <x v="8"/>
    <x v="0"/>
    <s v="Oxfam"/>
    <x v="0"/>
    <x v="0"/>
    <s v="Thet Kae Pyin (IDPs in host family)"/>
    <m/>
    <n v="299"/>
    <n v="1644"/>
    <n v="299"/>
    <m/>
    <m/>
    <m/>
    <m/>
    <m/>
    <m/>
    <m/>
    <m/>
    <m/>
    <m/>
    <m/>
    <m/>
    <m/>
    <m/>
    <m/>
    <m/>
    <n v="0"/>
    <n v="299"/>
    <n v="0"/>
    <n v="0"/>
    <n v="0"/>
    <n v="0"/>
    <n v="0"/>
    <n v="0"/>
    <n v="0"/>
    <n v="0"/>
    <n v="0"/>
    <n v="0"/>
    <n v="0"/>
    <n v="0"/>
    <n v="0"/>
    <s v="MMR012CMP091"/>
    <x v="0"/>
    <m/>
  </r>
  <r>
    <n v="1.9666666666666666"/>
    <x v="0"/>
    <x v="8"/>
    <x v="0"/>
    <s v="Oxfam"/>
    <x v="0"/>
    <x v="0"/>
    <s v="Thet Kae Pyin "/>
    <m/>
    <n v="1013"/>
    <n v="5571"/>
    <n v="1312"/>
    <m/>
    <m/>
    <m/>
    <m/>
    <m/>
    <m/>
    <m/>
    <m/>
    <m/>
    <m/>
    <m/>
    <m/>
    <m/>
    <m/>
    <m/>
    <m/>
    <n v="0"/>
    <n v="1312"/>
    <n v="0"/>
    <n v="0"/>
    <n v="0"/>
    <n v="0"/>
    <n v="0"/>
    <n v="0"/>
    <n v="0"/>
    <n v="0"/>
    <n v="0"/>
    <n v="0"/>
    <n v="0"/>
    <n v="0"/>
    <n v="0"/>
    <s v="MMR012CMP048"/>
    <x v="0"/>
    <m/>
  </r>
  <r>
    <n v="1.9666666666666666"/>
    <x v="0"/>
    <x v="8"/>
    <x v="0"/>
    <s v="Oxfam"/>
    <x v="0"/>
    <x v="0"/>
    <s v="Maw Ti Ngar"/>
    <m/>
    <n v="656"/>
    <n v="3608"/>
    <n v="656"/>
    <m/>
    <m/>
    <m/>
    <m/>
    <m/>
    <m/>
    <m/>
    <m/>
    <m/>
    <m/>
    <m/>
    <m/>
    <m/>
    <m/>
    <m/>
    <m/>
    <n v="0"/>
    <n v="656"/>
    <n v="0"/>
    <n v="0"/>
    <n v="0"/>
    <n v="0"/>
    <n v="0"/>
    <n v="0"/>
    <n v="0"/>
    <n v="0"/>
    <n v="0"/>
    <n v="0"/>
    <n v="0"/>
    <n v="0"/>
    <n v="0"/>
    <s v="MMR012CMP092"/>
    <x v="0"/>
    <m/>
  </r>
  <r>
    <n v="2"/>
    <x v="0"/>
    <x v="9"/>
    <x v="0"/>
    <s v="Oxfam"/>
    <x v="0"/>
    <x v="0"/>
    <s v="Say Tha Mar Gyi"/>
    <m/>
    <n v="2280"/>
    <n v="12540"/>
    <n v="2280"/>
    <m/>
    <m/>
    <m/>
    <m/>
    <m/>
    <m/>
    <m/>
    <m/>
    <m/>
    <m/>
    <m/>
    <m/>
    <m/>
    <m/>
    <m/>
    <m/>
    <n v="0"/>
    <n v="2280"/>
    <n v="0"/>
    <n v="0"/>
    <n v="0"/>
    <n v="0"/>
    <n v="0"/>
    <n v="0"/>
    <n v="0"/>
    <n v="0"/>
    <n v="0"/>
    <n v="0"/>
    <n v="0"/>
    <n v="0"/>
    <n v="0"/>
    <s v="MMR012CMP045"/>
    <x v="0"/>
    <m/>
  </r>
  <r>
    <n v="2"/>
    <x v="0"/>
    <x v="9"/>
    <x v="0"/>
    <s v="Oxfam"/>
    <x v="0"/>
    <x v="0"/>
    <s v="Ohn Taw Gyi (North)"/>
    <m/>
    <n v="2728"/>
    <n v="15004"/>
    <n v="2728"/>
    <m/>
    <m/>
    <m/>
    <m/>
    <m/>
    <m/>
    <m/>
    <m/>
    <m/>
    <m/>
    <m/>
    <m/>
    <m/>
    <m/>
    <m/>
    <m/>
    <n v="0"/>
    <n v="2728"/>
    <n v="0"/>
    <n v="0"/>
    <n v="0"/>
    <n v="0"/>
    <n v="0"/>
    <n v="0"/>
    <n v="0"/>
    <n v="0"/>
    <n v="0"/>
    <n v="0"/>
    <n v="0"/>
    <n v="0"/>
    <n v="0"/>
    <s v="MMR012CMP115"/>
    <x v="0"/>
    <m/>
  </r>
  <r>
    <n v="2"/>
    <x v="0"/>
    <x v="9"/>
    <x v="3"/>
    <s v="IRW"/>
    <x v="0"/>
    <x v="0"/>
    <s v="Ohn Taw Gyi (South)"/>
    <m/>
    <n v="300"/>
    <n v="1500"/>
    <m/>
    <m/>
    <n v="600"/>
    <m/>
    <m/>
    <n v="300"/>
    <m/>
    <m/>
    <m/>
    <n v="300"/>
    <m/>
    <m/>
    <m/>
    <n v="300"/>
    <m/>
    <m/>
    <m/>
    <n v="0"/>
    <n v="0"/>
    <n v="0"/>
    <n v="600"/>
    <n v="0"/>
    <n v="0"/>
    <n v="300"/>
    <n v="0"/>
    <n v="0"/>
    <n v="0"/>
    <n v="300"/>
    <n v="0"/>
    <n v="0"/>
    <n v="0"/>
    <n v="300"/>
    <s v="MMR012CMP116"/>
    <x v="0"/>
    <m/>
  </r>
  <r>
    <n v="2.7333333333333334"/>
    <x v="0"/>
    <x v="10"/>
    <x v="2"/>
    <s v="DRC"/>
    <x v="0"/>
    <x v="0"/>
    <s v="Ohn Taw Gyi (North)"/>
    <m/>
    <n v="22"/>
    <n v="22"/>
    <m/>
    <m/>
    <n v="22"/>
    <m/>
    <n v="22"/>
    <n v="22"/>
    <m/>
    <m/>
    <m/>
    <n v="66"/>
    <m/>
    <m/>
    <m/>
    <m/>
    <m/>
    <m/>
    <m/>
    <n v="0"/>
    <n v="0"/>
    <n v="0"/>
    <n v="22"/>
    <n v="0"/>
    <n v="22"/>
    <n v="22"/>
    <n v="0"/>
    <n v="0"/>
    <n v="0"/>
    <n v="66"/>
    <n v="0"/>
    <n v="0"/>
    <n v="0"/>
    <n v="0"/>
    <s v="MMR012CMP115"/>
    <x v="0"/>
    <s v="Distributed to Disable person , one person per HH"/>
  </r>
  <r>
    <n v="2.7333333333333334"/>
    <x v="0"/>
    <x v="10"/>
    <x v="2"/>
    <s v="DRC"/>
    <x v="0"/>
    <x v="0"/>
    <s v="Ohn Taw Chay"/>
    <m/>
    <n v="5"/>
    <n v="5"/>
    <m/>
    <m/>
    <n v="5"/>
    <m/>
    <n v="5"/>
    <n v="5"/>
    <m/>
    <m/>
    <m/>
    <n v="15"/>
    <m/>
    <m/>
    <m/>
    <m/>
    <m/>
    <m/>
    <m/>
    <n v="0"/>
    <n v="0"/>
    <n v="0"/>
    <n v="5"/>
    <n v="0"/>
    <n v="5"/>
    <n v="5"/>
    <n v="0"/>
    <n v="0"/>
    <n v="0"/>
    <n v="15"/>
    <n v="0"/>
    <n v="0"/>
    <n v="0"/>
    <n v="0"/>
    <s v="MMR012CMP098"/>
    <x v="0"/>
    <s v="Distributed to Disable person , one person per HH"/>
  </r>
  <r>
    <n v="2.8333333333333335"/>
    <x v="0"/>
    <x v="11"/>
    <x v="2"/>
    <s v="DRC"/>
    <x v="0"/>
    <x v="0"/>
    <s v="Dar Pai"/>
    <m/>
    <n v="20"/>
    <n v="20"/>
    <m/>
    <m/>
    <n v="20"/>
    <m/>
    <n v="20"/>
    <n v="20"/>
    <m/>
    <m/>
    <m/>
    <n v="60"/>
    <m/>
    <m/>
    <m/>
    <m/>
    <m/>
    <m/>
    <m/>
    <n v="0"/>
    <n v="0"/>
    <n v="0"/>
    <n v="20"/>
    <n v="0"/>
    <n v="20"/>
    <n v="20"/>
    <n v="0"/>
    <n v="0"/>
    <n v="0"/>
    <n v="60"/>
    <n v="0"/>
    <n v="0"/>
    <n v="0"/>
    <n v="0"/>
    <s v="MMR012CMP041"/>
    <x v="0"/>
    <s v="Distributed to Disable person , one person per HH"/>
  </r>
  <r>
    <n v="2.8333333333333335"/>
    <x v="0"/>
    <x v="11"/>
    <x v="2"/>
    <s v="DRC"/>
    <x v="0"/>
    <x v="0"/>
    <s v="Baw Du Pha 2"/>
    <m/>
    <n v="19"/>
    <n v="19"/>
    <m/>
    <m/>
    <n v="19"/>
    <m/>
    <n v="19"/>
    <n v="19"/>
    <m/>
    <m/>
    <m/>
    <n v="57"/>
    <m/>
    <m/>
    <m/>
    <m/>
    <m/>
    <m/>
    <m/>
    <n v="0"/>
    <n v="0"/>
    <n v="0"/>
    <n v="19"/>
    <n v="0"/>
    <n v="19"/>
    <n v="19"/>
    <n v="0"/>
    <n v="0"/>
    <n v="0"/>
    <n v="57"/>
    <n v="0"/>
    <n v="0"/>
    <n v="0"/>
    <n v="0"/>
    <s v="MMR012CMP114"/>
    <x v="0"/>
    <s v="Distributed to Disable person , one person per HH"/>
  </r>
  <r>
    <n v="2.8333333333333335"/>
    <x v="0"/>
    <x v="11"/>
    <x v="2"/>
    <s v="DRC"/>
    <x v="0"/>
    <x v="0"/>
    <s v="Baw Du Pha 1"/>
    <m/>
    <n v="22"/>
    <n v="22"/>
    <m/>
    <m/>
    <n v="22"/>
    <m/>
    <n v="22"/>
    <n v="22"/>
    <m/>
    <m/>
    <m/>
    <n v="66"/>
    <m/>
    <m/>
    <m/>
    <m/>
    <m/>
    <m/>
    <m/>
    <n v="0"/>
    <n v="0"/>
    <n v="0"/>
    <n v="22"/>
    <n v="0"/>
    <n v="22"/>
    <n v="22"/>
    <n v="0"/>
    <n v="0"/>
    <n v="0"/>
    <n v="66"/>
    <n v="0"/>
    <n v="0"/>
    <n v="0"/>
    <n v="0"/>
    <s v="MMR012CMP113"/>
    <x v="0"/>
    <s v="Distributed to Disable person , one person per HH"/>
  </r>
  <r>
    <n v="3.0666666666666669"/>
    <x v="1"/>
    <x v="12"/>
    <x v="0"/>
    <s v="Oxfam"/>
    <x v="0"/>
    <x v="0"/>
    <s v="Thet Kae Pyin (IDPs in host family)"/>
    <m/>
    <n v="299"/>
    <n v="1645"/>
    <n v="299"/>
    <m/>
    <m/>
    <m/>
    <m/>
    <m/>
    <m/>
    <m/>
    <m/>
    <m/>
    <m/>
    <m/>
    <m/>
    <m/>
    <m/>
    <m/>
    <m/>
    <n v="0"/>
    <n v="299"/>
    <n v="0"/>
    <n v="0"/>
    <n v="0"/>
    <n v="0"/>
    <n v="0"/>
    <n v="0"/>
    <n v="0"/>
    <n v="0"/>
    <n v="0"/>
    <n v="0"/>
    <n v="0"/>
    <n v="0"/>
    <n v="0"/>
    <s v="MMR012CMP091"/>
    <x v="0"/>
    <m/>
  </r>
  <r>
    <n v="3.0666666666666669"/>
    <x v="1"/>
    <x v="12"/>
    <x v="0"/>
    <s v="Oxfam"/>
    <x v="0"/>
    <x v="0"/>
    <s v="Thet Kae Pyin "/>
    <m/>
    <n v="1013"/>
    <n v="5572"/>
    <n v="1312"/>
    <m/>
    <m/>
    <m/>
    <m/>
    <m/>
    <m/>
    <m/>
    <m/>
    <m/>
    <m/>
    <m/>
    <m/>
    <m/>
    <m/>
    <m/>
    <m/>
    <n v="0"/>
    <n v="1312"/>
    <n v="0"/>
    <n v="0"/>
    <n v="0"/>
    <n v="0"/>
    <n v="0"/>
    <n v="0"/>
    <n v="0"/>
    <n v="0"/>
    <n v="0"/>
    <n v="0"/>
    <n v="0"/>
    <n v="0"/>
    <n v="0"/>
    <s v="MMR012CMP048"/>
    <x v="0"/>
    <m/>
  </r>
  <r>
    <n v="3.0666666666666669"/>
    <x v="1"/>
    <x v="12"/>
    <x v="0"/>
    <s v="Oxfam"/>
    <x v="0"/>
    <x v="0"/>
    <s v="Say Tha Mar Gyi"/>
    <m/>
    <n v="2280"/>
    <n v="12540"/>
    <n v="2280"/>
    <m/>
    <m/>
    <m/>
    <m/>
    <m/>
    <m/>
    <m/>
    <m/>
    <m/>
    <m/>
    <m/>
    <m/>
    <m/>
    <m/>
    <m/>
    <m/>
    <n v="0"/>
    <n v="2280"/>
    <n v="0"/>
    <n v="0"/>
    <n v="0"/>
    <n v="0"/>
    <n v="0"/>
    <n v="0"/>
    <n v="0"/>
    <n v="0"/>
    <n v="0"/>
    <n v="0"/>
    <n v="0"/>
    <n v="0"/>
    <n v="0"/>
    <s v="MMR012CMP045"/>
    <x v="0"/>
    <m/>
  </r>
  <r>
    <n v="3.0666666666666669"/>
    <x v="1"/>
    <x v="12"/>
    <x v="0"/>
    <s v="Oxfam"/>
    <x v="0"/>
    <x v="0"/>
    <s v="Ohn Taw Gyi (North)"/>
    <m/>
    <n v="2728"/>
    <n v="13794"/>
    <n v="2728"/>
    <m/>
    <m/>
    <m/>
    <m/>
    <m/>
    <m/>
    <m/>
    <m/>
    <m/>
    <m/>
    <m/>
    <m/>
    <m/>
    <m/>
    <m/>
    <m/>
    <n v="0"/>
    <n v="2728"/>
    <n v="0"/>
    <n v="0"/>
    <n v="0"/>
    <n v="0"/>
    <n v="0"/>
    <n v="0"/>
    <n v="0"/>
    <n v="0"/>
    <n v="0"/>
    <n v="0"/>
    <n v="0"/>
    <n v="0"/>
    <n v="0"/>
    <s v="MMR012CMP115"/>
    <x v="0"/>
    <m/>
  </r>
  <r>
    <n v="3.0666666666666669"/>
    <x v="1"/>
    <x v="12"/>
    <x v="0"/>
    <s v="Oxfam"/>
    <x v="0"/>
    <x v="0"/>
    <s v="Maw Ti Ngar"/>
    <m/>
    <n v="656"/>
    <n v="3432"/>
    <n v="656"/>
    <m/>
    <m/>
    <m/>
    <m/>
    <m/>
    <m/>
    <m/>
    <m/>
    <m/>
    <m/>
    <m/>
    <m/>
    <m/>
    <m/>
    <m/>
    <m/>
    <n v="0"/>
    <n v="656"/>
    <n v="0"/>
    <n v="0"/>
    <n v="0"/>
    <n v="0"/>
    <n v="0"/>
    <n v="0"/>
    <n v="0"/>
    <n v="0"/>
    <n v="0"/>
    <n v="0"/>
    <n v="0"/>
    <n v="0"/>
    <n v="0"/>
    <s v="MMR012CMP092"/>
    <x v="0"/>
    <m/>
  </r>
  <r>
    <n v="3.3"/>
    <x v="1"/>
    <x v="13"/>
    <x v="2"/>
    <s v="DRC"/>
    <x v="0"/>
    <x v="1"/>
    <s v="Kyein Ni Pyin"/>
    <m/>
    <n v="1328"/>
    <n v="6028"/>
    <m/>
    <m/>
    <n v="2702"/>
    <m/>
    <n v="2702"/>
    <n v="1351"/>
    <m/>
    <m/>
    <m/>
    <n v="6755"/>
    <m/>
    <m/>
    <m/>
    <m/>
    <m/>
    <m/>
    <m/>
    <n v="0"/>
    <n v="0"/>
    <n v="0"/>
    <n v="2702"/>
    <n v="0"/>
    <n v="2702"/>
    <n v="1351"/>
    <n v="0"/>
    <n v="0"/>
    <n v="0"/>
    <n v="6755"/>
    <n v="0"/>
    <n v="0"/>
    <n v="0"/>
    <n v="0"/>
    <s v="MMR012CMP018"/>
    <x v="0"/>
    <m/>
  </r>
  <r>
    <n v="3.7666666666666666"/>
    <x v="1"/>
    <x v="14"/>
    <x v="2"/>
    <s v="DRC"/>
    <x v="0"/>
    <x v="1"/>
    <s v="Kyein Ni Pyin"/>
    <m/>
    <n v="50"/>
    <n v="254"/>
    <m/>
    <m/>
    <m/>
    <n v="100"/>
    <n v="100"/>
    <n v="50"/>
    <m/>
    <n v="50"/>
    <n v="50"/>
    <n v="250"/>
    <m/>
    <m/>
    <m/>
    <m/>
    <m/>
    <m/>
    <m/>
    <n v="0"/>
    <n v="0"/>
    <n v="0"/>
    <n v="0"/>
    <n v="100"/>
    <n v="100"/>
    <n v="50"/>
    <n v="0"/>
    <n v="50"/>
    <n v="50"/>
    <n v="250"/>
    <n v="0"/>
    <n v="0"/>
    <n v="0"/>
    <n v="0"/>
    <s v="MMR012CMP018"/>
    <x v="0"/>
    <s v="For the fire burnt effected Households"/>
  </r>
  <r>
    <n v="3.8333333333333335"/>
    <x v="1"/>
    <x v="15"/>
    <x v="2"/>
    <s v="NRC"/>
    <x v="0"/>
    <x v="0"/>
    <s v="Maw Ti Ngar"/>
    <m/>
    <n v="24"/>
    <n v="130"/>
    <m/>
    <m/>
    <m/>
    <n v="48"/>
    <m/>
    <m/>
    <m/>
    <m/>
    <m/>
    <m/>
    <m/>
    <m/>
    <m/>
    <m/>
    <m/>
    <m/>
    <m/>
    <n v="0"/>
    <n v="0"/>
    <n v="0"/>
    <n v="0"/>
    <n v="48"/>
    <n v="0"/>
    <n v="0"/>
    <n v="0"/>
    <n v="0"/>
    <n v="0"/>
    <n v="0"/>
    <n v="0"/>
    <n v="0"/>
    <n v="0"/>
    <n v="0"/>
    <s v="MMR012CMP092"/>
    <x v="0"/>
    <m/>
  </r>
  <r>
    <n v="4.0333333333333332"/>
    <x v="1"/>
    <x v="16"/>
    <x v="0"/>
    <s v="Oxfam"/>
    <x v="0"/>
    <x v="0"/>
    <s v="Thet Kae Pyin (IDPs in host family)"/>
    <m/>
    <n v="299"/>
    <n v="1645"/>
    <n v="299"/>
    <m/>
    <m/>
    <m/>
    <m/>
    <m/>
    <m/>
    <m/>
    <m/>
    <m/>
    <m/>
    <m/>
    <m/>
    <m/>
    <m/>
    <m/>
    <m/>
    <n v="0"/>
    <n v="299"/>
    <n v="0"/>
    <n v="0"/>
    <n v="0"/>
    <n v="0"/>
    <n v="0"/>
    <n v="0"/>
    <n v="0"/>
    <n v="0"/>
    <n v="0"/>
    <n v="0"/>
    <n v="0"/>
    <n v="0"/>
    <n v="0"/>
    <s v="MMR012CMP091"/>
    <x v="0"/>
    <m/>
  </r>
  <r>
    <n v="4.0333333333333332"/>
    <x v="1"/>
    <x v="16"/>
    <x v="0"/>
    <s v="Oxfam"/>
    <x v="0"/>
    <x v="0"/>
    <s v="Thet Kae Pyin "/>
    <m/>
    <n v="1013"/>
    <n v="5572"/>
    <n v="1312"/>
    <m/>
    <m/>
    <m/>
    <m/>
    <m/>
    <m/>
    <m/>
    <m/>
    <m/>
    <m/>
    <m/>
    <m/>
    <m/>
    <m/>
    <m/>
    <m/>
    <n v="0"/>
    <n v="1312"/>
    <n v="0"/>
    <n v="0"/>
    <n v="0"/>
    <n v="0"/>
    <n v="0"/>
    <n v="0"/>
    <n v="0"/>
    <n v="0"/>
    <n v="0"/>
    <n v="0"/>
    <n v="0"/>
    <n v="0"/>
    <n v="0"/>
    <s v="MMR012CMP048"/>
    <x v="0"/>
    <m/>
  </r>
  <r>
    <n v="4.0333333333333332"/>
    <x v="1"/>
    <x v="16"/>
    <x v="0"/>
    <s v="Oxfam"/>
    <x v="0"/>
    <x v="0"/>
    <s v="Ohn Taw Gyi (North)"/>
    <m/>
    <n v="2728"/>
    <n v="13794"/>
    <n v="2728"/>
    <m/>
    <m/>
    <m/>
    <m/>
    <m/>
    <m/>
    <m/>
    <m/>
    <m/>
    <m/>
    <m/>
    <m/>
    <m/>
    <m/>
    <m/>
    <m/>
    <n v="0"/>
    <n v="2728"/>
    <n v="0"/>
    <n v="0"/>
    <n v="0"/>
    <n v="0"/>
    <n v="0"/>
    <n v="0"/>
    <n v="0"/>
    <n v="0"/>
    <n v="0"/>
    <n v="0"/>
    <n v="0"/>
    <n v="0"/>
    <n v="0"/>
    <s v="MMR012CMP115"/>
    <x v="0"/>
    <m/>
  </r>
  <r>
    <n v="4.0333333333333332"/>
    <x v="1"/>
    <x v="16"/>
    <x v="0"/>
    <s v="Oxfam"/>
    <x v="0"/>
    <x v="0"/>
    <s v="Maw Ti Ngar"/>
    <m/>
    <n v="656"/>
    <n v="3432"/>
    <n v="656"/>
    <m/>
    <m/>
    <m/>
    <m/>
    <m/>
    <m/>
    <m/>
    <m/>
    <m/>
    <m/>
    <m/>
    <m/>
    <m/>
    <m/>
    <m/>
    <m/>
    <n v="0"/>
    <n v="656"/>
    <n v="0"/>
    <n v="0"/>
    <n v="0"/>
    <n v="0"/>
    <n v="0"/>
    <n v="0"/>
    <n v="0"/>
    <n v="0"/>
    <n v="0"/>
    <n v="0"/>
    <n v="0"/>
    <n v="0"/>
    <n v="0"/>
    <s v="MMR012CMP092"/>
    <x v="0"/>
    <m/>
  </r>
  <r>
    <n v="4.0999999999999996"/>
    <x v="1"/>
    <x v="17"/>
    <x v="4"/>
    <s v="SI"/>
    <x v="0"/>
    <x v="1"/>
    <s v="Nget Chaung 1"/>
    <m/>
    <n v="928"/>
    <n v="3962"/>
    <m/>
    <n v="928"/>
    <m/>
    <m/>
    <m/>
    <m/>
    <m/>
    <m/>
    <m/>
    <m/>
    <m/>
    <m/>
    <m/>
    <m/>
    <m/>
    <m/>
    <m/>
    <n v="0"/>
    <n v="0"/>
    <n v="928"/>
    <n v="0"/>
    <n v="0"/>
    <n v="0"/>
    <n v="0"/>
    <n v="0"/>
    <n v="0"/>
    <n v="0"/>
    <n v="0"/>
    <n v="0"/>
    <n v="0"/>
    <n v="0"/>
    <n v="0"/>
    <s v="MMR012CMP017"/>
    <x v="0"/>
    <m/>
  </r>
  <r>
    <n v="4.1333333333333337"/>
    <x v="1"/>
    <x v="18"/>
    <x v="5"/>
    <s v="SI"/>
    <x v="0"/>
    <x v="0"/>
    <s v="Thae Chaung"/>
    <m/>
    <n v="1138"/>
    <n v="13460"/>
    <m/>
    <n v="1138"/>
    <m/>
    <m/>
    <m/>
    <m/>
    <m/>
    <m/>
    <m/>
    <m/>
    <m/>
    <m/>
    <m/>
    <m/>
    <m/>
    <m/>
    <m/>
    <n v="0"/>
    <n v="0"/>
    <n v="1138"/>
    <n v="0"/>
    <n v="0"/>
    <n v="0"/>
    <n v="0"/>
    <n v="0"/>
    <n v="0"/>
    <n v="0"/>
    <n v="0"/>
    <n v="0"/>
    <n v="0"/>
    <n v="0"/>
    <n v="0"/>
    <s v="MMR012CMP046"/>
    <x v="0"/>
    <m/>
  </r>
  <r>
    <n v="4.166666666666667"/>
    <x v="1"/>
    <x v="19"/>
    <x v="0"/>
    <s v="Oxfam"/>
    <x v="0"/>
    <x v="0"/>
    <s v="Say Tha Mar Gyi"/>
    <m/>
    <n v="2280"/>
    <n v="12540"/>
    <n v="2280"/>
    <m/>
    <m/>
    <m/>
    <m/>
    <m/>
    <m/>
    <m/>
    <m/>
    <m/>
    <m/>
    <m/>
    <m/>
    <m/>
    <m/>
    <m/>
    <m/>
    <n v="0"/>
    <n v="2280"/>
    <n v="0"/>
    <n v="0"/>
    <n v="0"/>
    <n v="0"/>
    <n v="0"/>
    <n v="0"/>
    <n v="0"/>
    <n v="0"/>
    <n v="0"/>
    <n v="0"/>
    <n v="0"/>
    <n v="0"/>
    <n v="0"/>
    <s v="MMR012CMP045"/>
    <x v="0"/>
    <m/>
  </r>
  <r>
    <n v="4.2666666666666666"/>
    <x v="1"/>
    <x v="20"/>
    <x v="6"/>
    <s v="SI/CDN"/>
    <x v="0"/>
    <x v="0"/>
    <s v="Khaung Doke Khar "/>
    <m/>
    <n v="799"/>
    <n v="4471"/>
    <m/>
    <n v="799"/>
    <m/>
    <m/>
    <m/>
    <m/>
    <m/>
    <m/>
    <m/>
    <m/>
    <m/>
    <m/>
    <m/>
    <m/>
    <m/>
    <m/>
    <m/>
    <n v="0"/>
    <n v="0"/>
    <n v="799"/>
    <n v="0"/>
    <n v="0"/>
    <n v="0"/>
    <n v="0"/>
    <n v="0"/>
    <n v="0"/>
    <n v="0"/>
    <n v="0"/>
    <n v="0"/>
    <n v="0"/>
    <n v="0"/>
    <n v="0"/>
    <s v="MMR012CMP042"/>
    <x v="0"/>
    <m/>
  </r>
  <r>
    <n v="4.666666666666667"/>
    <x v="1"/>
    <x v="21"/>
    <x v="1"/>
    <s v="SCI"/>
    <x v="0"/>
    <x v="0"/>
    <s v="Basare"/>
    <m/>
    <n v="397"/>
    <n v="2269"/>
    <m/>
    <n v="397"/>
    <m/>
    <m/>
    <m/>
    <m/>
    <m/>
    <m/>
    <m/>
    <m/>
    <m/>
    <m/>
    <m/>
    <m/>
    <m/>
    <m/>
    <m/>
    <n v="0"/>
    <n v="0"/>
    <n v="397"/>
    <n v="0"/>
    <n v="0"/>
    <n v="0"/>
    <n v="0"/>
    <n v="0"/>
    <n v="0"/>
    <n v="0"/>
    <n v="0"/>
    <n v="0"/>
    <n v="0"/>
    <n v="0"/>
    <n v="0"/>
    <s v="MMR012CMP039"/>
    <x v="0"/>
    <m/>
  </r>
  <r>
    <n v="4.7666666666666666"/>
    <x v="1"/>
    <x v="22"/>
    <x v="7"/>
    <s v="DRC"/>
    <x v="0"/>
    <x v="0"/>
    <s v="Ohn Taw Gyi (South)"/>
    <m/>
    <n v="1145"/>
    <n v="11730"/>
    <m/>
    <n v="1145"/>
    <m/>
    <m/>
    <m/>
    <m/>
    <m/>
    <m/>
    <m/>
    <m/>
    <m/>
    <m/>
    <m/>
    <m/>
    <m/>
    <m/>
    <m/>
    <n v="0"/>
    <n v="0"/>
    <n v="1145"/>
    <n v="0"/>
    <n v="0"/>
    <n v="0"/>
    <n v="0"/>
    <n v="0"/>
    <n v="0"/>
    <n v="0"/>
    <n v="0"/>
    <n v="0"/>
    <n v="0"/>
    <n v="0"/>
    <n v="0"/>
    <s v="MMR012CMP116"/>
    <x v="0"/>
    <m/>
  </r>
  <r>
    <n v="5.0333333333333332"/>
    <x v="1"/>
    <x v="23"/>
    <x v="1"/>
    <s v="SCI"/>
    <x v="0"/>
    <x v="1"/>
    <s v="Sin Tet Maw"/>
    <m/>
    <n v="720"/>
    <n v="2810"/>
    <m/>
    <n v="2160"/>
    <m/>
    <m/>
    <m/>
    <m/>
    <m/>
    <m/>
    <m/>
    <m/>
    <m/>
    <m/>
    <m/>
    <m/>
    <m/>
    <m/>
    <m/>
    <n v="0"/>
    <n v="0"/>
    <n v="2160"/>
    <n v="0"/>
    <n v="0"/>
    <n v="0"/>
    <n v="0"/>
    <n v="0"/>
    <n v="0"/>
    <n v="0"/>
    <n v="0"/>
    <n v="0"/>
    <n v="0"/>
    <n v="0"/>
    <n v="0"/>
    <s v="MMR012CMP019"/>
    <x v="0"/>
    <m/>
  </r>
  <r>
    <n v="5.2666666666666666"/>
    <x v="1"/>
    <x v="24"/>
    <x v="1"/>
    <s v="SCI"/>
    <x v="0"/>
    <x v="0"/>
    <s v="Basare"/>
    <m/>
    <n v="397"/>
    <n v="2196"/>
    <m/>
    <n v="794"/>
    <m/>
    <m/>
    <m/>
    <m/>
    <m/>
    <m/>
    <m/>
    <m/>
    <m/>
    <m/>
    <m/>
    <m/>
    <m/>
    <m/>
    <m/>
    <n v="0"/>
    <n v="0"/>
    <n v="794"/>
    <n v="0"/>
    <n v="0"/>
    <n v="0"/>
    <n v="0"/>
    <n v="0"/>
    <n v="0"/>
    <n v="0"/>
    <n v="0"/>
    <n v="0"/>
    <n v="0"/>
    <n v="0"/>
    <n v="0"/>
    <s v="MMR012CMP039"/>
    <x v="0"/>
    <m/>
  </r>
  <r>
    <n v="5.2666666666666666"/>
    <x v="1"/>
    <x v="24"/>
    <x v="1"/>
    <s v="SCI"/>
    <x v="0"/>
    <x v="0"/>
    <s v="Ohn Taw Gyi (North)"/>
    <m/>
    <n v="2718"/>
    <n v="13798"/>
    <m/>
    <n v="5436"/>
    <m/>
    <m/>
    <m/>
    <m/>
    <m/>
    <m/>
    <m/>
    <m/>
    <m/>
    <m/>
    <m/>
    <m/>
    <m/>
    <m/>
    <m/>
    <n v="0"/>
    <n v="0"/>
    <n v="5436"/>
    <n v="0"/>
    <n v="0"/>
    <n v="0"/>
    <n v="0"/>
    <n v="0"/>
    <n v="0"/>
    <n v="0"/>
    <n v="0"/>
    <n v="0"/>
    <n v="0"/>
    <n v="0"/>
    <n v="0"/>
    <s v="MMR012CMP115"/>
    <x v="0"/>
    <m/>
  </r>
  <r>
    <n v="5.3"/>
    <x v="1"/>
    <x v="25"/>
    <x v="1"/>
    <s v="SCI"/>
    <x v="0"/>
    <x v="0"/>
    <s v="Maw Ti Ngar"/>
    <m/>
    <n v="656"/>
    <n v="3492"/>
    <m/>
    <n v="1312"/>
    <m/>
    <m/>
    <m/>
    <m/>
    <m/>
    <m/>
    <m/>
    <m/>
    <m/>
    <m/>
    <m/>
    <m/>
    <m/>
    <m/>
    <m/>
    <n v="0"/>
    <n v="0"/>
    <n v="1312"/>
    <n v="0"/>
    <n v="0"/>
    <n v="0"/>
    <n v="0"/>
    <n v="0"/>
    <n v="0"/>
    <n v="0"/>
    <n v="0"/>
    <n v="0"/>
    <n v="0"/>
    <n v="0"/>
    <n v="0"/>
    <s v="MMR012CMP092"/>
    <x v="0"/>
    <m/>
  </r>
  <r>
    <n v="5.3"/>
    <x v="1"/>
    <x v="25"/>
    <x v="1"/>
    <s v="SCI"/>
    <x v="0"/>
    <x v="0"/>
    <s v="Thet Kae Pyin "/>
    <m/>
    <n v="1013"/>
    <n v="5928"/>
    <m/>
    <n v="2026"/>
    <m/>
    <m/>
    <m/>
    <m/>
    <m/>
    <m/>
    <m/>
    <m/>
    <m/>
    <m/>
    <m/>
    <m/>
    <m/>
    <m/>
    <m/>
    <n v="0"/>
    <n v="0"/>
    <n v="2026"/>
    <n v="0"/>
    <n v="0"/>
    <n v="0"/>
    <n v="0"/>
    <n v="0"/>
    <n v="0"/>
    <n v="0"/>
    <n v="0"/>
    <n v="0"/>
    <n v="0"/>
    <n v="0"/>
    <n v="0"/>
    <s v="MMR012CMP048"/>
    <x v="0"/>
    <m/>
  </r>
  <r>
    <n v="6.0333333333333332"/>
    <x v="1"/>
    <x v="26"/>
    <x v="4"/>
    <s v="UNICEF"/>
    <x v="0"/>
    <x v="1"/>
    <s v="Ah Nauk Ywe"/>
    <m/>
    <n v="1238"/>
    <n v="6809"/>
    <m/>
    <n v="1238"/>
    <m/>
    <n v="1238"/>
    <m/>
    <m/>
    <m/>
    <n v="1238"/>
    <m/>
    <m/>
    <m/>
    <m/>
    <m/>
    <m/>
    <m/>
    <m/>
    <m/>
    <n v="0"/>
    <n v="0"/>
    <n v="1238"/>
    <n v="0"/>
    <n v="1238"/>
    <n v="0"/>
    <n v="0"/>
    <n v="0"/>
    <n v="1238"/>
    <n v="0"/>
    <n v="0"/>
    <n v="0"/>
    <n v="0"/>
    <n v="0"/>
    <n v="0"/>
    <s v="MMR012CMP016"/>
    <x v="0"/>
    <m/>
  </r>
  <r>
    <n v="6.0333333333333332"/>
    <x v="1"/>
    <x v="26"/>
    <x v="5"/>
    <s v="SI"/>
    <x v="0"/>
    <x v="0"/>
    <s v="Thae Chaung"/>
    <m/>
    <n v="1138"/>
    <n v="6259"/>
    <m/>
    <n v="1138"/>
    <m/>
    <m/>
    <m/>
    <m/>
    <m/>
    <m/>
    <m/>
    <m/>
    <m/>
    <m/>
    <m/>
    <m/>
    <m/>
    <m/>
    <m/>
    <n v="0"/>
    <n v="0"/>
    <n v="1138"/>
    <n v="0"/>
    <n v="0"/>
    <n v="0"/>
    <n v="0"/>
    <n v="0"/>
    <n v="0"/>
    <n v="0"/>
    <n v="0"/>
    <n v="0"/>
    <n v="0"/>
    <n v="0"/>
    <n v="0"/>
    <s v="MMR012CMP046"/>
    <x v="0"/>
    <m/>
  </r>
  <r>
    <n v="7.3"/>
    <x v="1"/>
    <x v="27"/>
    <x v="5"/>
    <s v="SI"/>
    <x v="0"/>
    <x v="0"/>
    <s v="Khaung Doke Khar "/>
    <m/>
    <n v="400"/>
    <n v="2187"/>
    <m/>
    <n v="800"/>
    <m/>
    <m/>
    <m/>
    <m/>
    <m/>
    <m/>
    <m/>
    <m/>
    <m/>
    <m/>
    <m/>
    <m/>
    <m/>
    <m/>
    <m/>
    <n v="0"/>
    <n v="0"/>
    <n v="800"/>
    <n v="0"/>
    <n v="0"/>
    <n v="0"/>
    <n v="0"/>
    <n v="0"/>
    <n v="0"/>
    <n v="0"/>
    <n v="0"/>
    <n v="0"/>
    <n v="0"/>
    <n v="0"/>
    <n v="0"/>
    <s v="MMR012CMP042"/>
    <x v="0"/>
    <m/>
  </r>
  <r>
    <n v="7.3"/>
    <x v="1"/>
    <x v="27"/>
    <x v="1"/>
    <s v="SCI"/>
    <x v="0"/>
    <x v="0"/>
    <s v="Ohn Taw Gyi (North)"/>
    <m/>
    <n v="2718"/>
    <n v="13798"/>
    <m/>
    <n v="2718"/>
    <m/>
    <m/>
    <m/>
    <m/>
    <m/>
    <m/>
    <m/>
    <m/>
    <m/>
    <m/>
    <m/>
    <m/>
    <m/>
    <m/>
    <m/>
    <n v="0"/>
    <n v="0"/>
    <n v="2718"/>
    <n v="0"/>
    <n v="0"/>
    <n v="0"/>
    <n v="0"/>
    <n v="0"/>
    <n v="0"/>
    <n v="0"/>
    <n v="0"/>
    <n v="0"/>
    <n v="0"/>
    <n v="0"/>
    <n v="0"/>
    <s v="MMR012CMP115"/>
    <x v="0"/>
    <m/>
  </r>
  <r>
    <n v="7.3"/>
    <x v="1"/>
    <x v="27"/>
    <x v="1"/>
    <s v="SCI"/>
    <x v="0"/>
    <x v="0"/>
    <s v="Maw Ti Ngar"/>
    <m/>
    <n v="656"/>
    <n v="3492"/>
    <m/>
    <n v="656"/>
    <m/>
    <m/>
    <m/>
    <m/>
    <m/>
    <m/>
    <m/>
    <m/>
    <m/>
    <m/>
    <m/>
    <m/>
    <m/>
    <m/>
    <m/>
    <n v="0"/>
    <n v="0"/>
    <n v="656"/>
    <n v="0"/>
    <n v="0"/>
    <n v="0"/>
    <n v="0"/>
    <n v="0"/>
    <n v="0"/>
    <n v="0"/>
    <n v="0"/>
    <n v="0"/>
    <n v="0"/>
    <n v="0"/>
    <n v="0"/>
    <s v="MMR012CMP092"/>
    <x v="0"/>
    <m/>
  </r>
  <r>
    <n v="7.3"/>
    <x v="1"/>
    <x v="27"/>
    <x v="1"/>
    <s v="SCI"/>
    <x v="0"/>
    <x v="0"/>
    <s v="Basare"/>
    <m/>
    <n v="397"/>
    <n v="2196"/>
    <m/>
    <n v="397"/>
    <m/>
    <m/>
    <m/>
    <m/>
    <m/>
    <m/>
    <m/>
    <m/>
    <m/>
    <m/>
    <m/>
    <m/>
    <m/>
    <m/>
    <m/>
    <n v="0"/>
    <n v="0"/>
    <n v="397"/>
    <n v="0"/>
    <n v="0"/>
    <n v="0"/>
    <n v="0"/>
    <n v="0"/>
    <n v="0"/>
    <n v="0"/>
    <n v="0"/>
    <n v="0"/>
    <n v="0"/>
    <n v="0"/>
    <n v="0"/>
    <s v="MMR012CMP039"/>
    <x v="0"/>
    <m/>
  </r>
  <r>
    <n v="7.3666666666666663"/>
    <x v="1"/>
    <x v="28"/>
    <x v="5"/>
    <s v="SI"/>
    <x v="0"/>
    <x v="0"/>
    <s v="Thae Chaung"/>
    <m/>
    <n v="1137"/>
    <n v="6253"/>
    <m/>
    <n v="1137"/>
    <m/>
    <m/>
    <m/>
    <m/>
    <m/>
    <m/>
    <m/>
    <m/>
    <m/>
    <m/>
    <m/>
    <m/>
    <m/>
    <m/>
    <m/>
    <n v="0"/>
    <n v="0"/>
    <n v="1137"/>
    <n v="0"/>
    <n v="0"/>
    <n v="0"/>
    <n v="0"/>
    <n v="0"/>
    <n v="0"/>
    <n v="0"/>
    <n v="0"/>
    <n v="0"/>
    <n v="0"/>
    <n v="0"/>
    <n v="0"/>
    <s v="MMR012CMP046"/>
    <x v="0"/>
    <m/>
  </r>
  <r>
    <n v="7.7666666666666666"/>
    <x v="1"/>
    <x v="29"/>
    <x v="2"/>
    <s v="DRC"/>
    <x v="0"/>
    <x v="1"/>
    <s v="Sin Tet Maw"/>
    <m/>
    <n v="630"/>
    <n v="3465"/>
    <m/>
    <m/>
    <n v="630"/>
    <n v="630"/>
    <m/>
    <n v="630"/>
    <m/>
    <m/>
    <n v="630"/>
    <n v="1890"/>
    <m/>
    <m/>
    <m/>
    <m/>
    <m/>
    <m/>
    <m/>
    <n v="0"/>
    <n v="0"/>
    <n v="0"/>
    <n v="630"/>
    <n v="630"/>
    <n v="0"/>
    <n v="630"/>
    <n v="0"/>
    <n v="0"/>
    <n v="630"/>
    <n v="1890"/>
    <n v="0"/>
    <n v="0"/>
    <n v="0"/>
    <n v="0"/>
    <s v="MMR012CMP019"/>
    <x v="0"/>
    <m/>
  </r>
  <r>
    <n v="8.0666666666666664"/>
    <x v="1"/>
    <x v="30"/>
    <x v="7"/>
    <s v="DRC"/>
    <x v="0"/>
    <x v="0"/>
    <s v="Ohn Taw Chay"/>
    <m/>
    <n v="80"/>
    <n v="439"/>
    <m/>
    <m/>
    <m/>
    <m/>
    <m/>
    <m/>
    <m/>
    <m/>
    <m/>
    <m/>
    <n v="560"/>
    <m/>
    <m/>
    <m/>
    <n v="240"/>
    <n v="80"/>
    <m/>
    <n v="0"/>
    <n v="0"/>
    <n v="0"/>
    <n v="0"/>
    <n v="0"/>
    <n v="0"/>
    <n v="0"/>
    <n v="0"/>
    <n v="0"/>
    <n v="0"/>
    <n v="0"/>
    <n v="560"/>
    <n v="0"/>
    <n v="0"/>
    <n v="0"/>
    <s v="MMR012CMP098"/>
    <x v="0"/>
    <m/>
  </r>
  <r>
    <n v="8.0666666666666664"/>
    <x v="1"/>
    <x v="30"/>
    <x v="2"/>
    <s v="DRC"/>
    <x v="0"/>
    <x v="0"/>
    <s v="Ohn Taw Chay"/>
    <m/>
    <n v="80"/>
    <n v="439"/>
    <m/>
    <m/>
    <m/>
    <n v="80"/>
    <n v="160"/>
    <n v="80"/>
    <m/>
    <m/>
    <m/>
    <n v="400"/>
    <m/>
    <m/>
    <m/>
    <m/>
    <m/>
    <m/>
    <m/>
    <n v="0"/>
    <n v="0"/>
    <n v="0"/>
    <n v="0"/>
    <n v="80"/>
    <n v="160"/>
    <n v="80"/>
    <n v="0"/>
    <n v="0"/>
    <n v="0"/>
    <n v="400"/>
    <n v="0"/>
    <n v="0"/>
    <n v="0"/>
    <n v="0"/>
    <s v="MMR012CMP098"/>
    <x v="0"/>
    <m/>
  </r>
  <r>
    <n v="8.5666666666666664"/>
    <x v="1"/>
    <x v="31"/>
    <x v="2"/>
    <s v="LWF"/>
    <x v="0"/>
    <x v="0"/>
    <s v="Ohn Taw Gyi (South)"/>
    <m/>
    <n v="2222"/>
    <n v="12221"/>
    <m/>
    <m/>
    <n v="4444"/>
    <m/>
    <n v="4444"/>
    <n v="2222"/>
    <m/>
    <m/>
    <m/>
    <n v="11110"/>
    <m/>
    <m/>
    <m/>
    <m/>
    <m/>
    <m/>
    <m/>
    <n v="0"/>
    <n v="0"/>
    <n v="0"/>
    <n v="4444"/>
    <n v="0"/>
    <n v="4444"/>
    <n v="2222"/>
    <n v="0"/>
    <n v="0"/>
    <n v="0"/>
    <n v="11110"/>
    <n v="0"/>
    <n v="0"/>
    <n v="0"/>
    <n v="0"/>
    <s v="MMR012CMP116"/>
    <x v="0"/>
    <m/>
  </r>
  <r>
    <n v="8.6"/>
    <x v="1"/>
    <x v="32"/>
    <x v="8"/>
    <s v="LWF"/>
    <x v="0"/>
    <x v="1"/>
    <s v="Nget Chaung 2"/>
    <m/>
    <n v="856"/>
    <n v="4708"/>
    <m/>
    <m/>
    <m/>
    <n v="856"/>
    <m/>
    <m/>
    <m/>
    <m/>
    <m/>
    <m/>
    <m/>
    <m/>
    <m/>
    <m/>
    <m/>
    <m/>
    <m/>
    <n v="0"/>
    <n v="0"/>
    <n v="0"/>
    <n v="0"/>
    <n v="856"/>
    <n v="0"/>
    <n v="0"/>
    <n v="0"/>
    <n v="0"/>
    <n v="0"/>
    <n v="0"/>
    <n v="0"/>
    <n v="0"/>
    <n v="0"/>
    <n v="0"/>
    <s v="MMR012CMP017"/>
    <x v="0"/>
    <m/>
  </r>
  <r>
    <n v="8.6"/>
    <x v="1"/>
    <x v="32"/>
    <x v="8"/>
    <s v="LWF"/>
    <x v="0"/>
    <x v="1"/>
    <s v="Nget Chaung 1"/>
    <m/>
    <n v="928"/>
    <n v="4380"/>
    <m/>
    <m/>
    <m/>
    <n v="928"/>
    <m/>
    <m/>
    <m/>
    <m/>
    <m/>
    <m/>
    <m/>
    <m/>
    <m/>
    <m/>
    <m/>
    <m/>
    <m/>
    <n v="0"/>
    <n v="0"/>
    <n v="0"/>
    <n v="0"/>
    <n v="928"/>
    <n v="0"/>
    <n v="0"/>
    <n v="0"/>
    <n v="0"/>
    <n v="0"/>
    <n v="0"/>
    <n v="0"/>
    <n v="0"/>
    <n v="0"/>
    <n v="0"/>
    <s v="MMR012CMP017"/>
    <x v="0"/>
    <m/>
  </r>
  <r>
    <n v="8.6333333333333329"/>
    <x v="1"/>
    <x v="33"/>
    <x v="5"/>
    <s v="SI"/>
    <x v="0"/>
    <x v="0"/>
    <s v="Thae Chaung"/>
    <m/>
    <n v="1137"/>
    <n v="6253"/>
    <m/>
    <n v="1137"/>
    <m/>
    <m/>
    <m/>
    <m/>
    <m/>
    <m/>
    <m/>
    <m/>
    <m/>
    <m/>
    <m/>
    <m/>
    <m/>
    <m/>
    <m/>
    <n v="0"/>
    <n v="0"/>
    <n v="1137"/>
    <n v="0"/>
    <n v="0"/>
    <n v="0"/>
    <n v="0"/>
    <n v="0"/>
    <n v="0"/>
    <n v="0"/>
    <n v="0"/>
    <n v="0"/>
    <n v="0"/>
    <n v="0"/>
    <n v="0"/>
    <s v="MMR012CMP046"/>
    <x v="0"/>
    <m/>
  </r>
  <r>
    <n v="8.7333333333333325"/>
    <x v="1"/>
    <x v="34"/>
    <x v="2"/>
    <s v="LWF"/>
    <x v="0"/>
    <x v="0"/>
    <s v="Basare"/>
    <m/>
    <n v="368"/>
    <n v="2024"/>
    <m/>
    <m/>
    <m/>
    <n v="368"/>
    <m/>
    <m/>
    <m/>
    <m/>
    <m/>
    <m/>
    <m/>
    <m/>
    <m/>
    <m/>
    <m/>
    <m/>
    <m/>
    <n v="0"/>
    <n v="0"/>
    <n v="0"/>
    <n v="0"/>
    <n v="368"/>
    <n v="0"/>
    <n v="0"/>
    <n v="0"/>
    <n v="0"/>
    <n v="0"/>
    <n v="0"/>
    <n v="0"/>
    <n v="0"/>
    <n v="0"/>
    <n v="0"/>
    <s v="MMR012CMP039"/>
    <x v="0"/>
    <s v="Cyclone Mora Response"/>
  </r>
  <r>
    <n v="8.7333333333333325"/>
    <x v="1"/>
    <x v="34"/>
    <x v="2"/>
    <s v="LWF"/>
    <x v="0"/>
    <x v="0"/>
    <s v="Khaung Doke Khar "/>
    <m/>
    <n v="336"/>
    <n v="1848"/>
    <m/>
    <m/>
    <m/>
    <n v="336"/>
    <m/>
    <m/>
    <m/>
    <m/>
    <m/>
    <m/>
    <m/>
    <m/>
    <m/>
    <m/>
    <m/>
    <m/>
    <m/>
    <n v="0"/>
    <n v="0"/>
    <n v="0"/>
    <n v="0"/>
    <n v="336"/>
    <n v="0"/>
    <n v="0"/>
    <n v="0"/>
    <n v="0"/>
    <n v="0"/>
    <n v="0"/>
    <n v="0"/>
    <n v="0"/>
    <n v="0"/>
    <n v="0"/>
    <s v="MMR012CMP042"/>
    <x v="0"/>
    <s v="Cyclone Mora Response"/>
  </r>
  <r>
    <n v="8.7666666666666675"/>
    <x v="1"/>
    <x v="35"/>
    <x v="2"/>
    <s v="LWF"/>
    <x v="0"/>
    <x v="0"/>
    <s v="Khaung Doke Khar "/>
    <m/>
    <n v="176"/>
    <n v="968"/>
    <m/>
    <m/>
    <m/>
    <n v="176"/>
    <m/>
    <m/>
    <m/>
    <m/>
    <m/>
    <m/>
    <m/>
    <m/>
    <m/>
    <m/>
    <m/>
    <m/>
    <m/>
    <n v="0"/>
    <n v="0"/>
    <n v="0"/>
    <n v="0"/>
    <n v="176"/>
    <n v="0"/>
    <n v="0"/>
    <n v="0"/>
    <n v="0"/>
    <n v="0"/>
    <n v="0"/>
    <n v="0"/>
    <n v="0"/>
    <n v="0"/>
    <n v="0"/>
    <s v="MMR012CMP042"/>
    <x v="0"/>
    <s v="Cyclone Mora Response"/>
  </r>
  <r>
    <n v="8.9"/>
    <x v="1"/>
    <x v="36"/>
    <x v="2"/>
    <s v="MoE"/>
    <x v="0"/>
    <x v="0"/>
    <m/>
    <m/>
    <s v="N/A"/>
    <s v="N/A"/>
    <m/>
    <m/>
    <m/>
    <n v="50"/>
    <m/>
    <m/>
    <m/>
    <m/>
    <m/>
    <m/>
    <m/>
    <m/>
    <m/>
    <m/>
    <m/>
    <m/>
    <m/>
    <n v="0"/>
    <n v="0"/>
    <n v="0"/>
    <n v="0"/>
    <n v="50"/>
    <n v="0"/>
    <n v="0"/>
    <n v="0"/>
    <n v="0"/>
    <n v="0"/>
    <n v="0"/>
    <n v="0"/>
    <n v="0"/>
    <n v="0"/>
    <n v="0"/>
    <s v=""/>
    <x v="1"/>
    <s v="Provided in Schools (Mora Repsonse)"/>
  </r>
  <r>
    <n v="8.9"/>
    <x v="1"/>
    <x v="36"/>
    <x v="2"/>
    <s v="DRC"/>
    <x v="0"/>
    <x v="0"/>
    <s v="Ohn Taw Chay"/>
    <m/>
    <n v="267"/>
    <n v="1468"/>
    <m/>
    <m/>
    <n v="267"/>
    <n v="267"/>
    <m/>
    <n v="267"/>
    <m/>
    <m/>
    <n v="267"/>
    <n v="801"/>
    <m/>
    <m/>
    <m/>
    <m/>
    <m/>
    <m/>
    <m/>
    <n v="0"/>
    <n v="0"/>
    <n v="0"/>
    <n v="267"/>
    <n v="267"/>
    <n v="0"/>
    <n v="267"/>
    <n v="0"/>
    <n v="0"/>
    <n v="267"/>
    <n v="801"/>
    <n v="0"/>
    <n v="0"/>
    <n v="0"/>
    <n v="0"/>
    <s v="MMR012CMP098"/>
    <x v="0"/>
    <s v="Cyclone Mora Response"/>
  </r>
  <r>
    <n v="9.1"/>
    <x v="1"/>
    <x v="37"/>
    <x v="1"/>
    <s v="SCI"/>
    <x v="0"/>
    <x v="0"/>
    <s v="Ohn Taw Gyi (North)"/>
    <m/>
    <n v="2717"/>
    <n v="13793"/>
    <m/>
    <n v="2717"/>
    <m/>
    <m/>
    <m/>
    <m/>
    <m/>
    <m/>
    <m/>
    <m/>
    <m/>
    <m/>
    <m/>
    <m/>
    <m/>
    <m/>
    <m/>
    <n v="0"/>
    <n v="0"/>
    <n v="2717"/>
    <n v="0"/>
    <n v="0"/>
    <n v="0"/>
    <n v="0"/>
    <n v="0"/>
    <n v="0"/>
    <n v="0"/>
    <n v="0"/>
    <n v="0"/>
    <n v="0"/>
    <n v="0"/>
    <n v="0"/>
    <s v="MMR012CMP115"/>
    <x v="0"/>
    <m/>
  </r>
  <r>
    <n v="9.1"/>
    <x v="1"/>
    <x v="37"/>
    <x v="1"/>
    <s v="SCI"/>
    <x v="0"/>
    <x v="0"/>
    <s v="Maw Ti Ngar"/>
    <m/>
    <n v="656"/>
    <n v="3492"/>
    <m/>
    <n v="656"/>
    <m/>
    <m/>
    <m/>
    <m/>
    <m/>
    <m/>
    <m/>
    <m/>
    <m/>
    <m/>
    <m/>
    <m/>
    <m/>
    <m/>
    <m/>
    <n v="0"/>
    <n v="0"/>
    <n v="656"/>
    <n v="0"/>
    <n v="0"/>
    <n v="0"/>
    <n v="0"/>
    <n v="0"/>
    <n v="0"/>
    <n v="0"/>
    <n v="0"/>
    <n v="0"/>
    <n v="0"/>
    <n v="0"/>
    <n v="0"/>
    <s v="MMR012CMP092"/>
    <x v="0"/>
    <m/>
  </r>
  <r>
    <n v="9.1"/>
    <x v="1"/>
    <x v="37"/>
    <x v="1"/>
    <s v="SCI"/>
    <x v="0"/>
    <x v="0"/>
    <s v="Basare"/>
    <m/>
    <n v="397"/>
    <n v="2196"/>
    <m/>
    <n v="397"/>
    <m/>
    <m/>
    <m/>
    <m/>
    <m/>
    <m/>
    <m/>
    <m/>
    <m/>
    <m/>
    <m/>
    <m/>
    <m/>
    <m/>
    <m/>
    <n v="0"/>
    <n v="0"/>
    <n v="397"/>
    <n v="0"/>
    <n v="0"/>
    <n v="0"/>
    <n v="0"/>
    <n v="0"/>
    <n v="0"/>
    <n v="0"/>
    <n v="0"/>
    <n v="0"/>
    <n v="0"/>
    <n v="0"/>
    <n v="0"/>
    <s v="MMR012CMP039"/>
    <x v="0"/>
    <m/>
  </r>
  <r>
    <n v="9.1"/>
    <x v="1"/>
    <x v="37"/>
    <x v="7"/>
    <s v="DRC"/>
    <x v="0"/>
    <x v="0"/>
    <s v="Ohn Taw Gyi (North)"/>
    <m/>
    <n v="1825"/>
    <n v="10038"/>
    <m/>
    <m/>
    <m/>
    <m/>
    <m/>
    <m/>
    <m/>
    <m/>
    <m/>
    <m/>
    <m/>
    <m/>
    <m/>
    <m/>
    <m/>
    <m/>
    <n v="2770"/>
    <n v="0"/>
    <n v="0"/>
    <n v="0"/>
    <n v="0"/>
    <n v="0"/>
    <n v="0"/>
    <n v="0"/>
    <n v="0"/>
    <n v="0"/>
    <n v="0"/>
    <n v="0"/>
    <n v="0"/>
    <n v="0"/>
    <n v="0"/>
    <n v="0"/>
    <s v="MMR012CMP115"/>
    <x v="0"/>
    <m/>
  </r>
  <r>
    <n v="9.1"/>
    <x v="1"/>
    <x v="37"/>
    <x v="7"/>
    <s v="DRC"/>
    <x v="0"/>
    <x v="0"/>
    <s v="Dar Pai"/>
    <m/>
    <n v="319"/>
    <n v="1755"/>
    <m/>
    <m/>
    <m/>
    <m/>
    <m/>
    <m/>
    <m/>
    <m/>
    <m/>
    <m/>
    <m/>
    <m/>
    <m/>
    <m/>
    <m/>
    <m/>
    <n v="957"/>
    <n v="0"/>
    <n v="0"/>
    <n v="0"/>
    <n v="0"/>
    <n v="0"/>
    <n v="0"/>
    <n v="0"/>
    <n v="0"/>
    <n v="0"/>
    <n v="0"/>
    <n v="0"/>
    <n v="0"/>
    <n v="0"/>
    <n v="0"/>
    <n v="0"/>
    <s v="MMR012CMP041"/>
    <x v="0"/>
    <m/>
  </r>
  <r>
    <n v="9.1"/>
    <x v="1"/>
    <x v="37"/>
    <x v="7"/>
    <s v="DRC"/>
    <x v="0"/>
    <x v="0"/>
    <s v="Say Tha Mar Gyi"/>
    <m/>
    <n v="164"/>
    <n v="902"/>
    <m/>
    <m/>
    <m/>
    <m/>
    <m/>
    <m/>
    <m/>
    <m/>
    <m/>
    <m/>
    <m/>
    <m/>
    <m/>
    <m/>
    <m/>
    <m/>
    <n v="492"/>
    <n v="0"/>
    <n v="0"/>
    <n v="0"/>
    <n v="0"/>
    <n v="0"/>
    <n v="0"/>
    <n v="0"/>
    <n v="0"/>
    <n v="0"/>
    <n v="0"/>
    <n v="0"/>
    <n v="0"/>
    <n v="0"/>
    <n v="0"/>
    <n v="0"/>
    <s v="MMR012CMP045"/>
    <x v="0"/>
    <m/>
  </r>
  <r>
    <n v="9.1"/>
    <x v="1"/>
    <x v="37"/>
    <x v="7"/>
    <s v="DRC"/>
    <x v="0"/>
    <x v="0"/>
    <s v="Baw Du Pha 2"/>
    <m/>
    <n v="507"/>
    <n v="2779"/>
    <m/>
    <m/>
    <m/>
    <m/>
    <m/>
    <m/>
    <m/>
    <m/>
    <m/>
    <m/>
    <m/>
    <m/>
    <m/>
    <m/>
    <m/>
    <m/>
    <n v="1521"/>
    <n v="0"/>
    <n v="0"/>
    <n v="0"/>
    <n v="0"/>
    <n v="0"/>
    <n v="0"/>
    <n v="0"/>
    <n v="0"/>
    <n v="0"/>
    <n v="0"/>
    <n v="0"/>
    <n v="0"/>
    <n v="0"/>
    <n v="0"/>
    <n v="0"/>
    <s v="MMR012CMP114"/>
    <x v="0"/>
    <m/>
  </r>
  <r>
    <n v="9.1"/>
    <x v="1"/>
    <x v="37"/>
    <x v="7"/>
    <s v="DRC"/>
    <x v="0"/>
    <x v="0"/>
    <s v="Baw Du Pha 1"/>
    <m/>
    <n v="347"/>
    <n v="1909"/>
    <m/>
    <m/>
    <m/>
    <m/>
    <m/>
    <m/>
    <m/>
    <m/>
    <m/>
    <m/>
    <m/>
    <m/>
    <m/>
    <m/>
    <m/>
    <m/>
    <n v="1041"/>
    <n v="0"/>
    <n v="0"/>
    <n v="0"/>
    <n v="0"/>
    <n v="0"/>
    <n v="0"/>
    <n v="0"/>
    <n v="0"/>
    <n v="0"/>
    <n v="0"/>
    <n v="0"/>
    <n v="0"/>
    <n v="0"/>
    <n v="0"/>
    <n v="0"/>
    <s v="MMR012CMP113"/>
    <x v="0"/>
    <m/>
  </r>
  <r>
    <n v="9.4333333333333336"/>
    <x v="1"/>
    <x v="38"/>
    <x v="2"/>
    <s v="DRC"/>
    <x v="0"/>
    <x v="0"/>
    <s v="Ohn Taw Gyi (North)"/>
    <m/>
    <n v="521"/>
    <n v="2865"/>
    <m/>
    <m/>
    <n v="521"/>
    <n v="521"/>
    <m/>
    <n v="521"/>
    <m/>
    <m/>
    <n v="521"/>
    <n v="1563"/>
    <m/>
    <m/>
    <m/>
    <m/>
    <m/>
    <m/>
    <m/>
    <n v="0"/>
    <n v="0"/>
    <n v="0"/>
    <n v="521"/>
    <n v="521"/>
    <n v="0"/>
    <n v="521"/>
    <n v="0"/>
    <n v="0"/>
    <n v="521"/>
    <n v="1563"/>
    <n v="0"/>
    <n v="0"/>
    <n v="0"/>
    <n v="0"/>
    <s v="MMR012CMP115"/>
    <x v="0"/>
    <s v="Cyclone Mora Response"/>
  </r>
  <r>
    <n v="9.6"/>
    <x v="1"/>
    <x v="39"/>
    <x v="2"/>
    <s v="DRC"/>
    <x v="0"/>
    <x v="0"/>
    <s v="Dar Pai"/>
    <m/>
    <n v="99"/>
    <n v="544"/>
    <m/>
    <m/>
    <n v="99"/>
    <n v="99"/>
    <m/>
    <n v="99"/>
    <m/>
    <m/>
    <n v="99"/>
    <n v="297"/>
    <m/>
    <m/>
    <m/>
    <m/>
    <m/>
    <m/>
    <m/>
    <n v="0"/>
    <n v="0"/>
    <n v="0"/>
    <n v="99"/>
    <n v="99"/>
    <n v="0"/>
    <n v="99"/>
    <n v="0"/>
    <n v="0"/>
    <n v="99"/>
    <n v="297"/>
    <n v="0"/>
    <n v="0"/>
    <n v="0"/>
    <n v="0"/>
    <s v="MMR012CMP041"/>
    <x v="0"/>
    <s v="Cyclone Mora Response"/>
  </r>
  <r>
    <n v="9.6999999999999993"/>
    <x v="1"/>
    <x v="40"/>
    <x v="9"/>
    <s v="CDN"/>
    <x v="0"/>
    <x v="0"/>
    <s v="Khaung Doke Khar "/>
    <m/>
    <n v="99"/>
    <n v="544"/>
    <m/>
    <m/>
    <m/>
    <m/>
    <m/>
    <m/>
    <m/>
    <n v="399"/>
    <m/>
    <m/>
    <m/>
    <m/>
    <m/>
    <m/>
    <m/>
    <m/>
    <m/>
    <n v="0"/>
    <n v="0"/>
    <n v="0"/>
    <n v="0"/>
    <n v="0"/>
    <n v="0"/>
    <n v="0"/>
    <n v="0"/>
    <n v="399"/>
    <n v="0"/>
    <n v="0"/>
    <n v="0"/>
    <n v="0"/>
    <n v="0"/>
    <n v="0"/>
    <s v="MMR012CMP042"/>
    <x v="0"/>
    <m/>
  </r>
  <r>
    <n v="9.6999999999999993"/>
    <x v="1"/>
    <x v="40"/>
    <x v="2"/>
    <s v="LWF"/>
    <x v="0"/>
    <x v="0"/>
    <s v="Thae Chaung"/>
    <m/>
    <n v="490"/>
    <n v="2695"/>
    <m/>
    <m/>
    <n v="490"/>
    <n v="371"/>
    <m/>
    <m/>
    <m/>
    <m/>
    <m/>
    <n v="1470"/>
    <m/>
    <m/>
    <m/>
    <m/>
    <m/>
    <m/>
    <m/>
    <n v="0"/>
    <n v="0"/>
    <n v="0"/>
    <n v="490"/>
    <n v="371"/>
    <n v="0"/>
    <n v="0"/>
    <n v="0"/>
    <n v="0"/>
    <n v="0"/>
    <n v="1470"/>
    <n v="0"/>
    <n v="0"/>
    <n v="0"/>
    <n v="0"/>
    <s v="MMR012CMP046"/>
    <x v="0"/>
    <s v="Cyclone Mora Response"/>
  </r>
  <r>
    <n v="9.8333333333333339"/>
    <x v="1"/>
    <x v="41"/>
    <x v="2"/>
    <s v="LWF"/>
    <x v="0"/>
    <x v="0"/>
    <s v="Khaung Doke Khar "/>
    <m/>
    <n v="40"/>
    <n v="220"/>
    <m/>
    <m/>
    <n v="40"/>
    <n v="40"/>
    <m/>
    <m/>
    <m/>
    <m/>
    <m/>
    <n v="120"/>
    <m/>
    <m/>
    <m/>
    <m/>
    <m/>
    <m/>
    <m/>
    <n v="0"/>
    <n v="0"/>
    <n v="0"/>
    <n v="40"/>
    <n v="40"/>
    <n v="0"/>
    <n v="0"/>
    <n v="0"/>
    <n v="0"/>
    <n v="0"/>
    <n v="120"/>
    <n v="0"/>
    <n v="0"/>
    <n v="0"/>
    <n v="0"/>
    <s v="MMR012CMP042"/>
    <x v="0"/>
    <s v="Cyclone Mora Response"/>
  </r>
  <r>
    <n v="9.8666666666666671"/>
    <x v="1"/>
    <x v="42"/>
    <x v="10"/>
    <s v="NRC"/>
    <x v="0"/>
    <x v="0"/>
    <s v="Maw Ti Ngar"/>
    <m/>
    <n v="371"/>
    <n v="2226"/>
    <m/>
    <m/>
    <m/>
    <n v="371"/>
    <m/>
    <m/>
    <m/>
    <m/>
    <m/>
    <m/>
    <m/>
    <m/>
    <m/>
    <m/>
    <m/>
    <m/>
    <m/>
    <n v="0"/>
    <n v="0"/>
    <n v="0"/>
    <n v="0"/>
    <n v="371"/>
    <n v="0"/>
    <n v="0"/>
    <n v="0"/>
    <n v="0"/>
    <n v="0"/>
    <n v="0"/>
    <n v="0"/>
    <n v="0"/>
    <n v="0"/>
    <n v="0"/>
    <s v="MMR012CMP092"/>
    <x v="0"/>
    <m/>
  </r>
  <r>
    <n v="9.9"/>
    <x v="1"/>
    <x v="43"/>
    <x v="10"/>
    <s v="NRC"/>
    <x v="0"/>
    <x v="0"/>
    <s v="Maw Ti Ngar"/>
    <m/>
    <n v="351"/>
    <n v="2154"/>
    <m/>
    <m/>
    <m/>
    <n v="351"/>
    <m/>
    <m/>
    <m/>
    <m/>
    <m/>
    <m/>
    <m/>
    <m/>
    <m/>
    <m/>
    <m/>
    <m/>
    <m/>
    <n v="0"/>
    <n v="0"/>
    <n v="0"/>
    <n v="0"/>
    <n v="351"/>
    <n v="0"/>
    <n v="0"/>
    <n v="0"/>
    <n v="0"/>
    <n v="0"/>
    <n v="0"/>
    <n v="0"/>
    <n v="0"/>
    <n v="0"/>
    <n v="0"/>
    <s v="MMR012CMP092"/>
    <x v="0"/>
    <m/>
  </r>
  <r>
    <n v="9.9"/>
    <x v="1"/>
    <x v="43"/>
    <x v="2"/>
    <s v="NRC"/>
    <x v="0"/>
    <x v="0"/>
    <s v="Maw Ti Ngar"/>
    <m/>
    <n v="96"/>
    <n v="528"/>
    <m/>
    <m/>
    <m/>
    <n v="96"/>
    <m/>
    <m/>
    <m/>
    <m/>
    <m/>
    <m/>
    <m/>
    <m/>
    <m/>
    <m/>
    <m/>
    <m/>
    <m/>
    <n v="0"/>
    <n v="0"/>
    <n v="0"/>
    <n v="0"/>
    <n v="96"/>
    <n v="0"/>
    <n v="0"/>
    <n v="0"/>
    <n v="0"/>
    <n v="0"/>
    <n v="0"/>
    <n v="0"/>
    <n v="0"/>
    <n v="0"/>
    <n v="0"/>
    <s v="MMR012CMP092"/>
    <x v="0"/>
    <s v="Cyclone Mora Response"/>
  </r>
  <r>
    <n v="10.066666666666666"/>
    <x v="1"/>
    <x v="44"/>
    <x v="2"/>
    <s v="LWF"/>
    <x v="0"/>
    <x v="0"/>
    <s v="Thae Chaung"/>
    <m/>
    <n v="49"/>
    <n v="269"/>
    <m/>
    <m/>
    <m/>
    <n v="62"/>
    <m/>
    <m/>
    <m/>
    <m/>
    <m/>
    <m/>
    <m/>
    <m/>
    <m/>
    <m/>
    <m/>
    <m/>
    <m/>
    <n v="0"/>
    <n v="0"/>
    <n v="0"/>
    <n v="0"/>
    <n v="62"/>
    <n v="0"/>
    <n v="0"/>
    <n v="0"/>
    <n v="0"/>
    <n v="0"/>
    <n v="0"/>
    <n v="0"/>
    <n v="0"/>
    <n v="0"/>
    <n v="0"/>
    <s v="MMR012CMP046"/>
    <x v="0"/>
    <s v="For the fire victims (Shops&amp;HHs)"/>
  </r>
  <r>
    <n v="10.1"/>
    <x v="1"/>
    <x v="45"/>
    <x v="2"/>
    <s v="UNHCR"/>
    <x v="0"/>
    <x v="2"/>
    <s v="Ah Htet Nan Yar"/>
    <m/>
    <n v="251"/>
    <n v="1380"/>
    <m/>
    <m/>
    <m/>
    <n v="502"/>
    <m/>
    <m/>
    <m/>
    <m/>
    <m/>
    <m/>
    <m/>
    <m/>
    <m/>
    <m/>
    <m/>
    <m/>
    <m/>
    <n v="0"/>
    <n v="0"/>
    <n v="0"/>
    <n v="0"/>
    <n v="502"/>
    <n v="0"/>
    <n v="0"/>
    <n v="0"/>
    <n v="0"/>
    <n v="0"/>
    <n v="0"/>
    <n v="0"/>
    <n v="0"/>
    <n v="0"/>
    <n v="0"/>
    <s v=""/>
    <x v="1"/>
    <s v="Cyclone Mora Response"/>
  </r>
  <r>
    <n v="10.3"/>
    <x v="1"/>
    <x v="46"/>
    <x v="5"/>
    <s v="SI"/>
    <x v="0"/>
    <x v="0"/>
    <s v="Khaung Doke Khar "/>
    <m/>
    <n v="400"/>
    <n v="2200"/>
    <m/>
    <n v="400"/>
    <m/>
    <m/>
    <m/>
    <m/>
    <m/>
    <m/>
    <m/>
    <m/>
    <m/>
    <m/>
    <m/>
    <m/>
    <m/>
    <m/>
    <m/>
    <n v="0"/>
    <n v="0"/>
    <n v="400"/>
    <n v="0"/>
    <n v="0"/>
    <n v="0"/>
    <n v="0"/>
    <n v="0"/>
    <n v="0"/>
    <n v="0"/>
    <n v="0"/>
    <n v="0"/>
    <n v="0"/>
    <n v="0"/>
    <n v="0"/>
    <s v="MMR012CMP042"/>
    <x v="0"/>
    <m/>
  </r>
  <r>
    <n v="10.3"/>
    <x v="1"/>
    <x v="46"/>
    <x v="2"/>
    <s v="LWF"/>
    <x v="0"/>
    <x v="0"/>
    <s v="Khaung Doke Khar "/>
    <m/>
    <n v="112"/>
    <n v="616"/>
    <m/>
    <m/>
    <m/>
    <n v="112"/>
    <m/>
    <m/>
    <m/>
    <m/>
    <m/>
    <m/>
    <m/>
    <m/>
    <m/>
    <m/>
    <m/>
    <m/>
    <m/>
    <n v="0"/>
    <n v="0"/>
    <n v="0"/>
    <n v="0"/>
    <n v="112"/>
    <n v="0"/>
    <n v="0"/>
    <n v="0"/>
    <n v="0"/>
    <n v="0"/>
    <n v="0"/>
    <n v="0"/>
    <n v="0"/>
    <n v="0"/>
    <n v="0"/>
    <s v="MMR012CMP042"/>
    <x v="0"/>
    <m/>
  </r>
  <r>
    <n v="10.333333333333334"/>
    <x v="1"/>
    <x v="47"/>
    <x v="9"/>
    <s v="CDN"/>
    <x v="0"/>
    <x v="0"/>
    <s v="Ohn Taw Chay"/>
    <m/>
    <n v="635"/>
    <n v="3492.5"/>
    <m/>
    <m/>
    <m/>
    <m/>
    <m/>
    <m/>
    <m/>
    <n v="635"/>
    <m/>
    <m/>
    <m/>
    <m/>
    <m/>
    <m/>
    <m/>
    <m/>
    <m/>
    <n v="0"/>
    <n v="0"/>
    <n v="0"/>
    <n v="0"/>
    <n v="0"/>
    <n v="0"/>
    <n v="0"/>
    <n v="0"/>
    <n v="635"/>
    <n v="0"/>
    <n v="0"/>
    <n v="0"/>
    <n v="0"/>
    <n v="0"/>
    <n v="0"/>
    <s v="MMR012CMP098"/>
    <x v="0"/>
    <m/>
  </r>
  <r>
    <n v="10.4"/>
    <x v="1"/>
    <x v="48"/>
    <x v="1"/>
    <s v="SCI"/>
    <x v="0"/>
    <x v="0"/>
    <s v="Basare"/>
    <m/>
    <n v="397"/>
    <n v="2183.5"/>
    <m/>
    <n v="397"/>
    <m/>
    <m/>
    <m/>
    <m/>
    <m/>
    <m/>
    <m/>
    <m/>
    <m/>
    <m/>
    <m/>
    <m/>
    <m/>
    <m/>
    <m/>
    <n v="0"/>
    <n v="0"/>
    <n v="397"/>
    <n v="0"/>
    <n v="0"/>
    <n v="0"/>
    <n v="0"/>
    <n v="0"/>
    <n v="0"/>
    <n v="0"/>
    <n v="0"/>
    <n v="0"/>
    <n v="0"/>
    <n v="0"/>
    <n v="0"/>
    <s v="MMR012CMP039"/>
    <x v="0"/>
    <m/>
  </r>
  <r>
    <n v="10.433333333333334"/>
    <x v="1"/>
    <x v="49"/>
    <x v="10"/>
    <s v="NRC"/>
    <x v="0"/>
    <x v="0"/>
    <s v="Thet Kae Pyin "/>
    <m/>
    <n v="30"/>
    <n v="165"/>
    <n v="30"/>
    <m/>
    <m/>
    <m/>
    <m/>
    <m/>
    <m/>
    <m/>
    <m/>
    <m/>
    <m/>
    <m/>
    <m/>
    <m/>
    <m/>
    <m/>
    <m/>
    <n v="0"/>
    <n v="30"/>
    <n v="0"/>
    <n v="0"/>
    <n v="0"/>
    <n v="0"/>
    <n v="0"/>
    <n v="0"/>
    <n v="0"/>
    <n v="0"/>
    <n v="0"/>
    <n v="0"/>
    <n v="0"/>
    <n v="0"/>
    <n v="0"/>
    <s v="MMR012CMP048"/>
    <x v="0"/>
    <m/>
  </r>
  <r>
    <n v="10.666666666666666"/>
    <x v="1"/>
    <x v="50"/>
    <x v="1"/>
    <s v="SCI"/>
    <x v="0"/>
    <x v="0"/>
    <s v="Maw Ti Ngar"/>
    <m/>
    <n v="656"/>
    <n v="3608"/>
    <m/>
    <n v="656"/>
    <m/>
    <m/>
    <m/>
    <m/>
    <m/>
    <n v="104"/>
    <m/>
    <m/>
    <m/>
    <m/>
    <m/>
    <m/>
    <m/>
    <m/>
    <m/>
    <n v="0"/>
    <n v="0"/>
    <n v="656"/>
    <n v="0"/>
    <n v="0"/>
    <n v="0"/>
    <n v="0"/>
    <n v="0"/>
    <n v="104"/>
    <n v="0"/>
    <n v="0"/>
    <n v="0"/>
    <n v="0"/>
    <n v="0"/>
    <n v="0"/>
    <s v="MMR012CMP092"/>
    <x v="0"/>
    <m/>
  </r>
  <r>
    <n v="10.8"/>
    <x v="1"/>
    <x v="51"/>
    <x v="1"/>
    <s v="SCI"/>
    <x v="0"/>
    <x v="0"/>
    <s v="Thet Kae Pyin "/>
    <m/>
    <n v="998"/>
    <n v="5489"/>
    <m/>
    <n v="998"/>
    <m/>
    <m/>
    <m/>
    <m/>
    <m/>
    <m/>
    <m/>
    <m/>
    <m/>
    <m/>
    <m/>
    <m/>
    <m/>
    <m/>
    <m/>
    <n v="0"/>
    <n v="0"/>
    <n v="998"/>
    <n v="0"/>
    <n v="0"/>
    <n v="0"/>
    <n v="0"/>
    <n v="0"/>
    <n v="0"/>
    <n v="0"/>
    <n v="0"/>
    <n v="0"/>
    <n v="0"/>
    <n v="0"/>
    <n v="0"/>
    <s v="MMR012CMP048"/>
    <x v="0"/>
    <m/>
  </r>
  <r>
    <n v="11"/>
    <x v="1"/>
    <x v="52"/>
    <x v="2"/>
    <s v="UNHCR"/>
    <x v="0"/>
    <x v="3"/>
    <s v="Nidin"/>
    <m/>
    <n v="91"/>
    <n v="500"/>
    <m/>
    <m/>
    <n v="182"/>
    <n v="182"/>
    <n v="182"/>
    <n v="91"/>
    <m/>
    <m/>
    <n v="91"/>
    <n v="455"/>
    <m/>
    <m/>
    <m/>
    <m/>
    <m/>
    <m/>
    <m/>
    <n v="0"/>
    <n v="0"/>
    <n v="0"/>
    <n v="182"/>
    <n v="182"/>
    <n v="182"/>
    <n v="91"/>
    <n v="0"/>
    <n v="0"/>
    <n v="91"/>
    <n v="455"/>
    <n v="0"/>
    <n v="0"/>
    <n v="0"/>
    <n v="0"/>
    <s v="MMR012CMP023"/>
    <x v="0"/>
    <m/>
  </r>
  <r>
    <n v="11.3"/>
    <x v="1"/>
    <x v="53"/>
    <x v="2"/>
    <s v="LWF"/>
    <x v="0"/>
    <x v="1"/>
    <s v="Nget Chaung 2"/>
    <m/>
    <n v="148"/>
    <n v="814"/>
    <m/>
    <m/>
    <m/>
    <m/>
    <m/>
    <m/>
    <m/>
    <m/>
    <m/>
    <m/>
    <m/>
    <m/>
    <m/>
    <n v="148"/>
    <m/>
    <m/>
    <m/>
    <n v="0"/>
    <n v="0"/>
    <n v="0"/>
    <n v="0"/>
    <n v="0"/>
    <n v="0"/>
    <n v="0"/>
    <n v="0"/>
    <n v="0"/>
    <n v="0"/>
    <n v="0"/>
    <n v="0"/>
    <n v="0"/>
    <n v="0"/>
    <n v="148"/>
    <s v="MMR012CMP017"/>
    <x v="0"/>
    <m/>
  </r>
  <r>
    <n v="11.333333333333334"/>
    <x v="1"/>
    <x v="54"/>
    <x v="2"/>
    <s v="LWF"/>
    <x v="0"/>
    <x v="1"/>
    <s v="Ah Nauk Ywe"/>
    <m/>
    <n v="241"/>
    <n v="1325"/>
    <m/>
    <m/>
    <m/>
    <m/>
    <m/>
    <m/>
    <m/>
    <m/>
    <m/>
    <m/>
    <m/>
    <m/>
    <m/>
    <n v="241"/>
    <m/>
    <m/>
    <m/>
    <n v="0"/>
    <n v="0"/>
    <n v="0"/>
    <n v="0"/>
    <n v="0"/>
    <n v="0"/>
    <n v="0"/>
    <n v="0"/>
    <n v="0"/>
    <n v="0"/>
    <n v="0"/>
    <n v="0"/>
    <n v="0"/>
    <n v="0"/>
    <n v="241"/>
    <s v="MMR012CMP016"/>
    <x v="0"/>
    <m/>
  </r>
  <r>
    <n v="11.8"/>
    <x v="1"/>
    <x v="55"/>
    <x v="1"/>
    <s v="SCI"/>
    <x v="0"/>
    <x v="0"/>
    <s v="Maw Ti Ngar"/>
    <m/>
    <n v="6"/>
    <n v="33"/>
    <m/>
    <m/>
    <m/>
    <m/>
    <m/>
    <m/>
    <n v="6"/>
    <m/>
    <m/>
    <m/>
    <m/>
    <m/>
    <m/>
    <m/>
    <m/>
    <m/>
    <m/>
    <n v="0"/>
    <n v="0"/>
    <n v="0"/>
    <n v="0"/>
    <n v="0"/>
    <n v="0"/>
    <n v="0"/>
    <n v="6"/>
    <n v="0"/>
    <n v="0"/>
    <n v="0"/>
    <n v="0"/>
    <n v="0"/>
    <n v="0"/>
    <n v="0"/>
    <s v="MMR012CMP092"/>
    <x v="0"/>
    <m/>
  </r>
  <r>
    <n v="11.833333333333334"/>
    <x v="1"/>
    <x v="56"/>
    <x v="1"/>
    <s v="SCI"/>
    <x v="0"/>
    <x v="0"/>
    <s v="Thet Kae Pyin "/>
    <m/>
    <n v="125"/>
    <n v="625"/>
    <m/>
    <m/>
    <m/>
    <m/>
    <m/>
    <m/>
    <m/>
    <m/>
    <n v="125"/>
    <m/>
    <m/>
    <m/>
    <m/>
    <m/>
    <m/>
    <m/>
    <m/>
    <n v="0"/>
    <n v="0"/>
    <n v="0"/>
    <n v="0"/>
    <n v="0"/>
    <n v="0"/>
    <n v="0"/>
    <n v="0"/>
    <n v="0"/>
    <n v="125"/>
    <n v="0"/>
    <n v="0"/>
    <n v="0"/>
    <n v="0"/>
    <n v="0"/>
    <s v="MMR012CMP048"/>
    <x v="0"/>
    <m/>
  </r>
  <r>
    <n v="11.933333333333334"/>
    <x v="1"/>
    <x v="57"/>
    <x v="5"/>
    <s v="SI"/>
    <x v="0"/>
    <x v="0"/>
    <s v="Thae Chaung"/>
    <m/>
    <n v="1137"/>
    <n v="6253"/>
    <m/>
    <n v="1137"/>
    <m/>
    <m/>
    <m/>
    <m/>
    <m/>
    <m/>
    <m/>
    <m/>
    <m/>
    <m/>
    <m/>
    <m/>
    <m/>
    <m/>
    <m/>
    <n v="0"/>
    <n v="0"/>
    <n v="1137"/>
    <n v="0"/>
    <n v="0"/>
    <n v="0"/>
    <n v="0"/>
    <n v="0"/>
    <n v="0"/>
    <n v="0"/>
    <n v="0"/>
    <n v="0"/>
    <n v="0"/>
    <n v="0"/>
    <n v="0"/>
    <s v="MMR012CMP046"/>
    <x v="0"/>
    <m/>
  </r>
  <r>
    <n v="11.966666666666667"/>
    <x v="1"/>
    <x v="58"/>
    <x v="5"/>
    <s v="SI"/>
    <x v="0"/>
    <x v="0"/>
    <s v="Khaung Doke Khar "/>
    <m/>
    <n v="400"/>
    <n v="2200"/>
    <m/>
    <n v="400"/>
    <m/>
    <m/>
    <m/>
    <m/>
    <m/>
    <m/>
    <m/>
    <m/>
    <m/>
    <m/>
    <m/>
    <m/>
    <m/>
    <m/>
    <m/>
    <n v="0"/>
    <n v="0"/>
    <n v="400"/>
    <n v="0"/>
    <n v="0"/>
    <n v="0"/>
    <n v="0"/>
    <n v="0"/>
    <n v="0"/>
    <n v="0"/>
    <n v="0"/>
    <n v="0"/>
    <n v="0"/>
    <n v="0"/>
    <n v="0"/>
    <s v="MMR012CMP042"/>
    <x v="0"/>
    <m/>
  </r>
  <r>
    <n v="12"/>
    <x v="1"/>
    <x v="59"/>
    <x v="5"/>
    <s v="SI"/>
    <x v="0"/>
    <x v="0"/>
    <s v="Dar Pai"/>
    <m/>
    <n v="2007"/>
    <n v="11038"/>
    <m/>
    <n v="2007"/>
    <m/>
    <m/>
    <m/>
    <m/>
    <m/>
    <m/>
    <m/>
    <m/>
    <m/>
    <m/>
    <m/>
    <m/>
    <m/>
    <m/>
    <m/>
    <n v="0"/>
    <n v="0"/>
    <n v="0"/>
    <n v="0"/>
    <n v="0"/>
    <n v="0"/>
    <n v="0"/>
    <n v="0"/>
    <n v="0"/>
    <n v="0"/>
    <n v="0"/>
    <n v="0"/>
    <n v="0"/>
    <n v="0"/>
    <n v="0"/>
    <s v="MMR012CMP041"/>
    <x v="0"/>
    <m/>
  </r>
  <r>
    <n v="12.033333333333333"/>
    <x v="1"/>
    <x v="60"/>
    <x v="5"/>
    <s v="SI"/>
    <x v="0"/>
    <x v="0"/>
    <s v="Baw Du Pha 2"/>
    <m/>
    <n v="1236"/>
    <n v="6798"/>
    <m/>
    <n v="1236"/>
    <m/>
    <m/>
    <m/>
    <m/>
    <m/>
    <m/>
    <m/>
    <m/>
    <m/>
    <m/>
    <m/>
    <m/>
    <m/>
    <m/>
    <m/>
    <n v="0"/>
    <n v="0"/>
    <n v="0"/>
    <n v="0"/>
    <n v="0"/>
    <n v="0"/>
    <n v="0"/>
    <n v="0"/>
    <n v="0"/>
    <n v="0"/>
    <n v="0"/>
    <n v="0"/>
    <n v="0"/>
    <n v="0"/>
    <n v="0"/>
    <s v="MMR012CMP114"/>
    <x v="0"/>
    <m/>
  </r>
  <r>
    <n v="12.066666666666666"/>
    <x v="1"/>
    <x v="61"/>
    <x v="5"/>
    <s v="SI"/>
    <x v="0"/>
    <x v="0"/>
    <s v="Baw Du Pha 1"/>
    <m/>
    <n v="1127"/>
    <n v="6198"/>
    <m/>
    <n v="1127"/>
    <m/>
    <m/>
    <m/>
    <m/>
    <m/>
    <m/>
    <m/>
    <m/>
    <m/>
    <m/>
    <m/>
    <m/>
    <m/>
    <m/>
    <m/>
    <n v="0"/>
    <n v="0"/>
    <n v="0"/>
    <n v="0"/>
    <n v="0"/>
    <n v="0"/>
    <n v="0"/>
    <n v="0"/>
    <n v="0"/>
    <n v="0"/>
    <n v="0"/>
    <n v="0"/>
    <n v="0"/>
    <n v="0"/>
    <n v="0"/>
    <s v="MMR012CMP113"/>
    <x v="0"/>
    <m/>
  </r>
  <r>
    <n v="12.266666666666667"/>
    <x v="1"/>
    <x v="62"/>
    <x v="11"/>
    <s v="MRF"/>
    <x v="0"/>
    <x v="0"/>
    <s v="Ohn Taw Gyi (South)"/>
    <m/>
    <n v="725"/>
    <n v="3987"/>
    <m/>
    <m/>
    <n v="1450"/>
    <m/>
    <n v="1450"/>
    <m/>
    <m/>
    <n v="1450"/>
    <n v="2900"/>
    <m/>
    <n v="2175"/>
    <n v="725"/>
    <m/>
    <m/>
    <m/>
    <m/>
    <m/>
    <n v="0"/>
    <n v="0"/>
    <n v="0"/>
    <n v="0"/>
    <n v="0"/>
    <n v="0"/>
    <n v="0"/>
    <n v="0"/>
    <n v="0"/>
    <n v="0"/>
    <n v="0"/>
    <n v="0"/>
    <n v="0"/>
    <n v="0"/>
    <n v="0"/>
    <s v="MMR012CMP116"/>
    <x v="0"/>
    <m/>
  </r>
  <r>
    <n v="12.6"/>
    <x v="1"/>
    <x v="63"/>
    <x v="12"/>
    <s v="RI"/>
    <x v="0"/>
    <x v="4"/>
    <s v="Taung Paw "/>
    <m/>
    <n v="622"/>
    <n v="1771"/>
    <m/>
    <n v="622"/>
    <m/>
    <m/>
    <m/>
    <m/>
    <m/>
    <m/>
    <m/>
    <m/>
    <m/>
    <m/>
    <m/>
    <m/>
    <m/>
    <m/>
    <m/>
    <n v="0"/>
    <n v="0"/>
    <n v="0"/>
    <n v="0"/>
    <n v="0"/>
    <n v="0"/>
    <n v="0"/>
    <n v="0"/>
    <n v="0"/>
    <n v="0"/>
    <n v="0"/>
    <n v="0"/>
    <n v="0"/>
    <n v="0"/>
    <n v="0"/>
    <s v="MMR012CMP014"/>
    <x v="0"/>
    <m/>
  </r>
  <r>
    <n v="12.633333333333333"/>
    <x v="1"/>
    <x v="64"/>
    <x v="2"/>
    <s v="LWF"/>
    <x v="0"/>
    <x v="0"/>
    <s v="Thae Chaung"/>
    <m/>
    <n v="2350"/>
    <n v="12925"/>
    <m/>
    <m/>
    <n v="2380"/>
    <m/>
    <n v="4760"/>
    <m/>
    <m/>
    <m/>
    <m/>
    <n v="11900"/>
    <m/>
    <m/>
    <m/>
    <m/>
    <m/>
    <m/>
    <m/>
    <n v="0"/>
    <n v="0"/>
    <n v="0"/>
    <n v="0"/>
    <n v="0"/>
    <n v="0"/>
    <n v="0"/>
    <n v="0"/>
    <n v="0"/>
    <n v="0"/>
    <n v="0"/>
    <n v="0"/>
    <n v="0"/>
    <n v="0"/>
    <n v="0"/>
    <s v="MMR012CMP046"/>
    <x v="0"/>
    <m/>
  </r>
  <r>
    <n v="12.666666666666666"/>
    <x v="1"/>
    <x v="65"/>
    <x v="2"/>
    <s v="LWF"/>
    <x v="0"/>
    <x v="1"/>
    <s v="Nget Chaung 2"/>
    <m/>
    <n v="856"/>
    <n v="4708"/>
    <m/>
    <m/>
    <n v="856"/>
    <m/>
    <m/>
    <m/>
    <m/>
    <m/>
    <m/>
    <m/>
    <m/>
    <m/>
    <m/>
    <m/>
    <m/>
    <m/>
    <m/>
    <n v="0"/>
    <n v="0"/>
    <n v="0"/>
    <n v="0"/>
    <n v="0"/>
    <n v="0"/>
    <n v="0"/>
    <n v="0"/>
    <n v="0"/>
    <n v="0"/>
    <n v="0"/>
    <n v="0"/>
    <n v="0"/>
    <n v="0"/>
    <n v="0"/>
    <s v="MMR012CMP017"/>
    <x v="0"/>
    <m/>
  </r>
  <r>
    <n v="12.666666666666666"/>
    <x v="1"/>
    <x v="65"/>
    <x v="2"/>
    <s v="LWF"/>
    <x v="0"/>
    <x v="1"/>
    <s v="Ah Nauk Ywe"/>
    <m/>
    <n v="1238"/>
    <n v="6809"/>
    <m/>
    <m/>
    <n v="1238"/>
    <m/>
    <m/>
    <m/>
    <m/>
    <m/>
    <m/>
    <m/>
    <m/>
    <m/>
    <m/>
    <m/>
    <m/>
    <m/>
    <m/>
    <n v="0"/>
    <n v="0"/>
    <n v="0"/>
    <n v="0"/>
    <n v="0"/>
    <n v="0"/>
    <n v="0"/>
    <n v="0"/>
    <n v="0"/>
    <n v="0"/>
    <n v="0"/>
    <n v="0"/>
    <n v="0"/>
    <n v="0"/>
    <n v="0"/>
    <s v="MMR012CMP016"/>
    <x v="0"/>
    <m/>
  </r>
  <r>
    <n v="12.733333333333333"/>
    <x v="1"/>
    <x v="66"/>
    <x v="2"/>
    <s v="LWF"/>
    <x v="0"/>
    <x v="0"/>
    <s v="Khaung Doke Khar "/>
    <m/>
    <n v="799"/>
    <n v="4394"/>
    <m/>
    <m/>
    <n v="799"/>
    <m/>
    <m/>
    <n v="799"/>
    <m/>
    <m/>
    <m/>
    <m/>
    <m/>
    <m/>
    <m/>
    <m/>
    <m/>
    <m/>
    <m/>
    <n v="0"/>
    <n v="0"/>
    <n v="0"/>
    <n v="0"/>
    <n v="0"/>
    <n v="0"/>
    <n v="0"/>
    <n v="0"/>
    <n v="0"/>
    <n v="0"/>
    <n v="0"/>
    <n v="0"/>
    <n v="0"/>
    <n v="0"/>
    <n v="0"/>
    <s v="MMR012CMP042"/>
    <x v="0"/>
    <m/>
  </r>
  <r>
    <n v="12.866666666666667"/>
    <x v="1"/>
    <x v="67"/>
    <x v="2"/>
    <s v="LWF"/>
    <x v="0"/>
    <x v="0"/>
    <s v="Basare"/>
    <m/>
    <n v="397"/>
    <n v="2183"/>
    <m/>
    <m/>
    <n v="397"/>
    <m/>
    <n v="794"/>
    <n v="397"/>
    <m/>
    <m/>
    <m/>
    <n v="1859"/>
    <m/>
    <m/>
    <m/>
    <m/>
    <m/>
    <m/>
    <m/>
    <n v="0"/>
    <n v="0"/>
    <n v="0"/>
    <n v="0"/>
    <n v="0"/>
    <n v="0"/>
    <n v="0"/>
    <n v="0"/>
    <n v="0"/>
    <n v="0"/>
    <n v="0"/>
    <n v="0"/>
    <n v="0"/>
    <n v="0"/>
    <n v="0"/>
    <s v="MMR012CMP039"/>
    <x v="0"/>
    <m/>
  </r>
  <r>
    <n v="13"/>
    <x v="1"/>
    <x v="68"/>
    <x v="10"/>
    <s v="NRC"/>
    <x v="0"/>
    <x v="2"/>
    <s v="Ah Htet Nan Yar"/>
    <m/>
    <n v="270"/>
    <n v="1485"/>
    <n v="270"/>
    <m/>
    <m/>
    <m/>
    <n v="270"/>
    <m/>
    <m/>
    <m/>
    <m/>
    <m/>
    <m/>
    <m/>
    <m/>
    <m/>
    <m/>
    <m/>
    <m/>
    <n v="0"/>
    <n v="0"/>
    <n v="0"/>
    <n v="0"/>
    <n v="0"/>
    <n v="0"/>
    <n v="0"/>
    <n v="0"/>
    <n v="0"/>
    <n v="0"/>
    <n v="0"/>
    <n v="0"/>
    <n v="0"/>
    <n v="0"/>
    <n v="0"/>
    <s v=""/>
    <x v="1"/>
    <m/>
  </r>
  <r>
    <n v="13.233333333333333"/>
    <x v="1"/>
    <x v="69"/>
    <x v="13"/>
    <s v="MAUK"/>
    <x v="0"/>
    <x v="0"/>
    <s v="Ohn Taw Gyi (South)"/>
    <m/>
    <s v="N/A"/>
    <n v="2009"/>
    <m/>
    <m/>
    <m/>
    <m/>
    <m/>
    <m/>
    <m/>
    <m/>
    <m/>
    <m/>
    <m/>
    <n v="2009"/>
    <m/>
    <m/>
    <m/>
    <m/>
    <m/>
    <n v="0"/>
    <n v="0"/>
    <n v="0"/>
    <n v="0"/>
    <n v="0"/>
    <n v="0"/>
    <n v="0"/>
    <n v="0"/>
    <n v="0"/>
    <n v="0"/>
    <n v="0"/>
    <n v="0"/>
    <n v="0"/>
    <n v="0"/>
    <n v="0"/>
    <s v="MMR012CMP116"/>
    <x v="0"/>
    <m/>
  </r>
  <r>
    <n v="13.933333333333334"/>
    <x v="1"/>
    <x v="70"/>
    <x v="14"/>
    <s v="LWF"/>
    <x v="0"/>
    <x v="0"/>
    <s v="Thae Chaung"/>
    <m/>
    <m/>
    <m/>
    <m/>
    <m/>
    <m/>
    <m/>
    <m/>
    <m/>
    <m/>
    <m/>
    <m/>
    <m/>
    <m/>
    <n v="4000"/>
    <m/>
    <m/>
    <m/>
    <m/>
    <m/>
    <n v="0"/>
    <n v="0"/>
    <n v="0"/>
    <n v="0"/>
    <n v="0"/>
    <n v="0"/>
    <n v="0"/>
    <n v="0"/>
    <n v="0"/>
    <n v="0"/>
    <n v="0"/>
    <n v="0"/>
    <n v="0"/>
    <n v="0"/>
    <n v="0"/>
    <s v="MMR012CMP046"/>
    <x v="0"/>
    <m/>
  </r>
  <r>
    <n v="13.933333333333334"/>
    <x v="1"/>
    <x v="70"/>
    <x v="2"/>
    <s v="UNHCR"/>
    <x v="0"/>
    <x v="2"/>
    <s v="Ah Htet Nan Yar"/>
    <m/>
    <n v="557"/>
    <n v="3063"/>
    <m/>
    <m/>
    <m/>
    <m/>
    <n v="1114"/>
    <m/>
    <m/>
    <m/>
    <m/>
    <m/>
    <m/>
    <m/>
    <m/>
    <m/>
    <m/>
    <m/>
    <m/>
    <n v="0"/>
    <n v="0"/>
    <n v="0"/>
    <n v="0"/>
    <n v="0"/>
    <n v="0"/>
    <n v="0"/>
    <n v="0"/>
    <n v="0"/>
    <n v="0"/>
    <n v="0"/>
    <n v="0"/>
    <n v="0"/>
    <n v="0"/>
    <n v="0"/>
    <s v=""/>
    <x v="1"/>
    <m/>
  </r>
  <r>
    <n v="14.133333333333333"/>
    <x v="1"/>
    <x v="71"/>
    <x v="1"/>
    <s v="SCI"/>
    <x v="0"/>
    <x v="0"/>
    <s v="Basare"/>
    <m/>
    <n v="397"/>
    <n v="2184"/>
    <m/>
    <n v="397"/>
    <m/>
    <m/>
    <m/>
    <m/>
    <m/>
    <m/>
    <m/>
    <m/>
    <m/>
    <m/>
    <m/>
    <m/>
    <m/>
    <m/>
    <m/>
    <n v="0"/>
    <n v="0"/>
    <n v="0"/>
    <n v="0"/>
    <n v="0"/>
    <n v="0"/>
    <n v="0"/>
    <n v="0"/>
    <n v="0"/>
    <n v="0"/>
    <n v="0"/>
    <n v="0"/>
    <n v="0"/>
    <n v="0"/>
    <n v="0"/>
    <s v="MMR012CMP039"/>
    <x v="0"/>
    <m/>
  </r>
  <r>
    <n v="14.4"/>
    <x v="1"/>
    <x v="72"/>
    <x v="14"/>
    <s v="LWF"/>
    <x v="0"/>
    <x v="1"/>
    <s v="Nget Chaung 2"/>
    <m/>
    <m/>
    <n v="858"/>
    <m/>
    <m/>
    <m/>
    <m/>
    <m/>
    <m/>
    <m/>
    <m/>
    <m/>
    <m/>
    <n v="858"/>
    <m/>
    <m/>
    <m/>
    <m/>
    <m/>
    <m/>
    <n v="0"/>
    <n v="0"/>
    <n v="0"/>
    <n v="0"/>
    <n v="0"/>
    <n v="0"/>
    <n v="0"/>
    <n v="0"/>
    <n v="0"/>
    <n v="0"/>
    <n v="0"/>
    <n v="0"/>
    <n v="0"/>
    <n v="0"/>
    <n v="0"/>
    <s v="MMR012CMP017"/>
    <x v="0"/>
    <s v="Distributed Item number is number of HH"/>
  </r>
  <r>
    <n v="14.4"/>
    <x v="1"/>
    <x v="72"/>
    <x v="14"/>
    <s v="LWF"/>
    <x v="0"/>
    <x v="1"/>
    <s v="Ah Nauk Ywe"/>
    <m/>
    <m/>
    <n v="1212"/>
    <m/>
    <m/>
    <m/>
    <m/>
    <m/>
    <m/>
    <m/>
    <m/>
    <m/>
    <m/>
    <n v="1224"/>
    <m/>
    <m/>
    <m/>
    <m/>
    <m/>
    <m/>
    <n v="0"/>
    <n v="0"/>
    <n v="0"/>
    <n v="0"/>
    <n v="0"/>
    <n v="0"/>
    <n v="0"/>
    <n v="0"/>
    <n v="0"/>
    <n v="0"/>
    <n v="0"/>
    <n v="0"/>
    <n v="0"/>
    <n v="0"/>
    <n v="0"/>
    <s v="MMR012CMP016"/>
    <x v="0"/>
    <s v="Distributed Item number is number of HH"/>
  </r>
  <r>
    <n v="14.4"/>
    <x v="1"/>
    <x v="72"/>
    <x v="9"/>
    <s v="CDN"/>
    <x v="0"/>
    <x v="0"/>
    <s v="Khaung Doke Khar "/>
    <m/>
    <n v="799"/>
    <n v="4395"/>
    <m/>
    <n v="799"/>
    <m/>
    <m/>
    <m/>
    <m/>
    <m/>
    <m/>
    <m/>
    <m/>
    <m/>
    <m/>
    <m/>
    <m/>
    <m/>
    <m/>
    <m/>
    <n v="0"/>
    <n v="0"/>
    <n v="0"/>
    <n v="0"/>
    <n v="0"/>
    <n v="0"/>
    <n v="0"/>
    <n v="0"/>
    <n v="0"/>
    <n v="0"/>
    <n v="0"/>
    <n v="0"/>
    <n v="0"/>
    <n v="0"/>
    <n v="0"/>
    <s v="MMR012CMP042"/>
    <x v="0"/>
    <s v="Distributed Item number is number of HH"/>
  </r>
  <r>
    <n v="14.4"/>
    <x v="1"/>
    <x v="72"/>
    <x v="15"/>
    <s v="MHAA"/>
    <x v="0"/>
    <x v="4"/>
    <s v="Taung Paw "/>
    <m/>
    <n v="690"/>
    <n v="3795"/>
    <m/>
    <m/>
    <n v="690"/>
    <m/>
    <m/>
    <m/>
    <m/>
    <m/>
    <m/>
    <m/>
    <m/>
    <m/>
    <m/>
    <m/>
    <m/>
    <m/>
    <m/>
    <n v="0"/>
    <n v="0"/>
    <n v="0"/>
    <n v="0"/>
    <n v="0"/>
    <n v="0"/>
    <n v="0"/>
    <n v="0"/>
    <n v="0"/>
    <n v="0"/>
    <n v="0"/>
    <n v="0"/>
    <n v="0"/>
    <n v="0"/>
    <n v="0"/>
    <s v="MMR012CMP014"/>
    <x v="0"/>
    <s v="Distributed Item number is also the same with HH"/>
  </r>
  <r>
    <n v="14.533333333333333"/>
    <x v="1"/>
    <x v="73"/>
    <x v="16"/>
    <s v="Gov"/>
    <x v="0"/>
    <x v="0"/>
    <s v="Ohn Taw Gyi (South)"/>
    <m/>
    <n v="350"/>
    <n v="1925"/>
    <n v="350"/>
    <m/>
    <m/>
    <m/>
    <m/>
    <m/>
    <m/>
    <m/>
    <m/>
    <m/>
    <m/>
    <m/>
    <m/>
    <m/>
    <m/>
    <m/>
    <m/>
    <n v="0"/>
    <n v="0"/>
    <n v="0"/>
    <n v="0"/>
    <n v="0"/>
    <n v="0"/>
    <n v="0"/>
    <n v="0"/>
    <n v="0"/>
    <n v="0"/>
    <n v="0"/>
    <n v="0"/>
    <n v="0"/>
    <n v="0"/>
    <n v="0"/>
    <s v="MMR012CMP116"/>
    <x v="0"/>
    <s v="Gov provided 350 kits which include noodle, clothes and wheat. "/>
  </r>
  <r>
    <n v="14.533333333333333"/>
    <x v="1"/>
    <x v="73"/>
    <x v="14"/>
    <s v="LWF"/>
    <x v="0"/>
    <x v="0"/>
    <s v="Ohn Taw Gyi (South)"/>
    <m/>
    <m/>
    <n v="2224"/>
    <m/>
    <m/>
    <m/>
    <m/>
    <m/>
    <m/>
    <m/>
    <m/>
    <m/>
    <m/>
    <n v="2237"/>
    <m/>
    <m/>
    <m/>
    <m/>
    <m/>
    <m/>
    <n v="0"/>
    <n v="0"/>
    <n v="0"/>
    <n v="0"/>
    <n v="0"/>
    <n v="0"/>
    <n v="0"/>
    <n v="0"/>
    <n v="0"/>
    <n v="0"/>
    <n v="0"/>
    <n v="0"/>
    <n v="0"/>
    <n v="0"/>
    <n v="0"/>
    <s v="MMR012CMP116"/>
    <x v="0"/>
    <s v="Distributed Item number is number of HH"/>
  </r>
  <r>
    <n v="14.533333333333333"/>
    <x v="1"/>
    <x v="73"/>
    <x v="14"/>
    <s v="NRC"/>
    <x v="0"/>
    <x v="0"/>
    <s v="Thet Kae Pyin "/>
    <m/>
    <m/>
    <n v="992"/>
    <m/>
    <m/>
    <m/>
    <m/>
    <m/>
    <m/>
    <m/>
    <m/>
    <m/>
    <m/>
    <n v="4150"/>
    <n v="1900"/>
    <m/>
    <m/>
    <m/>
    <m/>
    <m/>
    <n v="0"/>
    <n v="0"/>
    <n v="0"/>
    <n v="0"/>
    <n v="0"/>
    <n v="0"/>
    <n v="0"/>
    <n v="0"/>
    <n v="0"/>
    <n v="0"/>
    <n v="0"/>
    <n v="0"/>
    <n v="0"/>
    <n v="0"/>
    <n v="0"/>
    <s v="MMR012CMP048"/>
    <x v="0"/>
    <s v="Distributed Item number is number of HH"/>
  </r>
  <r>
    <n v="14.566666666666666"/>
    <x v="1"/>
    <x v="74"/>
    <x v="14"/>
    <s v="LWF"/>
    <x v="0"/>
    <x v="0"/>
    <s v="Khaung Doke Khar "/>
    <m/>
    <m/>
    <n v="795"/>
    <m/>
    <m/>
    <m/>
    <m/>
    <m/>
    <m/>
    <m/>
    <m/>
    <m/>
    <m/>
    <n v="1596"/>
    <m/>
    <m/>
    <m/>
    <m/>
    <m/>
    <m/>
    <n v="0"/>
    <n v="0"/>
    <n v="0"/>
    <n v="0"/>
    <n v="0"/>
    <n v="0"/>
    <n v="0"/>
    <n v="0"/>
    <n v="0"/>
    <n v="0"/>
    <n v="0"/>
    <n v="0"/>
    <n v="0"/>
    <n v="0"/>
    <n v="0"/>
    <s v="MMR012CMP042"/>
    <x v="0"/>
    <s v="Distributed Item number is number of HH"/>
  </r>
  <r>
    <n v="14.566666666666666"/>
    <x v="1"/>
    <x v="74"/>
    <x v="14"/>
    <s v="LWF"/>
    <x v="0"/>
    <x v="0"/>
    <s v="Basare"/>
    <m/>
    <m/>
    <n v="398"/>
    <m/>
    <m/>
    <m/>
    <m/>
    <m/>
    <m/>
    <m/>
    <m/>
    <m/>
    <m/>
    <n v="397"/>
    <m/>
    <m/>
    <m/>
    <m/>
    <m/>
    <m/>
    <n v="0"/>
    <n v="0"/>
    <n v="0"/>
    <n v="0"/>
    <n v="0"/>
    <n v="0"/>
    <n v="0"/>
    <n v="0"/>
    <n v="0"/>
    <n v="0"/>
    <n v="0"/>
    <n v="0"/>
    <n v="0"/>
    <n v="0"/>
    <n v="0"/>
    <s v="MMR012CMP039"/>
    <x v="0"/>
    <s v="Distributed Item number is number of HH"/>
  </r>
  <r>
    <n v="14.633333333333333"/>
    <x v="1"/>
    <x v="75"/>
    <x v="14"/>
    <s v="NRC"/>
    <x v="0"/>
    <x v="0"/>
    <s v="Maw Ti Ngar"/>
    <m/>
    <m/>
    <n v="624"/>
    <m/>
    <m/>
    <m/>
    <m/>
    <m/>
    <m/>
    <m/>
    <m/>
    <m/>
    <m/>
    <n v="2960"/>
    <n v="1383"/>
    <m/>
    <m/>
    <m/>
    <m/>
    <m/>
    <n v="0"/>
    <n v="0"/>
    <n v="0"/>
    <n v="0"/>
    <n v="0"/>
    <n v="0"/>
    <n v="0"/>
    <n v="0"/>
    <n v="0"/>
    <n v="0"/>
    <n v="0"/>
    <n v="0"/>
    <n v="0"/>
    <n v="0"/>
    <n v="0"/>
    <s v="MMR012CMP092"/>
    <x v="0"/>
    <s v="Distributed Item number is number of HH"/>
  </r>
  <r>
    <n v="15.033333333333333"/>
    <x v="1"/>
    <x v="76"/>
    <x v="12"/>
    <s v="RI"/>
    <x v="0"/>
    <x v="4"/>
    <s v="Taung Paw "/>
    <m/>
    <n v="703"/>
    <n v="3865"/>
    <m/>
    <n v="703"/>
    <m/>
    <m/>
    <m/>
    <m/>
    <m/>
    <m/>
    <m/>
    <m/>
    <m/>
    <m/>
    <m/>
    <m/>
    <m/>
    <m/>
    <m/>
    <n v="0"/>
    <n v="0"/>
    <n v="0"/>
    <n v="0"/>
    <n v="0"/>
    <n v="0"/>
    <n v="0"/>
    <n v="0"/>
    <n v="0"/>
    <n v="0"/>
    <n v="0"/>
    <n v="0"/>
    <n v="0"/>
    <n v="0"/>
    <n v="0"/>
    <s v="MMR012CMP014"/>
    <x v="0"/>
    <s v="Distributed Item number is also the same with HH"/>
  </r>
  <r>
    <n v="15.266666666666667"/>
    <x v="2"/>
    <x v="77"/>
    <x v="12"/>
    <s v="RI"/>
    <x v="0"/>
    <x v="4"/>
    <s v="Taung Paw "/>
    <m/>
    <m/>
    <m/>
    <m/>
    <m/>
    <m/>
    <m/>
    <m/>
    <m/>
    <m/>
    <m/>
    <m/>
    <m/>
    <m/>
    <m/>
    <n v="628"/>
    <m/>
    <m/>
    <m/>
    <m/>
    <n v="0"/>
    <n v="0"/>
    <n v="0"/>
    <n v="0"/>
    <n v="0"/>
    <n v="0"/>
    <n v="0"/>
    <n v="0"/>
    <n v="0"/>
    <n v="0"/>
    <n v="0"/>
    <n v="0"/>
    <n v="0"/>
    <n v="0"/>
    <n v="0"/>
    <s v="MMR012CMP014"/>
    <x v="0"/>
    <m/>
  </r>
  <r>
    <n v="15.333333333333334"/>
    <x v="2"/>
    <x v="78"/>
    <x v="12"/>
    <s v="RI"/>
    <x v="0"/>
    <x v="4"/>
    <s v="Taung Paw "/>
    <m/>
    <m/>
    <m/>
    <m/>
    <m/>
    <m/>
    <m/>
    <m/>
    <m/>
    <m/>
    <m/>
    <m/>
    <m/>
    <n v="628"/>
    <m/>
    <m/>
    <m/>
    <m/>
    <m/>
    <m/>
    <n v="0"/>
    <n v="0"/>
    <n v="0"/>
    <n v="0"/>
    <n v="0"/>
    <n v="0"/>
    <n v="0"/>
    <n v="0"/>
    <n v="0"/>
    <n v="0"/>
    <n v="0"/>
    <n v="0"/>
    <n v="0"/>
    <n v="0"/>
    <n v="0"/>
    <s v="MMR012CMP014"/>
    <x v="0"/>
    <m/>
  </r>
  <r>
    <n v="15.433333333333334"/>
    <x v="2"/>
    <x v="79"/>
    <x v="12"/>
    <s v="RI"/>
    <x v="0"/>
    <x v="4"/>
    <s v="Taung Paw "/>
    <m/>
    <m/>
    <m/>
    <m/>
    <m/>
    <m/>
    <m/>
    <n v="703"/>
    <m/>
    <m/>
    <m/>
    <m/>
    <m/>
    <m/>
    <m/>
    <m/>
    <m/>
    <m/>
    <m/>
    <m/>
    <n v="0"/>
    <n v="0"/>
    <n v="0"/>
    <n v="0"/>
    <n v="0"/>
    <n v="0"/>
    <n v="0"/>
    <n v="0"/>
    <n v="0"/>
    <n v="0"/>
    <n v="0"/>
    <n v="0"/>
    <n v="0"/>
    <n v="0"/>
    <n v="0"/>
    <s v="MMR012CMP014"/>
    <x v="0"/>
    <m/>
  </r>
  <r>
    <n v="15.9"/>
    <x v="2"/>
    <x v="80"/>
    <x v="5"/>
    <s v="SI"/>
    <x v="0"/>
    <x v="1"/>
    <s v="Ah Nauk Ywe"/>
    <m/>
    <m/>
    <m/>
    <m/>
    <m/>
    <m/>
    <m/>
    <m/>
    <n v="1228"/>
    <m/>
    <m/>
    <m/>
    <m/>
    <m/>
    <m/>
    <m/>
    <m/>
    <m/>
    <m/>
    <m/>
    <n v="0"/>
    <n v="0"/>
    <n v="0"/>
    <n v="0"/>
    <n v="0"/>
    <n v="0"/>
    <n v="0"/>
    <n v="0"/>
    <n v="0"/>
    <n v="0"/>
    <n v="0"/>
    <n v="0"/>
    <n v="0"/>
    <n v="0"/>
    <n v="0"/>
    <s v="MMR012CMP016"/>
    <x v="0"/>
    <m/>
  </r>
  <r>
    <n v="16.233333333333334"/>
    <x v="2"/>
    <x v="81"/>
    <x v="5"/>
    <s v="SI"/>
    <x v="0"/>
    <x v="0"/>
    <s v="Thae Chaung"/>
    <m/>
    <m/>
    <m/>
    <m/>
    <m/>
    <m/>
    <m/>
    <m/>
    <m/>
    <m/>
    <m/>
    <n v="985"/>
    <m/>
    <m/>
    <m/>
    <m/>
    <m/>
    <m/>
    <m/>
    <m/>
    <n v="0"/>
    <n v="0"/>
    <n v="0"/>
    <n v="0"/>
    <n v="0"/>
    <n v="0"/>
    <n v="0"/>
    <n v="0"/>
    <n v="0"/>
    <n v="0"/>
    <n v="0"/>
    <n v="0"/>
    <n v="0"/>
    <n v="0"/>
    <n v="0"/>
    <s v="MMR012CMP046"/>
    <x v="0"/>
    <m/>
  </r>
  <r>
    <n v="16.366666666666667"/>
    <x v="2"/>
    <x v="82"/>
    <x v="10"/>
    <s v="NRC"/>
    <x v="0"/>
    <x v="0"/>
    <s v="Thet Kae Pyin "/>
    <n v="1000"/>
    <m/>
    <m/>
    <n v="32"/>
    <m/>
    <n v="32"/>
    <m/>
    <n v="64"/>
    <m/>
    <m/>
    <n v="64"/>
    <n v="64"/>
    <n v="64"/>
    <m/>
    <m/>
    <m/>
    <m/>
    <m/>
    <m/>
    <m/>
    <n v="0"/>
    <n v="0"/>
    <n v="0"/>
    <n v="0"/>
    <n v="0"/>
    <n v="0"/>
    <n v="0"/>
    <n v="0"/>
    <n v="0"/>
    <n v="0"/>
    <n v="0"/>
    <n v="0"/>
    <n v="0"/>
    <n v="0"/>
    <n v="0"/>
    <s v="MMR012CMP048"/>
    <x v="0"/>
    <m/>
  </r>
  <r>
    <n v="16.366666666666667"/>
    <x v="2"/>
    <x v="82"/>
    <x v="10"/>
    <s v="NRC"/>
    <x v="0"/>
    <x v="0"/>
    <s v="Maw Ti Ngar"/>
    <m/>
    <m/>
    <m/>
    <n v="624"/>
    <n v="656"/>
    <n v="1248"/>
    <m/>
    <n v="624"/>
    <m/>
    <m/>
    <n v="1248"/>
    <n v="1248"/>
    <n v="1248"/>
    <m/>
    <m/>
    <m/>
    <m/>
    <m/>
    <m/>
    <m/>
    <n v="0"/>
    <n v="0"/>
    <n v="0"/>
    <n v="0"/>
    <n v="0"/>
    <n v="0"/>
    <n v="0"/>
    <n v="0"/>
    <n v="0"/>
    <n v="0"/>
    <n v="0"/>
    <n v="0"/>
    <n v="0"/>
    <n v="0"/>
    <n v="0"/>
    <s v="MMR012CMP092"/>
    <x v="0"/>
    <m/>
  </r>
  <r>
    <n v="16.666666666666668"/>
    <x v="2"/>
    <x v="83"/>
    <x v="12"/>
    <s v="RI"/>
    <x v="0"/>
    <x v="4"/>
    <s v="Taung Paw "/>
    <m/>
    <m/>
    <m/>
    <m/>
    <m/>
    <m/>
    <m/>
    <m/>
    <m/>
    <n v="195"/>
    <m/>
    <m/>
    <m/>
    <m/>
    <m/>
    <m/>
    <m/>
    <m/>
    <m/>
    <m/>
    <n v="0"/>
    <n v="0"/>
    <n v="0"/>
    <n v="0"/>
    <n v="0"/>
    <n v="0"/>
    <n v="0"/>
    <n v="0"/>
    <n v="0"/>
    <n v="0"/>
    <n v="0"/>
    <n v="0"/>
    <n v="0"/>
    <n v="0"/>
    <n v="0"/>
    <s v="MMR012CMP014"/>
    <x v="0"/>
    <m/>
  </r>
  <r>
    <n v="16.866666666666667"/>
    <x v="2"/>
    <x v="84"/>
    <x v="5"/>
    <s v="SI"/>
    <x v="0"/>
    <x v="1"/>
    <s v="Nget Chaung 2"/>
    <m/>
    <m/>
    <m/>
    <m/>
    <m/>
    <m/>
    <m/>
    <m/>
    <n v="856"/>
    <m/>
    <m/>
    <m/>
    <m/>
    <m/>
    <m/>
    <m/>
    <m/>
    <m/>
    <m/>
    <m/>
    <n v="0"/>
    <n v="0"/>
    <n v="0"/>
    <n v="0"/>
    <n v="0"/>
    <n v="0"/>
    <n v="0"/>
    <n v="0"/>
    <n v="0"/>
    <n v="0"/>
    <n v="0"/>
    <n v="0"/>
    <n v="0"/>
    <n v="0"/>
    <n v="0"/>
    <s v="MMR012CMP017"/>
    <x v="0"/>
    <m/>
  </r>
  <r>
    <n v="16.933333333333334"/>
    <x v="2"/>
    <x v="85"/>
    <x v="12"/>
    <s v="RI"/>
    <x v="0"/>
    <x v="4"/>
    <s v="Taung Paw "/>
    <n v="734"/>
    <m/>
    <m/>
    <m/>
    <m/>
    <m/>
    <m/>
    <m/>
    <m/>
    <m/>
    <m/>
    <m/>
    <m/>
    <m/>
    <m/>
    <m/>
    <m/>
    <m/>
    <m/>
    <m/>
    <m/>
    <m/>
    <m/>
    <m/>
    <m/>
    <m/>
    <m/>
    <m/>
    <m/>
    <m/>
    <n v="0"/>
    <n v="0"/>
    <n v="0"/>
    <n v="0"/>
    <n v="0"/>
    <s v="MMR012CMP014"/>
    <x v="0"/>
    <m/>
  </r>
  <r>
    <n v="18.333333333333332"/>
    <x v="2"/>
    <x v="86"/>
    <x v="10"/>
    <s v="NRC"/>
    <x v="0"/>
    <x v="0"/>
    <s v="Thet Kae Pyin "/>
    <m/>
    <m/>
    <m/>
    <n v="973"/>
    <m/>
    <n v="973"/>
    <m/>
    <n v="973"/>
    <m/>
    <m/>
    <n v="1964"/>
    <n v="1964"/>
    <n v="1964"/>
    <m/>
    <m/>
    <m/>
    <m/>
    <m/>
    <m/>
    <m/>
    <n v="0"/>
    <n v="0"/>
    <n v="0"/>
    <n v="0"/>
    <n v="0"/>
    <n v="0"/>
    <n v="0"/>
    <n v="0"/>
    <n v="0"/>
    <n v="0"/>
    <n v="0"/>
    <n v="0"/>
    <n v="0"/>
    <n v="0"/>
    <n v="0"/>
    <s v="MMR012CMP048"/>
    <x v="0"/>
    <m/>
  </r>
  <r>
    <n v="20.100000000000001"/>
    <x v="2"/>
    <x v="87"/>
    <x v="12"/>
    <s v="RI"/>
    <x v="0"/>
    <x v="4"/>
    <s v="Taung Paw "/>
    <n v="703"/>
    <m/>
    <m/>
    <m/>
    <m/>
    <m/>
    <m/>
    <m/>
    <m/>
    <m/>
    <m/>
    <m/>
    <m/>
    <m/>
    <m/>
    <m/>
    <m/>
    <m/>
    <m/>
    <m/>
    <n v="0"/>
    <n v="0"/>
    <n v="0"/>
    <n v="0"/>
    <n v="0"/>
    <n v="0"/>
    <n v="0"/>
    <n v="0"/>
    <n v="0"/>
    <n v="0"/>
    <n v="0"/>
    <n v="0"/>
    <n v="0"/>
    <n v="0"/>
    <n v="0"/>
    <s v="MMR012CMP014"/>
    <x v="0"/>
    <m/>
  </r>
  <r>
    <n v="20.100000000000001"/>
    <x v="2"/>
    <x v="87"/>
    <x v="12"/>
    <s v="RI"/>
    <x v="0"/>
    <x v="4"/>
    <s v="Kan Thar Htwat Wa"/>
    <n v="40"/>
    <m/>
    <m/>
    <m/>
    <m/>
    <m/>
    <m/>
    <m/>
    <m/>
    <m/>
    <m/>
    <m/>
    <m/>
    <m/>
    <m/>
    <m/>
    <m/>
    <m/>
    <m/>
    <m/>
    <n v="0"/>
    <n v="0"/>
    <n v="0"/>
    <n v="0"/>
    <n v="0"/>
    <n v="0"/>
    <n v="0"/>
    <n v="0"/>
    <n v="0"/>
    <n v="0"/>
    <n v="0"/>
    <n v="0"/>
    <n v="0"/>
    <n v="0"/>
    <n v="0"/>
    <s v="MMR012CMP013"/>
    <x v="2"/>
    <m/>
  </r>
  <r>
    <n v="21.6"/>
    <x v="2"/>
    <x v="88"/>
    <x v="2"/>
    <s v="UNHCR"/>
    <x v="0"/>
    <x v="5"/>
    <s v="Kyauk Ta Lone"/>
    <n v="65"/>
    <m/>
    <m/>
    <n v="65"/>
    <m/>
    <m/>
    <m/>
    <n v="65"/>
    <m/>
    <m/>
    <m/>
    <m/>
    <m/>
    <m/>
    <m/>
    <m/>
    <m/>
    <m/>
    <m/>
    <m/>
    <n v="0"/>
    <n v="0"/>
    <n v="0"/>
    <n v="0"/>
    <n v="0"/>
    <n v="0"/>
    <n v="0"/>
    <n v="0"/>
    <n v="0"/>
    <n v="0"/>
    <n v="0"/>
    <n v="0"/>
    <n v="0"/>
    <n v="0"/>
    <n v="0"/>
    <s v="MMR012CMP035"/>
    <x v="0"/>
    <m/>
  </r>
  <r>
    <n v="21.633333333333333"/>
    <x v="2"/>
    <x v="89"/>
    <x v="2"/>
    <s v="UNHCR"/>
    <x v="0"/>
    <x v="5"/>
    <s v="Ka Nyin Taw"/>
    <m/>
    <m/>
    <m/>
    <n v="427"/>
    <m/>
    <m/>
    <m/>
    <n v="854"/>
    <m/>
    <m/>
    <m/>
    <m/>
    <m/>
    <m/>
    <m/>
    <m/>
    <m/>
    <m/>
    <m/>
    <m/>
    <n v="0"/>
    <n v="0"/>
    <n v="0"/>
    <n v="0"/>
    <n v="0"/>
    <n v="0"/>
    <n v="0"/>
    <n v="0"/>
    <n v="0"/>
    <n v="0"/>
    <n v="0"/>
    <n v="0"/>
    <n v="0"/>
    <n v="0"/>
    <n v="0"/>
    <s v="MMR012CMP036"/>
    <x v="2"/>
    <m/>
  </r>
  <r>
    <n v="22.333333333333332"/>
    <x v="2"/>
    <x v="90"/>
    <x v="2"/>
    <s v="LWF"/>
    <x v="0"/>
    <x v="1"/>
    <s v="Ah Nauk Ywe"/>
    <m/>
    <m/>
    <m/>
    <m/>
    <m/>
    <m/>
    <n v="60"/>
    <m/>
    <m/>
    <m/>
    <m/>
    <m/>
    <m/>
    <m/>
    <m/>
    <m/>
    <m/>
    <m/>
    <m/>
    <m/>
    <n v="0"/>
    <n v="0"/>
    <n v="0"/>
    <n v="0"/>
    <n v="0"/>
    <n v="0"/>
    <n v="0"/>
    <n v="0"/>
    <n v="0"/>
    <n v="0"/>
    <n v="0"/>
    <n v="0"/>
    <n v="0"/>
    <n v="0"/>
    <n v="0"/>
    <s v="MMR012CMP016"/>
    <x v="0"/>
    <m/>
  </r>
  <r>
    <n v="23.133333333333333"/>
    <x v="2"/>
    <x v="91"/>
    <x v="7"/>
    <s v="DRC"/>
    <x v="0"/>
    <x v="0"/>
    <s v="Baw Du Pha 2"/>
    <m/>
    <m/>
    <m/>
    <m/>
    <n v="424"/>
    <m/>
    <n v="424"/>
    <m/>
    <m/>
    <m/>
    <m/>
    <m/>
    <n v="848"/>
    <m/>
    <m/>
    <m/>
    <m/>
    <m/>
    <m/>
    <m/>
    <n v="0"/>
    <n v="0"/>
    <n v="0"/>
    <n v="0"/>
    <n v="0"/>
    <n v="0"/>
    <n v="0"/>
    <n v="0"/>
    <n v="0"/>
    <n v="0"/>
    <n v="0"/>
    <n v="0"/>
    <n v="0"/>
    <n v="0"/>
    <n v="0"/>
    <s v="MMR012CMP114"/>
    <x v="0"/>
    <m/>
  </r>
  <r>
    <n v="26.2"/>
    <x v="2"/>
    <x v="92"/>
    <x v="2"/>
    <s v="UNHCR"/>
    <x v="0"/>
    <x v="0"/>
    <s v="Say Tha Mar Gyi"/>
    <m/>
    <m/>
    <m/>
    <m/>
    <m/>
    <n v="3630"/>
    <n v="1815"/>
    <n v="1815"/>
    <n v="1815"/>
    <m/>
    <n v="1815"/>
    <n v="1815"/>
    <n v="9075"/>
    <m/>
    <m/>
    <m/>
    <m/>
    <m/>
    <m/>
    <m/>
    <n v="0"/>
    <n v="0"/>
    <n v="0"/>
    <n v="0"/>
    <n v="0"/>
    <n v="0"/>
    <n v="0"/>
    <n v="0"/>
    <n v="0"/>
    <n v="0"/>
    <n v="0"/>
    <n v="0"/>
    <n v="0"/>
    <n v="0"/>
    <n v="0"/>
    <s v="MMR012CMP045"/>
    <x v="0"/>
    <m/>
  </r>
  <r>
    <n v="26.4"/>
    <x v="2"/>
    <x v="93"/>
    <x v="2"/>
    <s v="UNHCR"/>
    <x v="0"/>
    <x v="0"/>
    <s v="San Htoe Tan"/>
    <m/>
    <m/>
    <m/>
    <m/>
    <m/>
    <n v="6"/>
    <n v="3"/>
    <n v="6"/>
    <n v="3"/>
    <m/>
    <n v="3"/>
    <n v="3"/>
    <n v="15"/>
    <m/>
    <m/>
    <m/>
    <m/>
    <m/>
    <m/>
    <m/>
    <n v="0"/>
    <n v="0"/>
    <n v="0"/>
    <n v="0"/>
    <n v="0"/>
    <n v="0"/>
    <n v="0"/>
    <n v="0"/>
    <n v="0"/>
    <n v="0"/>
    <n v="0"/>
    <n v="0"/>
    <n v="0"/>
    <n v="0"/>
    <n v="0"/>
    <s v="MMR012CMP003"/>
    <x v="3"/>
    <m/>
  </r>
  <r>
    <n v="26.466666666666665"/>
    <x v="2"/>
    <x v="94"/>
    <x v="12"/>
    <s v="RI"/>
    <x v="0"/>
    <x v="4"/>
    <s v="Kan Thar Htwat Wa"/>
    <m/>
    <m/>
    <m/>
    <m/>
    <m/>
    <n v="42"/>
    <n v="42"/>
    <m/>
    <n v="42"/>
    <m/>
    <m/>
    <n v="42"/>
    <m/>
    <m/>
    <m/>
    <m/>
    <m/>
    <m/>
    <m/>
    <m/>
    <n v="0"/>
    <n v="0"/>
    <n v="0"/>
    <n v="0"/>
    <n v="0"/>
    <n v="0"/>
    <n v="0"/>
    <n v="0"/>
    <n v="0"/>
    <n v="0"/>
    <n v="0"/>
    <n v="0"/>
    <n v="0"/>
    <n v="0"/>
    <n v="0"/>
    <s v="MMR012CMP013"/>
    <x v="2"/>
    <m/>
  </r>
  <r>
    <n v="26.466666666666665"/>
    <x v="2"/>
    <x v="94"/>
    <x v="12"/>
    <s v="RI"/>
    <x v="0"/>
    <x v="4"/>
    <s v="Taung Paw "/>
    <m/>
    <m/>
    <m/>
    <m/>
    <m/>
    <n v="682"/>
    <n v="682"/>
    <m/>
    <n v="682"/>
    <m/>
    <m/>
    <n v="682"/>
    <m/>
    <m/>
    <m/>
    <m/>
    <m/>
    <m/>
    <m/>
    <m/>
    <n v="0"/>
    <n v="0"/>
    <n v="0"/>
    <n v="0"/>
    <n v="0"/>
    <n v="0"/>
    <n v="0"/>
    <n v="0"/>
    <n v="0"/>
    <n v="0"/>
    <n v="0"/>
    <n v="0"/>
    <n v="0"/>
    <n v="0"/>
    <n v="0"/>
    <s v="MMR012CMP014"/>
    <x v="0"/>
    <m/>
  </r>
  <r>
    <n v="26.633333333333333"/>
    <x v="2"/>
    <x v="95"/>
    <x v="2"/>
    <s v="UNHCR"/>
    <x v="0"/>
    <x v="0"/>
    <s v="Nidin"/>
    <m/>
    <m/>
    <m/>
    <n v="85"/>
    <m/>
    <n v="170"/>
    <n v="85"/>
    <n v="85"/>
    <n v="85"/>
    <m/>
    <n v="85"/>
    <n v="85"/>
    <n v="425"/>
    <m/>
    <m/>
    <m/>
    <m/>
    <m/>
    <m/>
    <m/>
    <n v="0"/>
    <n v="0"/>
    <n v="0"/>
    <n v="0"/>
    <n v="0"/>
    <n v="0"/>
    <n v="0"/>
    <n v="0"/>
    <n v="0"/>
    <n v="0"/>
    <n v="0"/>
    <n v="0"/>
    <n v="0"/>
    <n v="0"/>
    <n v="0"/>
    <s v="MMR012CMP023"/>
    <x v="0"/>
    <m/>
  </r>
  <r>
    <n v="28.1"/>
    <x v="3"/>
    <x v="96"/>
    <x v="17"/>
    <s v="LWF"/>
    <x v="0"/>
    <x v="0"/>
    <s v="Khaung Doke Khar "/>
    <m/>
    <m/>
    <m/>
    <m/>
    <m/>
    <m/>
    <m/>
    <n v="1598"/>
    <m/>
    <m/>
    <m/>
    <m/>
    <m/>
    <m/>
    <m/>
    <m/>
    <m/>
    <m/>
    <m/>
    <m/>
    <n v="0"/>
    <n v="0"/>
    <n v="0"/>
    <n v="0"/>
    <n v="0"/>
    <n v="0"/>
    <n v="0"/>
    <n v="0"/>
    <n v="0"/>
    <n v="0"/>
    <n v="0"/>
    <n v="0"/>
    <n v="0"/>
    <n v="0"/>
    <n v="0"/>
    <s v="MMR012CMP042"/>
    <x v="0"/>
    <m/>
  </r>
  <r>
    <n v="28.633333333333333"/>
    <x v="3"/>
    <x v="97"/>
    <x v="18"/>
    <s v="LWF"/>
    <x v="0"/>
    <x v="1"/>
    <s v="Ah Nauk Ywe"/>
    <m/>
    <m/>
    <m/>
    <n v="986"/>
    <m/>
    <n v="1972"/>
    <n v="986"/>
    <n v="1972"/>
    <n v="986"/>
    <m/>
    <n v="968"/>
    <n v="986"/>
    <n v="4930"/>
    <m/>
    <m/>
    <m/>
    <m/>
    <m/>
    <m/>
    <m/>
    <n v="0"/>
    <n v="0"/>
    <n v="0"/>
    <n v="0"/>
    <n v="0"/>
    <n v="0"/>
    <n v="0"/>
    <n v="0"/>
    <n v="0"/>
    <n v="0"/>
    <n v="0"/>
    <n v="0"/>
    <n v="0"/>
    <n v="0"/>
    <n v="0"/>
    <s v="MMR012CMP016"/>
    <x v="0"/>
    <m/>
  </r>
  <r>
    <n v="28.766666666666666"/>
    <x v="3"/>
    <x v="98"/>
    <x v="19"/>
    <s v="LWF"/>
    <x v="0"/>
    <x v="1"/>
    <s v="Nget Chaung"/>
    <m/>
    <m/>
    <m/>
    <m/>
    <m/>
    <n v="1563"/>
    <m/>
    <m/>
    <m/>
    <m/>
    <m/>
    <m/>
    <m/>
    <m/>
    <m/>
    <m/>
    <m/>
    <m/>
    <m/>
    <m/>
    <n v="0"/>
    <n v="0"/>
    <n v="0"/>
    <n v="0"/>
    <n v="0"/>
    <n v="0"/>
    <n v="0"/>
    <n v="0"/>
    <n v="0"/>
    <n v="0"/>
    <n v="0"/>
    <n v="0"/>
    <n v="0"/>
    <n v="0"/>
    <n v="0"/>
    <s v=""/>
    <x v="1"/>
    <m/>
  </r>
  <r>
    <n v="28.8"/>
    <x v="3"/>
    <x v="99"/>
    <x v="18"/>
    <s v="LWF"/>
    <x v="0"/>
    <x v="1"/>
    <s v="Ba Wan Chaung Wa Su"/>
    <m/>
    <m/>
    <m/>
    <n v="21"/>
    <m/>
    <n v="42"/>
    <n v="21"/>
    <n v="42"/>
    <n v="21"/>
    <m/>
    <n v="21"/>
    <n v="21"/>
    <n v="105"/>
    <m/>
    <m/>
    <m/>
    <m/>
    <m/>
    <m/>
    <m/>
    <n v="0"/>
    <n v="0"/>
    <n v="0"/>
    <n v="0"/>
    <n v="0"/>
    <n v="0"/>
    <n v="0"/>
    <n v="0"/>
    <n v="0"/>
    <n v="0"/>
    <n v="0"/>
    <n v="0"/>
    <n v="0"/>
    <n v="0"/>
    <n v="0"/>
    <s v="MMR012CMP015"/>
    <x v="2"/>
    <m/>
  </r>
  <r>
    <n v="29.3"/>
    <x v="3"/>
    <x v="100"/>
    <x v="2"/>
    <s v="CFSI"/>
    <x v="0"/>
    <x v="2"/>
    <s v="Ah Htet Nan Yar"/>
    <n v="0"/>
    <m/>
    <m/>
    <n v="0"/>
    <n v="0"/>
    <n v="0"/>
    <n v="7"/>
    <n v="0"/>
    <n v="0"/>
    <n v="0"/>
    <n v="0"/>
    <n v="0"/>
    <n v="0"/>
    <m/>
    <m/>
    <m/>
    <m/>
    <m/>
    <m/>
    <m/>
    <n v="0"/>
    <n v="0"/>
    <n v="0"/>
    <n v="0"/>
    <n v="0"/>
    <n v="0"/>
    <n v="0"/>
    <n v="0"/>
    <n v="0"/>
    <n v="0"/>
    <n v="0"/>
    <n v="0"/>
    <n v="0"/>
    <n v="0"/>
    <n v="0"/>
    <s v=""/>
    <x v="1"/>
    <m/>
  </r>
  <r>
    <n v="29.533333333333335"/>
    <x v="3"/>
    <x v="101"/>
    <x v="2"/>
    <s v="CFSI"/>
    <x v="0"/>
    <x v="2"/>
    <s v="Ah Nauk Pyin"/>
    <n v="0"/>
    <m/>
    <m/>
    <n v="0"/>
    <n v="0"/>
    <n v="0"/>
    <n v="5"/>
    <n v="0"/>
    <n v="0"/>
    <n v="0"/>
    <n v="0"/>
    <n v="0"/>
    <n v="0"/>
    <m/>
    <m/>
    <m/>
    <m/>
    <m/>
    <m/>
    <m/>
    <n v="0"/>
    <n v="0"/>
    <n v="0"/>
    <n v="0"/>
    <n v="0"/>
    <n v="0"/>
    <n v="0"/>
    <n v="0"/>
    <n v="0"/>
    <n v="0"/>
    <n v="0"/>
    <n v="0"/>
    <n v="0"/>
    <n v="0"/>
    <n v="0"/>
    <s v="MMR012CMP032"/>
    <x v="3"/>
    <m/>
  </r>
  <r>
    <n v="30.166666666666668"/>
    <x v="3"/>
    <x v="102"/>
    <x v="2"/>
    <s v="LWF"/>
    <x v="0"/>
    <x v="0"/>
    <s v="Khaung Doke Khar "/>
    <m/>
    <m/>
    <m/>
    <m/>
    <m/>
    <n v="252"/>
    <n v="127"/>
    <n v="252"/>
    <n v="127"/>
    <m/>
    <n v="127"/>
    <n v="127"/>
    <n v="635"/>
    <m/>
    <m/>
    <m/>
    <m/>
    <m/>
    <m/>
    <m/>
    <n v="0"/>
    <n v="0"/>
    <n v="0"/>
    <n v="0"/>
    <n v="0"/>
    <n v="0"/>
    <n v="0"/>
    <n v="0"/>
    <n v="0"/>
    <n v="0"/>
    <n v="0"/>
    <n v="0"/>
    <n v="0"/>
    <n v="0"/>
    <n v="0"/>
    <s v="MMR012CMP042"/>
    <x v="0"/>
    <m/>
  </r>
  <r>
    <n v="30.166666666666668"/>
    <x v="3"/>
    <x v="102"/>
    <x v="18"/>
    <s v="LWF"/>
    <x v="0"/>
    <x v="0"/>
    <s v="Khaung Doke Khar "/>
    <m/>
    <m/>
    <m/>
    <m/>
    <m/>
    <s v="2"/>
    <n v="1"/>
    <s v="2"/>
    <s v="1"/>
    <m/>
    <s v="1"/>
    <m/>
    <s v="5"/>
    <m/>
    <m/>
    <m/>
    <m/>
    <m/>
    <m/>
    <m/>
    <n v="0"/>
    <n v="0"/>
    <n v="0"/>
    <n v="0"/>
    <n v="0"/>
    <n v="0"/>
    <n v="0"/>
    <n v="0"/>
    <n v="0"/>
    <n v="0"/>
    <n v="0"/>
    <n v="0"/>
    <n v="0"/>
    <n v="0"/>
    <n v="0"/>
    <s v="MMR012CMP042"/>
    <x v="0"/>
    <m/>
  </r>
  <r>
    <n v="30.866666666666667"/>
    <x v="3"/>
    <x v="103"/>
    <x v="2"/>
    <s v="DRC"/>
    <x v="0"/>
    <x v="0"/>
    <s v="Say Tha Mar Gyi"/>
    <m/>
    <m/>
    <m/>
    <m/>
    <m/>
    <n v="730"/>
    <n v="365"/>
    <n v="730"/>
    <n v="365"/>
    <m/>
    <n v="365"/>
    <n v="365"/>
    <n v="1825"/>
    <m/>
    <m/>
    <m/>
    <m/>
    <m/>
    <m/>
    <m/>
    <n v="0"/>
    <n v="0"/>
    <n v="0"/>
    <n v="0"/>
    <n v="0"/>
    <n v="0"/>
    <n v="0"/>
    <n v="0"/>
    <n v="0"/>
    <n v="0"/>
    <n v="0"/>
    <n v="0"/>
    <n v="0"/>
    <n v="0"/>
    <n v="0"/>
    <s v="MMR012CMP045"/>
    <x v="0"/>
    <m/>
  </r>
  <r>
    <n v="30.866666666666667"/>
    <x v="3"/>
    <x v="103"/>
    <x v="2"/>
    <s v="CFSI"/>
    <x v="0"/>
    <x v="2"/>
    <s v="Chein Khar Li"/>
    <n v="0"/>
    <m/>
    <m/>
    <n v="0"/>
    <n v="0"/>
    <n v="0"/>
    <n v="10"/>
    <n v="0"/>
    <n v="0"/>
    <n v="0"/>
    <n v="0"/>
    <n v="0"/>
    <n v="0"/>
    <m/>
    <m/>
    <m/>
    <m/>
    <m/>
    <m/>
    <m/>
    <n v="0"/>
    <n v="0"/>
    <n v="0"/>
    <n v="0"/>
    <n v="0"/>
    <n v="0"/>
    <n v="0"/>
    <n v="0"/>
    <n v="0"/>
    <n v="0"/>
    <n v="0"/>
    <n v="0"/>
    <n v="0"/>
    <n v="0"/>
    <n v="0"/>
    <s v=""/>
    <x v="1"/>
    <m/>
  </r>
  <r>
    <n v="32.06666666666667"/>
    <x v="3"/>
    <x v="104"/>
    <x v="2"/>
    <s v="DRC"/>
    <x v="0"/>
    <x v="0"/>
    <s v="Say Tha Mar Gyi"/>
    <m/>
    <m/>
    <m/>
    <n v="273"/>
    <m/>
    <n v="546"/>
    <n v="273"/>
    <n v="546"/>
    <n v="273"/>
    <m/>
    <n v="273"/>
    <n v="273"/>
    <n v="1365"/>
    <m/>
    <m/>
    <m/>
    <m/>
    <m/>
    <m/>
    <m/>
    <n v="0"/>
    <n v="0"/>
    <n v="0"/>
    <n v="0"/>
    <n v="0"/>
    <n v="0"/>
    <n v="0"/>
    <n v="0"/>
    <n v="0"/>
    <n v="0"/>
    <n v="0"/>
    <n v="0"/>
    <n v="0"/>
    <n v="0"/>
    <n v="0"/>
    <s v="MMR012CMP045"/>
    <x v="0"/>
    <m/>
  </r>
  <r>
    <n v="32.06666666666667"/>
    <x v="3"/>
    <x v="104"/>
    <x v="2"/>
    <s v="LWF"/>
    <x v="0"/>
    <x v="0"/>
    <s v="Basare"/>
    <m/>
    <m/>
    <m/>
    <n v="59"/>
    <m/>
    <n v="6"/>
    <n v="3"/>
    <n v="6"/>
    <n v="3"/>
    <m/>
    <n v="3"/>
    <n v="3"/>
    <n v="15"/>
    <m/>
    <m/>
    <m/>
    <m/>
    <m/>
    <m/>
    <m/>
    <n v="0"/>
    <n v="0"/>
    <n v="0"/>
    <n v="0"/>
    <n v="0"/>
    <n v="0"/>
    <n v="0"/>
    <n v="0"/>
    <n v="0"/>
    <n v="0"/>
    <n v="0"/>
    <n v="0"/>
    <n v="0"/>
    <n v="0"/>
    <n v="0"/>
    <s v="MMR012CMP039"/>
    <x v="0"/>
    <m/>
  </r>
  <r>
    <n v="32.06666666666667"/>
    <x v="3"/>
    <x v="104"/>
    <x v="2"/>
    <s v="LWF"/>
    <x v="0"/>
    <x v="0"/>
    <s v="Khaung Doke Khar "/>
    <m/>
    <m/>
    <m/>
    <n v="160"/>
    <m/>
    <n v="96"/>
    <n v="48"/>
    <n v="96"/>
    <n v="48"/>
    <m/>
    <n v="48"/>
    <n v="48"/>
    <n v="240"/>
    <m/>
    <m/>
    <m/>
    <m/>
    <m/>
    <m/>
    <m/>
    <n v="0"/>
    <n v="0"/>
    <n v="0"/>
    <n v="0"/>
    <n v="0"/>
    <n v="0"/>
    <n v="0"/>
    <n v="0"/>
    <n v="0"/>
    <n v="0"/>
    <n v="0"/>
    <n v="0"/>
    <n v="0"/>
    <n v="0"/>
    <n v="0"/>
    <s v="MMR012CMP042"/>
    <x v="0"/>
    <m/>
  </r>
  <r>
    <n v="32.200000000000003"/>
    <x v="3"/>
    <x v="105"/>
    <x v="2"/>
    <s v="Save the Children"/>
    <x v="0"/>
    <x v="1"/>
    <s v="Kyein Ni Pyin"/>
    <m/>
    <m/>
    <m/>
    <m/>
    <m/>
    <n v="62"/>
    <n v="31"/>
    <n v="62"/>
    <n v="31"/>
    <m/>
    <n v="31"/>
    <n v="31"/>
    <n v="155"/>
    <m/>
    <m/>
    <m/>
    <m/>
    <m/>
    <m/>
    <m/>
    <n v="0"/>
    <n v="0"/>
    <n v="0"/>
    <n v="0"/>
    <n v="0"/>
    <n v="0"/>
    <n v="0"/>
    <n v="0"/>
    <n v="0"/>
    <n v="0"/>
    <n v="0"/>
    <n v="0"/>
    <n v="0"/>
    <n v="0"/>
    <n v="0"/>
    <s v="MMR012CMP018"/>
    <x v="0"/>
    <m/>
  </r>
  <r>
    <n v="32.700000000000003"/>
    <x v="3"/>
    <x v="106"/>
    <x v="2"/>
    <s v="Save the Children"/>
    <x v="0"/>
    <x v="0"/>
    <s v="Thet Kae Pyin "/>
    <m/>
    <m/>
    <m/>
    <n v="984"/>
    <m/>
    <n v="1968"/>
    <n v="984"/>
    <n v="1968"/>
    <n v="984"/>
    <m/>
    <n v="984"/>
    <n v="984"/>
    <n v="4920"/>
    <m/>
    <m/>
    <m/>
    <m/>
    <m/>
    <m/>
    <m/>
    <n v="0"/>
    <n v="0"/>
    <n v="0"/>
    <n v="0"/>
    <n v="0"/>
    <n v="0"/>
    <n v="0"/>
    <n v="0"/>
    <n v="0"/>
    <n v="0"/>
    <n v="0"/>
    <n v="0"/>
    <n v="0"/>
    <n v="0"/>
    <n v="0"/>
    <s v="MMR012CMP048"/>
    <x v="0"/>
    <m/>
  </r>
  <r>
    <n v="32.733333333333334"/>
    <x v="3"/>
    <x v="107"/>
    <x v="2"/>
    <s v="UNHCR"/>
    <x v="0"/>
    <x v="2"/>
    <s v="Koe Tan Kauk"/>
    <n v="0"/>
    <m/>
    <m/>
    <n v="0"/>
    <n v="0"/>
    <n v="0"/>
    <n v="217"/>
    <n v="0"/>
    <n v="0"/>
    <n v="0"/>
    <n v="0"/>
    <n v="0"/>
    <n v="0"/>
    <m/>
    <m/>
    <m/>
    <m/>
    <m/>
    <m/>
    <m/>
    <n v="0"/>
    <n v="0"/>
    <n v="0"/>
    <n v="0"/>
    <n v="0"/>
    <n v="0"/>
    <n v="0"/>
    <n v="0"/>
    <n v="0"/>
    <n v="0"/>
    <n v="0"/>
    <n v="0"/>
    <n v="0"/>
    <n v="0"/>
    <n v="0"/>
    <s v=""/>
    <x v="1"/>
    <m/>
  </r>
  <r>
    <n v="32.733333333333334"/>
    <x v="3"/>
    <x v="107"/>
    <x v="2"/>
    <s v="UNHCR"/>
    <x v="0"/>
    <x v="2"/>
    <s v="Chein Khar Li"/>
    <n v="0"/>
    <m/>
    <m/>
    <n v="0"/>
    <n v="0"/>
    <n v="0"/>
    <n v="167"/>
    <n v="0"/>
    <n v="0"/>
    <n v="0"/>
    <n v="0"/>
    <n v="0"/>
    <n v="0"/>
    <m/>
    <m/>
    <m/>
    <m/>
    <m/>
    <m/>
    <m/>
    <n v="0"/>
    <n v="0"/>
    <n v="0"/>
    <n v="0"/>
    <n v="0"/>
    <n v="0"/>
    <n v="0"/>
    <n v="0"/>
    <n v="0"/>
    <n v="0"/>
    <n v="0"/>
    <n v="0"/>
    <n v="0"/>
    <n v="0"/>
    <n v="0"/>
    <s v=""/>
    <x v="1"/>
    <m/>
  </r>
  <r>
    <n v="33.200000000000003"/>
    <x v="3"/>
    <x v="108"/>
    <x v="2"/>
    <s v="Save the Children"/>
    <x v="0"/>
    <x v="0"/>
    <s v="Maw Ti Ngar"/>
    <m/>
    <m/>
    <m/>
    <n v="624"/>
    <m/>
    <n v="1248"/>
    <n v="624"/>
    <n v="1248"/>
    <n v="624"/>
    <m/>
    <n v="624"/>
    <n v="624"/>
    <n v="3120"/>
    <m/>
    <m/>
    <m/>
    <m/>
    <m/>
    <m/>
    <m/>
    <n v="0"/>
    <n v="0"/>
    <n v="0"/>
    <n v="0"/>
    <n v="0"/>
    <n v="0"/>
    <n v="0"/>
    <n v="0"/>
    <n v="0"/>
    <n v="0"/>
    <n v="0"/>
    <n v="0"/>
    <n v="0"/>
    <n v="0"/>
    <n v="0"/>
    <s v="MMR012CMP092"/>
    <x v="0"/>
    <m/>
  </r>
  <r>
    <n v="33.633333333333333"/>
    <x v="3"/>
    <x v="109"/>
    <x v="2"/>
    <s v="UNHCR"/>
    <x v="0"/>
    <x v="3"/>
    <s v="Yun Nyar"/>
    <m/>
    <m/>
    <m/>
    <m/>
    <m/>
    <m/>
    <n v="112"/>
    <m/>
    <m/>
    <m/>
    <m/>
    <m/>
    <m/>
    <m/>
    <m/>
    <m/>
    <m/>
    <m/>
    <m/>
    <m/>
    <n v="0"/>
    <n v="0"/>
    <n v="0"/>
    <n v="0"/>
    <n v="0"/>
    <n v="0"/>
    <n v="0"/>
    <n v="0"/>
    <n v="0"/>
    <n v="0"/>
    <n v="0"/>
    <n v="0"/>
    <n v="0"/>
    <n v="0"/>
    <n v="0"/>
    <s v="MMR012CMP028"/>
    <x v="3"/>
    <m/>
  </r>
  <r>
    <n v="33.633333333333333"/>
    <x v="3"/>
    <x v="109"/>
    <x v="2"/>
    <s v="UNHCR"/>
    <x v="0"/>
    <x v="3"/>
    <s v="Shwe Hlaing"/>
    <m/>
    <m/>
    <m/>
    <m/>
    <m/>
    <m/>
    <n v="138"/>
    <m/>
    <m/>
    <m/>
    <m/>
    <m/>
    <m/>
    <m/>
    <m/>
    <m/>
    <m/>
    <m/>
    <m/>
    <m/>
    <n v="0"/>
    <n v="0"/>
    <n v="0"/>
    <n v="0"/>
    <n v="0"/>
    <n v="0"/>
    <n v="0"/>
    <n v="0"/>
    <n v="0"/>
    <n v="0"/>
    <n v="0"/>
    <n v="0"/>
    <n v="0"/>
    <n v="0"/>
    <n v="0"/>
    <s v="MMR012CMP029"/>
    <x v="3"/>
    <m/>
  </r>
  <r>
    <n v="33.666666666666664"/>
    <x v="3"/>
    <x v="110"/>
    <x v="2"/>
    <s v="UNHCR"/>
    <x v="0"/>
    <x v="3"/>
    <s v="Nidin"/>
    <m/>
    <m/>
    <m/>
    <m/>
    <m/>
    <m/>
    <n v="85"/>
    <m/>
    <m/>
    <m/>
    <m/>
    <m/>
    <m/>
    <m/>
    <m/>
    <m/>
    <m/>
    <m/>
    <m/>
    <m/>
    <n v="0"/>
    <n v="0"/>
    <n v="0"/>
    <n v="0"/>
    <n v="0"/>
    <n v="0"/>
    <n v="0"/>
    <n v="0"/>
    <n v="0"/>
    <n v="0"/>
    <n v="0"/>
    <n v="0"/>
    <n v="0"/>
    <n v="0"/>
    <n v="0"/>
    <s v="MMR012CMP023"/>
    <x v="0"/>
    <m/>
  </r>
  <r>
    <n v="33.666666666666664"/>
    <x v="3"/>
    <x v="110"/>
    <x v="2"/>
    <s v="UNHCR"/>
    <x v="0"/>
    <x v="3"/>
    <s v="Khaung Htoke"/>
    <m/>
    <m/>
    <m/>
    <m/>
    <m/>
    <m/>
    <n v="97"/>
    <m/>
    <m/>
    <m/>
    <m/>
    <m/>
    <m/>
    <m/>
    <m/>
    <m/>
    <m/>
    <m/>
    <m/>
    <m/>
    <n v="0"/>
    <n v="0"/>
    <n v="0"/>
    <n v="0"/>
    <n v="0"/>
    <n v="0"/>
    <n v="0"/>
    <n v="0"/>
    <n v="0"/>
    <n v="0"/>
    <n v="0"/>
    <n v="0"/>
    <n v="0"/>
    <n v="0"/>
    <n v="0"/>
    <s v="MMR012CMP030"/>
    <x v="2"/>
    <m/>
  </r>
  <r>
    <n v="33.700000000000003"/>
    <x v="3"/>
    <x v="111"/>
    <x v="2"/>
    <s v="UNHCR"/>
    <x v="0"/>
    <x v="3"/>
    <s v="In Bar Yi"/>
    <m/>
    <m/>
    <m/>
    <m/>
    <m/>
    <m/>
    <n v="236"/>
    <m/>
    <m/>
    <m/>
    <m/>
    <m/>
    <m/>
    <m/>
    <m/>
    <m/>
    <m/>
    <m/>
    <m/>
    <m/>
    <n v="0"/>
    <n v="0"/>
    <n v="0"/>
    <n v="0"/>
    <n v="0"/>
    <n v="0"/>
    <n v="0"/>
    <n v="0"/>
    <n v="0"/>
    <n v="0"/>
    <n v="0"/>
    <n v="0"/>
    <n v="0"/>
    <n v="0"/>
    <n v="0"/>
    <s v="MMR012CMP026"/>
    <x v="3"/>
    <m/>
  </r>
  <r>
    <n v="33.700000000000003"/>
    <x v="3"/>
    <x v="111"/>
    <x v="2"/>
    <s v="UNHCR"/>
    <x v="0"/>
    <x v="3"/>
    <s v="Ah Pauk Wa "/>
    <m/>
    <m/>
    <m/>
    <m/>
    <m/>
    <m/>
    <n v="92"/>
    <m/>
    <m/>
    <m/>
    <m/>
    <m/>
    <m/>
    <m/>
    <m/>
    <m/>
    <m/>
    <m/>
    <m/>
    <m/>
    <n v="0"/>
    <n v="0"/>
    <n v="0"/>
    <n v="0"/>
    <n v="0"/>
    <n v="0"/>
    <n v="0"/>
    <n v="0"/>
    <n v="0"/>
    <n v="0"/>
    <n v="0"/>
    <n v="0"/>
    <n v="0"/>
    <n v="0"/>
    <n v="0"/>
    <s v="MMR012CMP024"/>
    <x v="3"/>
    <m/>
  </r>
  <r>
    <n v="33.700000000000003"/>
    <x v="3"/>
    <x v="111"/>
    <x v="2"/>
    <s v="UNHCR"/>
    <x v="0"/>
    <x v="3"/>
    <s v="Goke Pi Htaunt"/>
    <m/>
    <m/>
    <m/>
    <m/>
    <m/>
    <m/>
    <n v="116"/>
    <m/>
    <m/>
    <m/>
    <m/>
    <m/>
    <m/>
    <m/>
    <m/>
    <m/>
    <m/>
    <m/>
    <m/>
    <m/>
    <n v="0"/>
    <n v="0"/>
    <n v="0"/>
    <n v="0"/>
    <n v="0"/>
    <n v="0"/>
    <n v="0"/>
    <n v="0"/>
    <n v="0"/>
    <n v="0"/>
    <n v="0"/>
    <n v="0"/>
    <n v="0"/>
    <n v="0"/>
    <n v="0"/>
    <s v="MMR012CMP027"/>
    <x v="3"/>
    <m/>
  </r>
  <r>
    <n v="33.733333333333334"/>
    <x v="3"/>
    <x v="112"/>
    <x v="2"/>
    <s v="UNHCR"/>
    <x v="0"/>
    <x v="6"/>
    <s v="Tha Dar"/>
    <m/>
    <m/>
    <m/>
    <m/>
    <m/>
    <m/>
    <n v="16"/>
    <m/>
    <m/>
    <m/>
    <m/>
    <m/>
    <m/>
    <m/>
    <m/>
    <m/>
    <m/>
    <m/>
    <m/>
    <m/>
    <n v="0"/>
    <n v="0"/>
    <n v="0"/>
    <n v="0"/>
    <n v="0"/>
    <n v="0"/>
    <n v="0"/>
    <n v="0"/>
    <n v="0"/>
    <n v="0"/>
    <n v="0"/>
    <n v="0"/>
    <n v="0"/>
    <n v="0"/>
    <n v="0"/>
    <s v="MMR012CMP002"/>
    <x v="3"/>
    <m/>
  </r>
  <r>
    <n v="34"/>
    <x v="3"/>
    <x v="113"/>
    <x v="2"/>
    <s v="CFSI"/>
    <x v="0"/>
    <x v="2"/>
    <s v="Koe Tan Kauk"/>
    <n v="0"/>
    <m/>
    <m/>
    <n v="0"/>
    <n v="0"/>
    <n v="0"/>
    <n v="10"/>
    <n v="0"/>
    <n v="0"/>
    <n v="0"/>
    <n v="0"/>
    <n v="0"/>
    <n v="0"/>
    <m/>
    <m/>
    <m/>
    <m/>
    <m/>
    <m/>
    <m/>
    <n v="0"/>
    <n v="0"/>
    <n v="0"/>
    <n v="0"/>
    <n v="0"/>
    <n v="0"/>
    <n v="0"/>
    <n v="0"/>
    <n v="0"/>
    <n v="0"/>
    <n v="0"/>
    <n v="0"/>
    <n v="0"/>
    <n v="0"/>
    <n v="0"/>
    <s v=""/>
    <x v="1"/>
    <m/>
  </r>
  <r>
    <n v="34"/>
    <x v="3"/>
    <x v="113"/>
    <x v="2"/>
    <s v="CFSI"/>
    <x v="0"/>
    <x v="2"/>
    <s v="Chein Khar Li"/>
    <n v="0"/>
    <m/>
    <m/>
    <n v="0"/>
    <n v="0"/>
    <n v="0"/>
    <n v="20"/>
    <n v="0"/>
    <n v="0"/>
    <n v="0"/>
    <n v="0"/>
    <n v="0"/>
    <n v="0"/>
    <m/>
    <m/>
    <m/>
    <m/>
    <m/>
    <m/>
    <m/>
    <n v="0"/>
    <n v="0"/>
    <n v="0"/>
    <n v="0"/>
    <n v="0"/>
    <n v="0"/>
    <n v="0"/>
    <n v="0"/>
    <n v="0"/>
    <n v="0"/>
    <n v="0"/>
    <n v="0"/>
    <n v="0"/>
    <n v="0"/>
    <n v="0"/>
    <s v=""/>
    <x v="1"/>
    <m/>
  </r>
  <r>
    <n v="34"/>
    <x v="3"/>
    <x v="113"/>
    <x v="2"/>
    <s v="CFSI"/>
    <x v="0"/>
    <x v="2"/>
    <s v="Ah Htet Nan Yar"/>
    <n v="0"/>
    <m/>
    <m/>
    <n v="0"/>
    <n v="0"/>
    <n v="0"/>
    <n v="10"/>
    <n v="0"/>
    <n v="0"/>
    <n v="0"/>
    <n v="0"/>
    <n v="0"/>
    <n v="0"/>
    <m/>
    <m/>
    <m/>
    <m/>
    <m/>
    <m/>
    <m/>
    <n v="0"/>
    <n v="0"/>
    <n v="0"/>
    <n v="0"/>
    <n v="0"/>
    <n v="0"/>
    <n v="0"/>
    <n v="0"/>
    <n v="0"/>
    <n v="0"/>
    <n v="0"/>
    <n v="0"/>
    <n v="0"/>
    <n v="0"/>
    <n v="0"/>
    <s v=""/>
    <x v="1"/>
    <m/>
  </r>
  <r>
    <n v="34.133333333333333"/>
    <x v="3"/>
    <x v="114"/>
    <x v="2"/>
    <s v="UNHCR"/>
    <x v="0"/>
    <x v="6"/>
    <s v="Tha Dar"/>
    <m/>
    <m/>
    <m/>
    <m/>
    <m/>
    <m/>
    <n v="187"/>
    <m/>
    <m/>
    <m/>
    <m/>
    <m/>
    <m/>
    <m/>
    <m/>
    <m/>
    <m/>
    <m/>
    <m/>
    <m/>
    <n v="0"/>
    <n v="0"/>
    <n v="0"/>
    <n v="0"/>
    <n v="0"/>
    <n v="0"/>
    <n v="0"/>
    <n v="0"/>
    <n v="0"/>
    <n v="0"/>
    <n v="0"/>
    <n v="0"/>
    <n v="0"/>
    <n v="0"/>
    <n v="0"/>
    <s v="MMR012CMP002"/>
    <x v="3"/>
    <m/>
  </r>
  <r>
    <n v="34.133333333333333"/>
    <x v="3"/>
    <x v="114"/>
    <x v="2"/>
    <s v="UNHCR"/>
    <x v="0"/>
    <x v="6"/>
    <s v="San Htoe Tan"/>
    <m/>
    <m/>
    <m/>
    <m/>
    <m/>
    <m/>
    <n v="90"/>
    <m/>
    <m/>
    <m/>
    <m/>
    <m/>
    <m/>
    <m/>
    <m/>
    <m/>
    <m/>
    <m/>
    <m/>
    <m/>
    <n v="0"/>
    <n v="0"/>
    <n v="0"/>
    <n v="0"/>
    <n v="0"/>
    <n v="0"/>
    <n v="0"/>
    <n v="0"/>
    <n v="0"/>
    <n v="0"/>
    <n v="0"/>
    <n v="0"/>
    <n v="0"/>
    <n v="0"/>
    <n v="0"/>
    <s v="MMR012CMP003"/>
    <x v="3"/>
    <m/>
  </r>
  <r>
    <n v="34.133333333333333"/>
    <x v="3"/>
    <x v="114"/>
    <x v="2"/>
    <s v="UNHCR"/>
    <x v="0"/>
    <x v="6"/>
    <s v="Aung Taing"/>
    <m/>
    <m/>
    <m/>
    <m/>
    <m/>
    <m/>
    <n v="86"/>
    <m/>
    <m/>
    <m/>
    <m/>
    <m/>
    <m/>
    <m/>
    <m/>
    <m/>
    <m/>
    <m/>
    <m/>
    <m/>
    <n v="0"/>
    <n v="0"/>
    <n v="0"/>
    <n v="0"/>
    <n v="0"/>
    <n v="0"/>
    <n v="0"/>
    <n v="0"/>
    <n v="0"/>
    <n v="0"/>
    <n v="0"/>
    <n v="0"/>
    <n v="0"/>
    <n v="0"/>
    <n v="0"/>
    <s v="MMR012CMP006"/>
    <x v="3"/>
    <m/>
  </r>
  <r>
    <n v="34.133333333333333"/>
    <x v="3"/>
    <x v="114"/>
    <x v="2"/>
    <s v="UNHCR"/>
    <x v="0"/>
    <x v="6"/>
    <s v="Sam Ba Le"/>
    <m/>
    <m/>
    <m/>
    <m/>
    <m/>
    <m/>
    <n v="225"/>
    <m/>
    <m/>
    <m/>
    <m/>
    <m/>
    <m/>
    <m/>
    <m/>
    <m/>
    <m/>
    <m/>
    <m/>
    <m/>
    <n v="0"/>
    <n v="0"/>
    <n v="0"/>
    <n v="0"/>
    <n v="0"/>
    <n v="0"/>
    <n v="0"/>
    <n v="0"/>
    <n v="0"/>
    <n v="0"/>
    <n v="0"/>
    <n v="0"/>
    <n v="0"/>
    <n v="0"/>
    <n v="0"/>
    <s v="MMR012CMP008"/>
    <x v="3"/>
    <m/>
  </r>
  <r>
    <n v="34.166666666666664"/>
    <x v="3"/>
    <x v="115"/>
    <x v="2"/>
    <s v="UNHCR"/>
    <x v="0"/>
    <x v="7"/>
    <s v="Pa Rein"/>
    <m/>
    <m/>
    <m/>
    <m/>
    <m/>
    <m/>
    <n v="56"/>
    <m/>
    <m/>
    <m/>
    <m/>
    <m/>
    <m/>
    <m/>
    <m/>
    <m/>
    <m/>
    <m/>
    <m/>
    <m/>
    <n v="0"/>
    <n v="0"/>
    <n v="0"/>
    <n v="0"/>
    <n v="0"/>
    <n v="0"/>
    <n v="0"/>
    <n v="0"/>
    <n v="0"/>
    <n v="0"/>
    <n v="0"/>
    <n v="0"/>
    <n v="0"/>
    <n v="0"/>
    <n v="0"/>
    <s v="MMR012CMP009"/>
    <x v="3"/>
    <m/>
  </r>
  <r>
    <n v="34.166666666666664"/>
    <x v="3"/>
    <x v="115"/>
    <x v="2"/>
    <s v="UNHCR"/>
    <x v="0"/>
    <x v="7"/>
    <s v="Yai Thei-Muslim"/>
    <m/>
    <m/>
    <m/>
    <m/>
    <m/>
    <m/>
    <n v="55"/>
    <m/>
    <m/>
    <m/>
    <m/>
    <m/>
    <m/>
    <m/>
    <m/>
    <m/>
    <m/>
    <m/>
    <m/>
    <m/>
    <n v="0"/>
    <n v="0"/>
    <n v="0"/>
    <n v="0"/>
    <n v="0"/>
    <n v="0"/>
    <n v="0"/>
    <n v="0"/>
    <n v="0"/>
    <n v="0"/>
    <n v="0"/>
    <n v="0"/>
    <n v="0"/>
    <n v="0"/>
    <n v="0"/>
    <s v="MMR012CMP010"/>
    <x v="3"/>
    <m/>
  </r>
  <r>
    <n v="34.166666666666664"/>
    <x v="3"/>
    <x v="115"/>
    <x v="2"/>
    <s v="UNHCR"/>
    <x v="0"/>
    <x v="6"/>
    <s v="Tha Yet Oak"/>
    <m/>
    <m/>
    <m/>
    <m/>
    <m/>
    <m/>
    <n v="275"/>
    <m/>
    <m/>
    <m/>
    <m/>
    <m/>
    <m/>
    <m/>
    <m/>
    <m/>
    <m/>
    <m/>
    <m/>
    <m/>
    <n v="0"/>
    <n v="0"/>
    <n v="0"/>
    <n v="0"/>
    <n v="0"/>
    <n v="0"/>
    <n v="0"/>
    <n v="0"/>
    <n v="0"/>
    <n v="0"/>
    <n v="0"/>
    <n v="0"/>
    <n v="0"/>
    <n v="0"/>
    <n v="0"/>
    <s v="MMR012CMP005"/>
    <x v="3"/>
    <m/>
  </r>
  <r>
    <n v="34.866666666666667"/>
    <x v="3"/>
    <x v="116"/>
    <x v="2"/>
    <s v="DRC"/>
    <x v="0"/>
    <x v="0"/>
    <s v="Ohn Taw Chay"/>
    <n v="0"/>
    <m/>
    <m/>
    <n v="140"/>
    <n v="0"/>
    <n v="1298"/>
    <n v="649"/>
    <n v="1298"/>
    <n v="649"/>
    <n v="509"/>
    <n v="649"/>
    <n v="649"/>
    <n v="3245"/>
    <m/>
    <m/>
    <m/>
    <m/>
    <m/>
    <m/>
    <m/>
    <n v="0"/>
    <n v="0"/>
    <n v="0"/>
    <n v="0"/>
    <n v="0"/>
    <n v="0"/>
    <n v="0"/>
    <n v="0"/>
    <n v="0"/>
    <n v="0"/>
    <n v="0"/>
    <n v="0"/>
    <n v="0"/>
    <n v="0"/>
    <n v="0"/>
    <s v="MMR012CMP098"/>
    <x v="0"/>
    <m/>
  </r>
  <r>
    <n v="35.133333333333333"/>
    <x v="3"/>
    <x v="117"/>
    <x v="2"/>
    <s v="Save the Children"/>
    <x v="0"/>
    <x v="0"/>
    <s v="Sat Roe Kya 1"/>
    <n v="0"/>
    <m/>
    <m/>
    <m/>
    <n v="0"/>
    <n v="498"/>
    <n v="249"/>
    <n v="498"/>
    <n v="249"/>
    <n v="0"/>
    <n v="249"/>
    <n v="249"/>
    <n v="1245"/>
    <m/>
    <m/>
    <m/>
    <m/>
    <m/>
    <m/>
    <m/>
    <n v="0"/>
    <n v="0"/>
    <n v="0"/>
    <n v="0"/>
    <n v="0"/>
    <n v="0"/>
    <n v="0"/>
    <n v="0"/>
    <n v="0"/>
    <n v="0"/>
    <n v="0"/>
    <n v="0"/>
    <n v="0"/>
    <n v="0"/>
    <n v="0"/>
    <s v="MMR012CMP111"/>
    <x v="2"/>
    <m/>
  </r>
  <r>
    <n v="35.299999999999997"/>
    <x v="3"/>
    <x v="118"/>
    <x v="2"/>
    <s v="LWF"/>
    <x v="0"/>
    <x v="0"/>
    <s v="Thae Chaung"/>
    <m/>
    <m/>
    <m/>
    <n v="2145"/>
    <m/>
    <n v="4290"/>
    <n v="2145"/>
    <n v="4290"/>
    <n v="2145"/>
    <m/>
    <n v="2145"/>
    <n v="2145"/>
    <n v="10725"/>
    <m/>
    <m/>
    <m/>
    <m/>
    <m/>
    <m/>
    <m/>
    <n v="0"/>
    <n v="0"/>
    <n v="0"/>
    <n v="0"/>
    <n v="0"/>
    <n v="0"/>
    <n v="0"/>
    <n v="0"/>
    <n v="0"/>
    <n v="0"/>
    <n v="0"/>
    <n v="0"/>
    <n v="0"/>
    <n v="0"/>
    <n v="0"/>
    <s v="MMR012CMP046"/>
    <x v="0"/>
    <m/>
  </r>
  <r>
    <n v="35.333333333333336"/>
    <x v="3"/>
    <x v="119"/>
    <x v="7"/>
    <s v="DRC"/>
    <x v="0"/>
    <x v="0"/>
    <s v="Dar Pai"/>
    <n v="0"/>
    <m/>
    <m/>
    <n v="1364"/>
    <n v="0"/>
    <n v="2728"/>
    <n v="1364"/>
    <n v="2728"/>
    <n v="1364"/>
    <n v="0"/>
    <n v="1364"/>
    <n v="1364"/>
    <n v="6820"/>
    <m/>
    <m/>
    <m/>
    <m/>
    <m/>
    <m/>
    <m/>
    <n v="0"/>
    <n v="0"/>
    <n v="0"/>
    <n v="0"/>
    <n v="0"/>
    <n v="0"/>
    <n v="0"/>
    <n v="0"/>
    <n v="0"/>
    <n v="0"/>
    <n v="0"/>
    <n v="0"/>
    <n v="0"/>
    <n v="0"/>
    <n v="0"/>
    <s v="MMR012CMP041"/>
    <x v="0"/>
    <m/>
  </r>
  <r>
    <n v="35.366666666666667"/>
    <x v="3"/>
    <x v="120"/>
    <x v="2"/>
    <s v="UNHCR"/>
    <x v="0"/>
    <x v="2"/>
    <s v="Chein Khar Li"/>
    <n v="0"/>
    <m/>
    <m/>
    <n v="7"/>
    <n v="7"/>
    <n v="14"/>
    <n v="5"/>
    <n v="14"/>
    <n v="5"/>
    <n v="0"/>
    <n v="7"/>
    <n v="7"/>
    <n v="21"/>
    <m/>
    <m/>
    <m/>
    <m/>
    <m/>
    <m/>
    <m/>
    <n v="0"/>
    <n v="0"/>
    <n v="0"/>
    <n v="0"/>
    <n v="0"/>
    <n v="0"/>
    <n v="0"/>
    <n v="0"/>
    <n v="0"/>
    <n v="0"/>
    <n v="0"/>
    <n v="0"/>
    <n v="0"/>
    <n v="0"/>
    <n v="0"/>
    <s v=""/>
    <x v="1"/>
    <m/>
  </r>
  <r>
    <n v="35.633333333333333"/>
    <x v="3"/>
    <x v="121"/>
    <x v="2"/>
    <s v="UNHCR"/>
    <x v="0"/>
    <x v="0"/>
    <s v="Sat Roe Kya 2"/>
    <n v="0"/>
    <m/>
    <m/>
    <m/>
    <n v="0"/>
    <n v="836"/>
    <n v="418"/>
    <n v="836"/>
    <n v="418"/>
    <n v="0"/>
    <n v="418"/>
    <n v="418"/>
    <n v="2090"/>
    <m/>
    <m/>
    <m/>
    <m/>
    <m/>
    <m/>
    <m/>
    <n v="0"/>
    <n v="0"/>
    <n v="0"/>
    <n v="0"/>
    <n v="0"/>
    <n v="0"/>
    <n v="0"/>
    <n v="0"/>
    <n v="0"/>
    <n v="0"/>
    <n v="0"/>
    <n v="0"/>
    <n v="0"/>
    <n v="0"/>
    <n v="0"/>
    <s v="MMR012CMP112"/>
    <x v="2"/>
    <m/>
  </r>
  <r>
    <n v="35.633333333333333"/>
    <x v="3"/>
    <x v="121"/>
    <x v="2"/>
    <s v="LWF"/>
    <x v="0"/>
    <x v="0"/>
    <s v="Set Yone Su"/>
    <m/>
    <m/>
    <m/>
    <n v="72"/>
    <m/>
    <n v="144"/>
    <n v="72"/>
    <n v="144"/>
    <n v="72"/>
    <m/>
    <n v="72"/>
    <n v="72"/>
    <n v="360"/>
    <m/>
    <m/>
    <m/>
    <m/>
    <m/>
    <m/>
    <m/>
    <n v="0"/>
    <n v="0"/>
    <n v="0"/>
    <n v="0"/>
    <n v="0"/>
    <n v="0"/>
    <n v="0"/>
    <n v="0"/>
    <n v="0"/>
    <n v="0"/>
    <n v="0"/>
    <n v="0"/>
    <n v="0"/>
    <n v="0"/>
    <n v="0"/>
    <s v="MMR012CMP056"/>
    <x v="2"/>
    <m/>
  </r>
  <r>
    <n v="35.633333333333333"/>
    <x v="3"/>
    <x v="121"/>
    <x v="2"/>
    <s v="LWF"/>
    <x v="0"/>
    <x v="0"/>
    <s v="Set Yone Su 3"/>
    <m/>
    <m/>
    <m/>
    <n v="151"/>
    <m/>
    <n v="302"/>
    <n v="151"/>
    <n v="302"/>
    <n v="151"/>
    <m/>
    <n v="151"/>
    <n v="151"/>
    <n v="755"/>
    <m/>
    <m/>
    <m/>
    <m/>
    <m/>
    <m/>
    <m/>
    <n v="0"/>
    <n v="0"/>
    <n v="0"/>
    <n v="0"/>
    <n v="0"/>
    <n v="0"/>
    <n v="0"/>
    <n v="0"/>
    <n v="0"/>
    <n v="0"/>
    <n v="0"/>
    <n v="0"/>
    <n v="0"/>
    <n v="0"/>
    <n v="0"/>
    <s v=""/>
    <x v="1"/>
    <m/>
  </r>
  <r>
    <n v="37.06666666666667"/>
    <x v="3"/>
    <x v="122"/>
    <x v="20"/>
    <s v="Save the Children"/>
    <x v="0"/>
    <x v="0"/>
    <s v="Thet Kae Pyin "/>
    <n v="1020"/>
    <m/>
    <m/>
    <m/>
    <m/>
    <m/>
    <m/>
    <m/>
    <m/>
    <m/>
    <m/>
    <m/>
    <m/>
    <m/>
    <m/>
    <m/>
    <m/>
    <m/>
    <m/>
    <m/>
    <n v="0"/>
    <n v="0"/>
    <n v="0"/>
    <n v="0"/>
    <n v="0"/>
    <n v="0"/>
    <n v="0"/>
    <n v="0"/>
    <n v="0"/>
    <n v="0"/>
    <n v="0"/>
    <n v="0"/>
    <n v="0"/>
    <n v="0"/>
    <n v="0"/>
    <s v="MMR012CMP048"/>
    <x v="0"/>
    <m/>
  </r>
  <r>
    <n v="37.4"/>
    <x v="3"/>
    <x v="123"/>
    <x v="2"/>
    <s v="UNHCR"/>
    <x v="0"/>
    <x v="8"/>
    <s v="Bomu Ywa"/>
    <n v="0"/>
    <m/>
    <m/>
    <n v="43"/>
    <n v="43"/>
    <n v="86"/>
    <n v="0"/>
    <n v="86"/>
    <n v="33"/>
    <n v="0"/>
    <n v="43"/>
    <n v="43"/>
    <n v="165"/>
    <m/>
    <m/>
    <m/>
    <m/>
    <m/>
    <m/>
    <m/>
    <n v="0"/>
    <n v="0"/>
    <n v="0"/>
    <n v="0"/>
    <n v="0"/>
    <n v="0"/>
    <n v="0"/>
    <n v="0"/>
    <n v="0"/>
    <n v="0"/>
    <n v="0"/>
    <n v="0"/>
    <n v="0"/>
    <n v="0"/>
    <n v="0"/>
    <s v=""/>
    <x v="1"/>
    <m/>
  </r>
  <r>
    <n v="37.533333333333331"/>
    <x v="3"/>
    <x v="124"/>
    <x v="12"/>
    <s v="RI"/>
    <x v="0"/>
    <x v="4"/>
    <s v="Kan Thar Htwat Wa"/>
    <n v="42"/>
    <m/>
    <m/>
    <m/>
    <m/>
    <m/>
    <m/>
    <m/>
    <m/>
    <m/>
    <m/>
    <m/>
    <m/>
    <m/>
    <m/>
    <m/>
    <m/>
    <m/>
    <m/>
    <m/>
    <n v="0"/>
    <n v="0"/>
    <n v="0"/>
    <n v="0"/>
    <n v="0"/>
    <n v="0"/>
    <n v="0"/>
    <n v="0"/>
    <n v="0"/>
    <n v="0"/>
    <n v="0"/>
    <n v="0"/>
    <n v="0"/>
    <n v="0"/>
    <n v="0"/>
    <s v="MMR012CMP013"/>
    <x v="2"/>
    <m/>
  </r>
  <r>
    <n v="37.533333333333331"/>
    <x v="3"/>
    <x v="124"/>
    <x v="12"/>
    <s v="RI"/>
    <x v="0"/>
    <x v="4"/>
    <s v="Taung Paw "/>
    <n v="682"/>
    <m/>
    <m/>
    <m/>
    <m/>
    <m/>
    <m/>
    <m/>
    <m/>
    <m/>
    <m/>
    <m/>
    <m/>
    <m/>
    <m/>
    <m/>
    <m/>
    <m/>
    <m/>
    <m/>
    <n v="0"/>
    <n v="0"/>
    <n v="0"/>
    <n v="0"/>
    <n v="0"/>
    <n v="0"/>
    <n v="0"/>
    <n v="0"/>
    <n v="0"/>
    <n v="0"/>
    <n v="0"/>
    <n v="0"/>
    <n v="0"/>
    <n v="0"/>
    <n v="0"/>
    <s v="MMR012CMP014"/>
    <x v="0"/>
    <m/>
  </r>
  <r>
    <n v="37.833333333333336"/>
    <x v="3"/>
    <x v="125"/>
    <x v="9"/>
    <s v="CDN"/>
    <x v="0"/>
    <x v="0"/>
    <s v="Sat Roe Kya 1"/>
    <n v="249"/>
    <m/>
    <m/>
    <m/>
    <m/>
    <m/>
    <m/>
    <m/>
    <m/>
    <m/>
    <m/>
    <m/>
    <m/>
    <m/>
    <m/>
    <m/>
    <m/>
    <m/>
    <m/>
    <m/>
    <n v="0"/>
    <n v="0"/>
    <n v="0"/>
    <n v="0"/>
    <n v="0"/>
    <n v="0"/>
    <n v="0"/>
    <n v="0"/>
    <n v="0"/>
    <n v="0"/>
    <n v="0"/>
    <n v="0"/>
    <n v="0"/>
    <n v="0"/>
    <n v="0"/>
    <s v="MMR012CMP111"/>
    <x v="2"/>
    <m/>
  </r>
  <r>
    <n v="38.466666666666669"/>
    <x v="3"/>
    <x v="126"/>
    <x v="12"/>
    <s v="RI"/>
    <x v="0"/>
    <x v="4"/>
    <s v="Kan Thar Htwat Wa"/>
    <n v="42"/>
    <m/>
    <m/>
    <m/>
    <m/>
    <m/>
    <m/>
    <m/>
    <m/>
    <m/>
    <m/>
    <m/>
    <m/>
    <m/>
    <m/>
    <m/>
    <m/>
    <m/>
    <m/>
    <m/>
    <n v="0"/>
    <n v="0"/>
    <n v="0"/>
    <n v="0"/>
    <n v="0"/>
    <n v="0"/>
    <n v="0"/>
    <n v="0"/>
    <n v="0"/>
    <n v="0"/>
    <n v="0"/>
    <n v="0"/>
    <n v="0"/>
    <n v="0"/>
    <n v="0"/>
    <s v="MMR012CMP013"/>
    <x v="2"/>
    <m/>
  </r>
  <r>
    <n v="38.466666666666669"/>
    <x v="3"/>
    <x v="126"/>
    <x v="12"/>
    <s v="RI"/>
    <x v="0"/>
    <x v="4"/>
    <s v="Taung Paw "/>
    <n v="682"/>
    <m/>
    <m/>
    <m/>
    <m/>
    <m/>
    <m/>
    <m/>
    <m/>
    <m/>
    <m/>
    <m/>
    <m/>
    <m/>
    <m/>
    <m/>
    <m/>
    <m/>
    <m/>
    <m/>
    <n v="0"/>
    <n v="0"/>
    <n v="0"/>
    <n v="0"/>
    <n v="0"/>
    <n v="0"/>
    <n v="0"/>
    <n v="0"/>
    <n v="0"/>
    <n v="0"/>
    <n v="0"/>
    <n v="0"/>
    <n v="0"/>
    <n v="0"/>
    <n v="0"/>
    <s v="MMR012CMP014"/>
    <x v="0"/>
    <m/>
  </r>
  <r>
    <n v="38.56666666666667"/>
    <x v="3"/>
    <x v="127"/>
    <x v="2"/>
    <s v="UNHCR"/>
    <x v="0"/>
    <x v="1"/>
    <s v="Kyein Ni Pyin"/>
    <m/>
    <m/>
    <m/>
    <n v="101"/>
    <m/>
    <n v="1888"/>
    <n v="944"/>
    <n v="1888"/>
    <n v="944"/>
    <m/>
    <n v="944"/>
    <n v="944"/>
    <n v="4720"/>
    <m/>
    <m/>
    <m/>
    <m/>
    <m/>
    <m/>
    <m/>
    <n v="0"/>
    <n v="0"/>
    <n v="0"/>
    <n v="0"/>
    <n v="0"/>
    <n v="0"/>
    <n v="0"/>
    <n v="0"/>
    <n v="0"/>
    <n v="0"/>
    <n v="0"/>
    <n v="0"/>
    <n v="0"/>
    <n v="0"/>
    <n v="0"/>
    <s v="MMR012CMP018"/>
    <x v="0"/>
    <m/>
  </r>
  <r>
    <n v="38.833333333333336"/>
    <x v="3"/>
    <x v="128"/>
    <x v="2"/>
    <s v="UNHCR"/>
    <x v="0"/>
    <x v="2"/>
    <s v="Chein Khar Li"/>
    <n v="0"/>
    <m/>
    <m/>
    <n v="0"/>
    <n v="0"/>
    <n v="0"/>
    <n v="0"/>
    <n v="700"/>
    <n v="0"/>
    <n v="0"/>
    <n v="350"/>
    <n v="0"/>
    <n v="1120"/>
    <m/>
    <m/>
    <m/>
    <m/>
    <m/>
    <m/>
    <m/>
    <n v="0"/>
    <n v="0"/>
    <n v="0"/>
    <n v="0"/>
    <n v="0"/>
    <n v="0"/>
    <n v="0"/>
    <n v="0"/>
    <n v="0"/>
    <n v="0"/>
    <n v="0"/>
    <n v="0"/>
    <n v="0"/>
    <n v="0"/>
    <n v="0"/>
    <s v=""/>
    <x v="1"/>
    <m/>
  </r>
  <r>
    <n v="38.833333333333336"/>
    <x v="3"/>
    <x v="128"/>
    <x v="2"/>
    <s v="UNHCR"/>
    <x v="0"/>
    <x v="2"/>
    <s v="Koe Tan Kauk"/>
    <n v="0"/>
    <m/>
    <m/>
    <n v="0"/>
    <n v="0"/>
    <n v="0"/>
    <n v="0"/>
    <n v="534"/>
    <n v="0"/>
    <n v="0"/>
    <n v="267"/>
    <m/>
    <n v="1010"/>
    <m/>
    <m/>
    <m/>
    <m/>
    <m/>
    <m/>
    <m/>
    <n v="0"/>
    <n v="0"/>
    <n v="0"/>
    <n v="0"/>
    <n v="0"/>
    <n v="0"/>
    <n v="0"/>
    <n v="0"/>
    <n v="0"/>
    <n v="0"/>
    <n v="0"/>
    <n v="0"/>
    <n v="0"/>
    <n v="0"/>
    <n v="0"/>
    <s v=""/>
    <x v="1"/>
    <m/>
  </r>
  <r>
    <n v="39.333333333333336"/>
    <x v="3"/>
    <x v="129"/>
    <x v="2"/>
    <s v="UNHCR"/>
    <x v="0"/>
    <x v="8"/>
    <s v="Sin Thay Pyin (Zay Di Pyin)"/>
    <n v="16"/>
    <m/>
    <m/>
    <n v="16"/>
    <n v="16"/>
    <n v="32"/>
    <n v="0"/>
    <n v="32"/>
    <n v="8"/>
    <n v="0"/>
    <n v="16"/>
    <n v="16"/>
    <n v="40"/>
    <m/>
    <m/>
    <m/>
    <m/>
    <m/>
    <m/>
    <m/>
    <n v="0"/>
    <n v="0"/>
    <n v="0"/>
    <n v="0"/>
    <n v="0"/>
    <n v="0"/>
    <n v="0"/>
    <n v="0"/>
    <n v="0"/>
    <n v="0"/>
    <n v="0"/>
    <n v="0"/>
    <n v="0"/>
    <n v="0"/>
    <n v="0"/>
    <s v=""/>
    <x v="1"/>
    <m/>
  </r>
  <r>
    <n v="39.333333333333336"/>
    <x v="3"/>
    <x v="129"/>
    <x v="2"/>
    <s v="UNHCR"/>
    <x v="0"/>
    <x v="8"/>
    <s v="Ywa thit Kay"/>
    <n v="36"/>
    <m/>
    <m/>
    <n v="36"/>
    <n v="36"/>
    <n v="72"/>
    <n v="0"/>
    <n v="72"/>
    <n v="19"/>
    <n v="0"/>
    <n v="36"/>
    <n v="36"/>
    <n v="95"/>
    <m/>
    <m/>
    <m/>
    <m/>
    <m/>
    <m/>
    <m/>
    <n v="0"/>
    <n v="0"/>
    <n v="0"/>
    <n v="0"/>
    <n v="0"/>
    <n v="0"/>
    <n v="0"/>
    <n v="0"/>
    <n v="0"/>
    <n v="0"/>
    <n v="0"/>
    <n v="0"/>
    <n v="0"/>
    <n v="0"/>
    <n v="0"/>
    <s v=""/>
    <x v="1"/>
    <m/>
  </r>
  <r>
    <n v="39.333333333333336"/>
    <x v="3"/>
    <x v="129"/>
    <x v="2"/>
    <s v="UNHCR"/>
    <x v="0"/>
    <x v="8"/>
    <s v="(Du) Chee Yar Tan (East)"/>
    <n v="39"/>
    <m/>
    <m/>
    <n v="39"/>
    <n v="39"/>
    <n v="78"/>
    <n v="0"/>
    <n v="78"/>
    <n v="28"/>
    <n v="0"/>
    <n v="39"/>
    <n v="39"/>
    <n v="40"/>
    <m/>
    <m/>
    <m/>
    <m/>
    <m/>
    <m/>
    <m/>
    <n v="0"/>
    <n v="0"/>
    <n v="0"/>
    <n v="0"/>
    <n v="0"/>
    <n v="0"/>
    <n v="0"/>
    <n v="0"/>
    <n v="0"/>
    <n v="0"/>
    <n v="0"/>
    <n v="0"/>
    <n v="0"/>
    <n v="0"/>
    <n v="0"/>
    <s v=""/>
    <x v="1"/>
    <m/>
  </r>
  <r>
    <n v="39.5"/>
    <x v="3"/>
    <x v="130"/>
    <x v="12"/>
    <s v="RI"/>
    <x v="0"/>
    <x v="4"/>
    <s v="Kan Thar Htwat Wa"/>
    <n v="42"/>
    <m/>
    <m/>
    <m/>
    <m/>
    <m/>
    <m/>
    <m/>
    <m/>
    <m/>
    <m/>
    <m/>
    <m/>
    <m/>
    <m/>
    <m/>
    <m/>
    <m/>
    <m/>
    <m/>
    <n v="0"/>
    <n v="0"/>
    <n v="0"/>
    <n v="0"/>
    <n v="0"/>
    <n v="0"/>
    <n v="0"/>
    <n v="0"/>
    <n v="0"/>
    <n v="0"/>
    <n v="0"/>
    <n v="0"/>
    <n v="0"/>
    <n v="0"/>
    <n v="0"/>
    <s v="MMR012CMP013"/>
    <x v="2"/>
    <m/>
  </r>
  <r>
    <n v="39.5"/>
    <x v="3"/>
    <x v="130"/>
    <x v="12"/>
    <s v="RI"/>
    <x v="0"/>
    <x v="4"/>
    <s v="Taung Paw "/>
    <n v="682"/>
    <m/>
    <m/>
    <m/>
    <m/>
    <m/>
    <m/>
    <m/>
    <m/>
    <m/>
    <m/>
    <m/>
    <m/>
    <m/>
    <m/>
    <m/>
    <m/>
    <m/>
    <m/>
    <m/>
    <n v="0"/>
    <n v="0"/>
    <n v="0"/>
    <n v="0"/>
    <n v="0"/>
    <n v="0"/>
    <n v="0"/>
    <n v="0"/>
    <n v="0"/>
    <n v="0"/>
    <n v="0"/>
    <n v="0"/>
    <n v="0"/>
    <n v="0"/>
    <n v="0"/>
    <s v="MMR012CMP014"/>
    <x v="0"/>
    <m/>
  </r>
  <r>
    <n v="39.799999999999997"/>
    <x v="4"/>
    <x v="131"/>
    <x v="2"/>
    <s v="UNHCR"/>
    <x v="0"/>
    <x v="8"/>
    <s v="Nyaung Pin Hla"/>
    <n v="27"/>
    <m/>
    <m/>
    <n v="27"/>
    <n v="27"/>
    <n v="54"/>
    <n v="0"/>
    <n v="54"/>
    <n v="17"/>
    <n v="0"/>
    <n v="27"/>
    <m/>
    <n v="85"/>
    <m/>
    <m/>
    <m/>
    <m/>
    <m/>
    <m/>
    <m/>
    <n v="0"/>
    <n v="0"/>
    <n v="0"/>
    <n v="0"/>
    <n v="0"/>
    <n v="0"/>
    <n v="0"/>
    <n v="0"/>
    <n v="0"/>
    <n v="0"/>
    <n v="0"/>
    <n v="0"/>
    <n v="0"/>
    <n v="0"/>
    <n v="0"/>
    <s v="MMR012CMP082"/>
    <x v="3"/>
    <m/>
  </r>
  <r>
    <n v="39.966666666666669"/>
    <x v="4"/>
    <x v="132"/>
    <x v="2"/>
    <s v="UNHCR"/>
    <x v="0"/>
    <x v="8"/>
    <s v="Thaung Paing Nyar"/>
    <n v="108"/>
    <m/>
    <m/>
    <n v="108"/>
    <n v="108"/>
    <n v="216"/>
    <n v="0"/>
    <n v="216"/>
    <n v="68"/>
    <n v="0"/>
    <n v="108"/>
    <m/>
    <n v="340"/>
    <m/>
    <m/>
    <m/>
    <m/>
    <m/>
    <m/>
    <m/>
    <n v="0"/>
    <n v="0"/>
    <n v="0"/>
    <n v="0"/>
    <n v="0"/>
    <n v="0"/>
    <n v="0"/>
    <n v="0"/>
    <n v="0"/>
    <n v="0"/>
    <n v="0"/>
    <n v="0"/>
    <n v="0"/>
    <n v="0"/>
    <n v="0"/>
    <s v=""/>
    <x v="1"/>
    <m/>
  </r>
  <r>
    <n v="39.966666666666669"/>
    <x v="4"/>
    <x v="132"/>
    <x v="2"/>
    <s v="UNHCR"/>
    <x v="0"/>
    <x v="8"/>
    <s v="Ward-6 (Lay Myaing)"/>
    <n v="164"/>
    <m/>
    <m/>
    <n v="164"/>
    <n v="164"/>
    <n v="328"/>
    <n v="0"/>
    <n v="328"/>
    <n v="92"/>
    <n v="0"/>
    <n v="164"/>
    <m/>
    <n v="460"/>
    <m/>
    <m/>
    <m/>
    <m/>
    <m/>
    <m/>
    <m/>
    <n v="0"/>
    <n v="0"/>
    <n v="0"/>
    <n v="0"/>
    <n v="0"/>
    <n v="0"/>
    <n v="0"/>
    <n v="0"/>
    <n v="0"/>
    <n v="0"/>
    <n v="0"/>
    <n v="0"/>
    <n v="0"/>
    <n v="0"/>
    <n v="0"/>
    <s v=""/>
    <x v="1"/>
    <m/>
  </r>
  <r>
    <n v="40"/>
    <x v="4"/>
    <x v="133"/>
    <x v="2"/>
    <s v="UNHCR"/>
    <x v="0"/>
    <x v="8"/>
    <s v="Myoma Myauk (Chitta Ywa)"/>
    <n v="315"/>
    <m/>
    <m/>
    <n v="315"/>
    <n v="315"/>
    <n v="630"/>
    <n v="0"/>
    <n v="630"/>
    <n v="186"/>
    <n v="0"/>
    <n v="315"/>
    <m/>
    <n v="930"/>
    <m/>
    <m/>
    <m/>
    <m/>
    <m/>
    <m/>
    <m/>
    <n v="0"/>
    <n v="0"/>
    <n v="0"/>
    <n v="0"/>
    <n v="0"/>
    <n v="0"/>
    <n v="0"/>
    <n v="0"/>
    <n v="0"/>
    <n v="0"/>
    <n v="0"/>
    <n v="0"/>
    <n v="0"/>
    <n v="0"/>
    <n v="0"/>
    <s v=""/>
    <x v="1"/>
    <m/>
  </r>
  <r>
    <n v="40.1"/>
    <x v="4"/>
    <x v="134"/>
    <x v="2"/>
    <s v="UNHCR"/>
    <x v="0"/>
    <x v="8"/>
    <s v="Honsara (Zaw Ma Tat)"/>
    <n v="170"/>
    <m/>
    <m/>
    <n v="170"/>
    <n v="170"/>
    <n v="338"/>
    <n v="0"/>
    <n v="338"/>
    <n v="110"/>
    <n v="0"/>
    <n v="170"/>
    <m/>
    <n v="550"/>
    <m/>
    <m/>
    <m/>
    <m/>
    <m/>
    <m/>
    <m/>
    <n v="0"/>
    <n v="0"/>
    <n v="0"/>
    <n v="0"/>
    <n v="0"/>
    <n v="0"/>
    <n v="0"/>
    <n v="0"/>
    <n v="0"/>
    <n v="0"/>
    <n v="0"/>
    <n v="0"/>
    <n v="0"/>
    <n v="0"/>
    <n v="0"/>
    <s v=""/>
    <x v="1"/>
    <m/>
  </r>
  <r>
    <n v="43"/>
    <x v="4"/>
    <x v="135"/>
    <x v="2"/>
    <s v="UNHCR"/>
    <x v="0"/>
    <x v="2"/>
    <s v="Ah Htet Nan Yar"/>
    <n v="349"/>
    <m/>
    <m/>
    <n v="349"/>
    <n v="349"/>
    <n v="698"/>
    <n v="250"/>
    <n v="698"/>
    <n v="250"/>
    <n v="0"/>
    <n v="349"/>
    <m/>
    <n v="1250"/>
    <m/>
    <m/>
    <m/>
    <m/>
    <m/>
    <m/>
    <m/>
    <n v="0"/>
    <n v="0"/>
    <n v="0"/>
    <n v="0"/>
    <n v="0"/>
    <n v="0"/>
    <n v="0"/>
    <n v="0"/>
    <n v="0"/>
    <n v="0"/>
    <n v="0"/>
    <n v="0"/>
    <n v="0"/>
    <n v="0"/>
    <n v="0"/>
    <s v=""/>
    <x v="1"/>
    <m/>
  </r>
  <r>
    <n v="43.033333333333331"/>
    <x v="4"/>
    <x v="136"/>
    <x v="2"/>
    <s v="UNHCR"/>
    <x v="0"/>
    <x v="2"/>
    <s v="Ah Nauk Pyin"/>
    <n v="86"/>
    <m/>
    <m/>
    <n v="86"/>
    <n v="86"/>
    <n v="170"/>
    <n v="66"/>
    <n v="170"/>
    <n v="66"/>
    <n v="0"/>
    <n v="86"/>
    <m/>
    <n v="330"/>
    <m/>
    <m/>
    <m/>
    <m/>
    <m/>
    <m/>
    <m/>
    <n v="0"/>
    <n v="0"/>
    <n v="0"/>
    <n v="0"/>
    <n v="0"/>
    <n v="0"/>
    <n v="0"/>
    <n v="0"/>
    <n v="0"/>
    <n v="0"/>
    <n v="0"/>
    <n v="0"/>
    <n v="0"/>
    <n v="0"/>
    <n v="0"/>
    <s v="MMR012CMP032"/>
    <x v="3"/>
    <m/>
  </r>
  <r>
    <n v="43.06666666666667"/>
    <x v="4"/>
    <x v="137"/>
    <x v="2"/>
    <s v="UNHCR"/>
    <x v="0"/>
    <x v="2"/>
    <s v="Nyaung Pin Gyi"/>
    <n v="102"/>
    <m/>
    <m/>
    <n v="102"/>
    <n v="102"/>
    <n v="206"/>
    <n v="66"/>
    <n v="206"/>
    <n v="66"/>
    <n v="0"/>
    <n v="102"/>
    <m/>
    <n v="330"/>
    <m/>
    <m/>
    <m/>
    <m/>
    <m/>
    <m/>
    <m/>
    <n v="0"/>
    <n v="0"/>
    <n v="0"/>
    <n v="0"/>
    <n v="0"/>
    <n v="0"/>
    <n v="0"/>
    <n v="0"/>
    <n v="0"/>
    <n v="0"/>
    <n v="0"/>
    <n v="0"/>
    <n v="0"/>
    <n v="0"/>
    <n v="0"/>
    <s v="MMR012CMP031"/>
    <x v="3"/>
    <m/>
  </r>
  <r>
    <n v="43.7"/>
    <x v="4"/>
    <x v="138"/>
    <x v="7"/>
    <s v="DRC"/>
    <x v="0"/>
    <x v="0"/>
    <s v="Baw Du Pha 2"/>
    <m/>
    <m/>
    <m/>
    <m/>
    <m/>
    <n v="2624"/>
    <n v="1312"/>
    <n v="2624"/>
    <n v="1312"/>
    <m/>
    <n v="1312"/>
    <m/>
    <n v="3936"/>
    <m/>
    <m/>
    <m/>
    <m/>
    <m/>
    <m/>
    <m/>
    <n v="0"/>
    <n v="0"/>
    <n v="0"/>
    <n v="0"/>
    <n v="0"/>
    <n v="0"/>
    <n v="0"/>
    <n v="0"/>
    <n v="0"/>
    <n v="0"/>
    <n v="0"/>
    <n v="0"/>
    <n v="0"/>
    <n v="0"/>
    <n v="0"/>
    <s v="MMR012CMP114"/>
    <x v="0"/>
    <m/>
  </r>
  <r>
    <n v="43.766666666666666"/>
    <x v="4"/>
    <x v="139"/>
    <x v="7"/>
    <s v="DRC"/>
    <x v="0"/>
    <x v="0"/>
    <s v="Baw Du Pha 1"/>
    <m/>
    <m/>
    <m/>
    <m/>
    <m/>
    <n v="2020"/>
    <n v="1010"/>
    <n v="2020"/>
    <n v="1010"/>
    <m/>
    <n v="1010"/>
    <m/>
    <n v="3030"/>
    <m/>
    <m/>
    <m/>
    <m/>
    <m/>
    <m/>
    <m/>
    <n v="0"/>
    <n v="0"/>
    <n v="0"/>
    <n v="0"/>
    <n v="0"/>
    <n v="0"/>
    <n v="0"/>
    <n v="0"/>
    <n v="0"/>
    <n v="0"/>
    <n v="0"/>
    <n v="0"/>
    <n v="0"/>
    <n v="0"/>
    <n v="0"/>
    <s v="MMR012CMP113"/>
    <x v="0"/>
    <m/>
  </r>
  <r>
    <n v="44.166666666666664"/>
    <x v="4"/>
    <x v="140"/>
    <x v="18"/>
    <s v="LWF"/>
    <x v="0"/>
    <x v="0"/>
    <s v="Set Yone Su"/>
    <m/>
    <m/>
    <m/>
    <m/>
    <m/>
    <n v="2"/>
    <n v="1"/>
    <n v="2"/>
    <n v="1"/>
    <m/>
    <n v="1"/>
    <m/>
    <n v="5"/>
    <m/>
    <m/>
    <m/>
    <m/>
    <m/>
    <m/>
    <m/>
    <n v="0"/>
    <n v="0"/>
    <n v="0"/>
    <n v="0"/>
    <n v="0"/>
    <n v="0"/>
    <n v="0"/>
    <n v="0"/>
    <n v="0"/>
    <n v="0"/>
    <n v="0"/>
    <n v="0"/>
    <n v="0"/>
    <n v="0"/>
    <n v="0"/>
    <s v="MMR012CMP056"/>
    <x v="2"/>
    <m/>
  </r>
  <r>
    <n v="44.166666666666664"/>
    <x v="4"/>
    <x v="140"/>
    <x v="18"/>
    <s v="LWF"/>
    <x v="0"/>
    <x v="0"/>
    <s v="Set Yone Su 3"/>
    <m/>
    <m/>
    <m/>
    <m/>
    <m/>
    <n v="2"/>
    <n v="1"/>
    <n v="2"/>
    <n v="1"/>
    <m/>
    <n v="1"/>
    <m/>
    <n v="5"/>
    <m/>
    <m/>
    <m/>
    <m/>
    <m/>
    <m/>
    <m/>
    <n v="0"/>
    <n v="0"/>
    <n v="0"/>
    <n v="0"/>
    <n v="0"/>
    <n v="0"/>
    <n v="0"/>
    <n v="0"/>
    <n v="0"/>
    <n v="0"/>
    <n v="0"/>
    <n v="0"/>
    <n v="0"/>
    <n v="0"/>
    <n v="0"/>
    <s v=""/>
    <x v="1"/>
    <m/>
  </r>
  <r>
    <n v="44.6"/>
    <x v="4"/>
    <x v="141"/>
    <x v="21"/>
    <s v="AGE"/>
    <x v="0"/>
    <x v="1"/>
    <s v="Ah Nauk Ywe"/>
    <m/>
    <m/>
    <m/>
    <m/>
    <m/>
    <m/>
    <m/>
    <m/>
    <m/>
    <n v="1128"/>
    <m/>
    <m/>
    <m/>
    <m/>
    <m/>
    <m/>
    <m/>
    <m/>
    <m/>
    <m/>
    <n v="0"/>
    <n v="0"/>
    <n v="0"/>
    <n v="0"/>
    <n v="0"/>
    <n v="0"/>
    <n v="0"/>
    <n v="0"/>
    <n v="0"/>
    <n v="0"/>
    <n v="0"/>
    <n v="0"/>
    <n v="0"/>
    <n v="0"/>
    <n v="0"/>
    <s v="MMR012CMP016"/>
    <x v="0"/>
    <m/>
  </r>
  <r>
    <n v="44.6"/>
    <x v="4"/>
    <x v="141"/>
    <x v="21"/>
    <s v="AGE"/>
    <x v="0"/>
    <x v="1"/>
    <s v="Kyein Ni Pyin"/>
    <m/>
    <m/>
    <m/>
    <m/>
    <m/>
    <m/>
    <m/>
    <m/>
    <m/>
    <n v="959"/>
    <m/>
    <m/>
    <m/>
    <m/>
    <m/>
    <m/>
    <m/>
    <m/>
    <m/>
    <m/>
    <n v="0"/>
    <n v="0"/>
    <n v="0"/>
    <n v="0"/>
    <n v="0"/>
    <n v="0"/>
    <n v="0"/>
    <n v="0"/>
    <n v="0"/>
    <n v="0"/>
    <n v="0"/>
    <n v="0"/>
    <n v="0"/>
    <n v="0"/>
    <n v="0"/>
    <s v="MMR012CMP018"/>
    <x v="0"/>
    <m/>
  </r>
  <r>
    <n v="44.6"/>
    <x v="4"/>
    <x v="141"/>
    <x v="21"/>
    <s v="AGE"/>
    <x v="0"/>
    <x v="1"/>
    <s v="Nget Chaung"/>
    <m/>
    <m/>
    <m/>
    <m/>
    <m/>
    <m/>
    <m/>
    <m/>
    <m/>
    <n v="1130"/>
    <m/>
    <m/>
    <m/>
    <m/>
    <m/>
    <m/>
    <m/>
    <m/>
    <m/>
    <m/>
    <n v="0"/>
    <n v="0"/>
    <n v="0"/>
    <n v="0"/>
    <n v="0"/>
    <n v="0"/>
    <n v="0"/>
    <n v="0"/>
    <n v="0"/>
    <n v="0"/>
    <n v="0"/>
    <n v="0"/>
    <n v="0"/>
    <n v="0"/>
    <n v="0"/>
    <s v=""/>
    <x v="1"/>
    <m/>
  </r>
  <r>
    <n v="44.6"/>
    <x v="4"/>
    <x v="141"/>
    <x v="21"/>
    <s v="AGE"/>
    <x v="0"/>
    <x v="1"/>
    <s v="Sin Tet Maw"/>
    <m/>
    <m/>
    <m/>
    <m/>
    <m/>
    <m/>
    <m/>
    <m/>
    <m/>
    <n v="681"/>
    <m/>
    <m/>
    <m/>
    <m/>
    <m/>
    <m/>
    <m/>
    <m/>
    <m/>
    <m/>
    <n v="0"/>
    <n v="0"/>
    <n v="0"/>
    <n v="0"/>
    <n v="0"/>
    <n v="0"/>
    <n v="0"/>
    <n v="0"/>
    <n v="0"/>
    <n v="0"/>
    <n v="0"/>
    <n v="0"/>
    <n v="0"/>
    <n v="0"/>
    <n v="0"/>
    <s v="MMR012CMP019"/>
    <x v="0"/>
    <m/>
  </r>
  <r>
    <n v="44.6"/>
    <x v="4"/>
    <x v="141"/>
    <x v="21"/>
    <s v="AGE"/>
    <x v="0"/>
    <x v="1"/>
    <s v="Ba Wan Chaung Wa Su"/>
    <m/>
    <m/>
    <m/>
    <m/>
    <m/>
    <m/>
    <m/>
    <m/>
    <m/>
    <n v="24"/>
    <m/>
    <m/>
    <m/>
    <m/>
    <m/>
    <m/>
    <m/>
    <m/>
    <m/>
    <m/>
    <n v="0"/>
    <n v="0"/>
    <n v="0"/>
    <n v="0"/>
    <n v="0"/>
    <n v="0"/>
    <n v="0"/>
    <n v="0"/>
    <n v="0"/>
    <n v="0"/>
    <n v="0"/>
    <n v="0"/>
    <n v="0"/>
    <n v="0"/>
    <n v="0"/>
    <s v="MMR012CMP015"/>
    <x v="2"/>
    <m/>
  </r>
  <r>
    <n v="44.6"/>
    <x v="4"/>
    <x v="141"/>
    <x v="21"/>
    <s v="AGE"/>
    <x v="0"/>
    <x v="8"/>
    <s v="Maw Ya Waddy"/>
    <m/>
    <m/>
    <m/>
    <m/>
    <m/>
    <m/>
    <m/>
    <m/>
    <m/>
    <n v="183"/>
    <m/>
    <m/>
    <m/>
    <m/>
    <m/>
    <m/>
    <m/>
    <m/>
    <m/>
    <m/>
    <n v="0"/>
    <n v="0"/>
    <n v="0"/>
    <n v="0"/>
    <n v="0"/>
    <n v="0"/>
    <n v="0"/>
    <n v="0"/>
    <n v="0"/>
    <n v="0"/>
    <n v="0"/>
    <n v="0"/>
    <n v="0"/>
    <n v="0"/>
    <n v="0"/>
    <s v="MMR012CMP076"/>
    <x v="4"/>
    <m/>
  </r>
  <r>
    <n v="44.6"/>
    <x v="4"/>
    <x v="141"/>
    <x v="21"/>
    <s v="AGE"/>
    <x v="0"/>
    <x v="8"/>
    <s v="Kyaing Gyi"/>
    <m/>
    <m/>
    <m/>
    <m/>
    <m/>
    <m/>
    <m/>
    <m/>
    <m/>
    <n v="162"/>
    <m/>
    <m/>
    <m/>
    <m/>
    <m/>
    <m/>
    <m/>
    <m/>
    <m/>
    <m/>
    <n v="0"/>
    <n v="0"/>
    <n v="0"/>
    <n v="0"/>
    <n v="0"/>
    <n v="0"/>
    <n v="0"/>
    <n v="0"/>
    <n v="0"/>
    <n v="0"/>
    <n v="0"/>
    <n v="0"/>
    <n v="0"/>
    <n v="0"/>
    <n v="0"/>
    <s v="MMR012CMP078"/>
    <x v="4"/>
    <m/>
  </r>
  <r>
    <n v="44.6"/>
    <x v="4"/>
    <x v="141"/>
    <x v="21"/>
    <s v="AGE"/>
    <x v="0"/>
    <x v="8"/>
    <s v="Tha Yay Kone Baung"/>
    <m/>
    <m/>
    <m/>
    <m/>
    <m/>
    <m/>
    <m/>
    <m/>
    <m/>
    <n v="192"/>
    <m/>
    <m/>
    <m/>
    <m/>
    <m/>
    <m/>
    <m/>
    <m/>
    <m/>
    <m/>
    <n v="0"/>
    <n v="0"/>
    <n v="0"/>
    <n v="0"/>
    <n v="0"/>
    <n v="0"/>
    <n v="0"/>
    <n v="0"/>
    <n v="0"/>
    <n v="0"/>
    <n v="0"/>
    <n v="0"/>
    <n v="0"/>
    <n v="0"/>
    <n v="0"/>
    <s v="MMR012CMP077"/>
    <x v="4"/>
    <m/>
  </r>
  <r>
    <n v="44.6"/>
    <x v="4"/>
    <x v="141"/>
    <x v="21"/>
    <s v="AGE"/>
    <x v="0"/>
    <x v="8"/>
    <s v="Kin Chaung"/>
    <m/>
    <m/>
    <m/>
    <m/>
    <m/>
    <m/>
    <m/>
    <m/>
    <m/>
    <n v="102"/>
    <m/>
    <m/>
    <m/>
    <m/>
    <m/>
    <m/>
    <m/>
    <m/>
    <m/>
    <m/>
    <n v="0"/>
    <n v="0"/>
    <n v="0"/>
    <n v="0"/>
    <n v="0"/>
    <n v="0"/>
    <n v="0"/>
    <n v="0"/>
    <n v="0"/>
    <n v="0"/>
    <n v="0"/>
    <n v="0"/>
    <n v="0"/>
    <n v="0"/>
    <n v="0"/>
    <s v="MMR012CMP080"/>
    <x v="4"/>
    <m/>
  </r>
  <r>
    <n v="44.6"/>
    <x v="4"/>
    <x v="141"/>
    <x v="21"/>
    <s v="AGE"/>
    <x v="0"/>
    <x v="8"/>
    <s v="Baw Di Gone"/>
    <m/>
    <m/>
    <m/>
    <m/>
    <m/>
    <m/>
    <m/>
    <m/>
    <m/>
    <n v="103"/>
    <m/>
    <m/>
    <m/>
    <m/>
    <m/>
    <m/>
    <m/>
    <m/>
    <m/>
    <m/>
    <n v="0"/>
    <n v="0"/>
    <n v="0"/>
    <n v="0"/>
    <n v="0"/>
    <n v="0"/>
    <n v="0"/>
    <n v="0"/>
    <n v="0"/>
    <n v="0"/>
    <n v="0"/>
    <n v="0"/>
    <n v="0"/>
    <n v="0"/>
    <n v="0"/>
    <s v="MMR012CMP079"/>
    <x v="4"/>
    <m/>
  </r>
  <r>
    <n v="44.6"/>
    <x v="4"/>
    <x v="141"/>
    <x v="21"/>
    <s v="AGE"/>
    <x v="0"/>
    <x v="8"/>
    <s v="Kan Thar Yar"/>
    <m/>
    <m/>
    <m/>
    <m/>
    <m/>
    <m/>
    <m/>
    <m/>
    <m/>
    <n v="175"/>
    <m/>
    <m/>
    <m/>
    <m/>
    <m/>
    <m/>
    <m/>
    <m/>
    <m/>
    <m/>
    <n v="0"/>
    <n v="0"/>
    <n v="0"/>
    <n v="0"/>
    <n v="0"/>
    <n v="0"/>
    <n v="0"/>
    <n v="0"/>
    <n v="0"/>
    <n v="0"/>
    <n v="0"/>
    <n v="0"/>
    <n v="0"/>
    <n v="0"/>
    <n v="0"/>
    <s v="MMR012CMP081"/>
    <x v="4"/>
    <m/>
  </r>
  <r>
    <n v="44.966666666666669"/>
    <x v="4"/>
    <x v="142"/>
    <x v="7"/>
    <s v="DRC"/>
    <x v="0"/>
    <x v="0"/>
    <s v="Dar Pai"/>
    <m/>
    <m/>
    <m/>
    <m/>
    <m/>
    <m/>
    <n v="304"/>
    <n v="608"/>
    <m/>
    <m/>
    <n v="304"/>
    <m/>
    <m/>
    <m/>
    <m/>
    <m/>
    <m/>
    <m/>
    <m/>
    <m/>
    <n v="0"/>
    <n v="0"/>
    <n v="0"/>
    <n v="0"/>
    <n v="0"/>
    <n v="0"/>
    <n v="0"/>
    <n v="0"/>
    <n v="0"/>
    <n v="0"/>
    <n v="0"/>
    <n v="0"/>
    <n v="0"/>
    <n v="0"/>
    <n v="0"/>
    <s v="MMR012CMP041"/>
    <x v="0"/>
    <m/>
  </r>
  <r>
    <n v="44.966666666666669"/>
    <x v="4"/>
    <x v="142"/>
    <x v="18"/>
    <s v="LWF"/>
    <x v="0"/>
    <x v="0"/>
    <s v="Set Yone Su"/>
    <m/>
    <m/>
    <m/>
    <n v="70"/>
    <m/>
    <m/>
    <m/>
    <m/>
    <m/>
    <m/>
    <m/>
    <m/>
    <m/>
    <m/>
    <m/>
    <m/>
    <m/>
    <m/>
    <m/>
    <m/>
    <n v="0"/>
    <n v="0"/>
    <n v="0"/>
    <n v="0"/>
    <n v="0"/>
    <n v="0"/>
    <n v="0"/>
    <n v="0"/>
    <n v="0"/>
    <n v="0"/>
    <n v="0"/>
    <n v="0"/>
    <n v="0"/>
    <n v="0"/>
    <n v="0"/>
    <s v="MMR012CMP056"/>
    <x v="2"/>
    <m/>
  </r>
  <r>
    <n v="44.966666666666669"/>
    <x v="4"/>
    <x v="142"/>
    <x v="18"/>
    <s v="LWF"/>
    <x v="0"/>
    <x v="0"/>
    <s v="Set Yone Su 3"/>
    <m/>
    <m/>
    <m/>
    <n v="151"/>
    <m/>
    <m/>
    <m/>
    <m/>
    <m/>
    <m/>
    <m/>
    <m/>
    <m/>
    <m/>
    <m/>
    <m/>
    <m/>
    <m/>
    <m/>
    <m/>
    <n v="0"/>
    <n v="0"/>
    <n v="0"/>
    <n v="0"/>
    <n v="0"/>
    <n v="0"/>
    <n v="0"/>
    <n v="0"/>
    <n v="0"/>
    <n v="0"/>
    <n v="0"/>
    <n v="0"/>
    <n v="0"/>
    <n v="0"/>
    <n v="0"/>
    <s v=""/>
    <x v="1"/>
    <m/>
  </r>
  <r>
    <n v="46.2"/>
    <x v="4"/>
    <x v="143"/>
    <x v="18"/>
    <s v="LWF"/>
    <x v="0"/>
    <x v="0"/>
    <s v="Khaung Doke Khar "/>
    <m/>
    <m/>
    <m/>
    <m/>
    <m/>
    <n v="2"/>
    <n v="1"/>
    <n v="2"/>
    <n v="1"/>
    <m/>
    <n v="1"/>
    <m/>
    <n v="5"/>
    <m/>
    <m/>
    <m/>
    <m/>
    <m/>
    <m/>
    <m/>
    <n v="0"/>
    <n v="0"/>
    <n v="0"/>
    <n v="0"/>
    <n v="0"/>
    <n v="0"/>
    <n v="0"/>
    <n v="0"/>
    <n v="0"/>
    <n v="0"/>
    <n v="0"/>
    <n v="0"/>
    <n v="0"/>
    <n v="0"/>
    <n v="0"/>
    <s v="MMR012CMP042"/>
    <x v="0"/>
    <m/>
  </r>
  <r>
    <n v="46.4"/>
    <x v="4"/>
    <x v="144"/>
    <x v="2"/>
    <s v="UNHCR"/>
    <x v="0"/>
    <x v="0"/>
    <s v="Thae Chaung (IDP in host families)"/>
    <m/>
    <m/>
    <m/>
    <n v="2404"/>
    <m/>
    <n v="4808"/>
    <n v="2404"/>
    <n v="4808"/>
    <n v="2404"/>
    <m/>
    <n v="2404"/>
    <m/>
    <n v="12020"/>
    <m/>
    <m/>
    <m/>
    <m/>
    <m/>
    <m/>
    <m/>
    <n v="0"/>
    <n v="0"/>
    <n v="0"/>
    <n v="0"/>
    <n v="0"/>
    <n v="0"/>
    <n v="0"/>
    <n v="0"/>
    <n v="0"/>
    <n v="0"/>
    <n v="0"/>
    <n v="0"/>
    <n v="0"/>
    <n v="0"/>
    <n v="0"/>
    <s v="MMR012CMP101"/>
    <x v="4"/>
    <m/>
  </r>
  <r>
    <n v="48.666666666666664"/>
    <x v="4"/>
    <x v="145"/>
    <x v="7"/>
    <s v="DRC"/>
    <x v="0"/>
    <x v="0"/>
    <s v="Say Tha Mar Gyi"/>
    <m/>
    <m/>
    <m/>
    <m/>
    <m/>
    <m/>
    <n v="2573"/>
    <m/>
    <m/>
    <m/>
    <m/>
    <m/>
    <m/>
    <m/>
    <m/>
    <m/>
    <m/>
    <m/>
    <m/>
    <m/>
    <n v="0"/>
    <n v="0"/>
    <n v="0"/>
    <n v="0"/>
    <n v="0"/>
    <n v="0"/>
    <n v="0"/>
    <n v="0"/>
    <n v="0"/>
    <n v="0"/>
    <n v="0"/>
    <n v="0"/>
    <n v="0"/>
    <n v="0"/>
    <n v="0"/>
    <s v="MMR012CMP045"/>
    <x v="0"/>
    <m/>
  </r>
  <r>
    <n v="49.7"/>
    <x v="4"/>
    <x v="146"/>
    <x v="7"/>
    <s v="DRC"/>
    <x v="0"/>
    <x v="0"/>
    <s v="Baw Du Pha 1"/>
    <m/>
    <m/>
    <m/>
    <m/>
    <m/>
    <m/>
    <n v="1000"/>
    <m/>
    <m/>
    <m/>
    <m/>
    <m/>
    <m/>
    <m/>
    <m/>
    <m/>
    <m/>
    <m/>
    <m/>
    <m/>
    <n v="0"/>
    <n v="0"/>
    <n v="0"/>
    <n v="0"/>
    <n v="0"/>
    <n v="0"/>
    <n v="0"/>
    <n v="0"/>
    <n v="0"/>
    <n v="0"/>
    <n v="0"/>
    <n v="0"/>
    <n v="0"/>
    <n v="0"/>
    <n v="0"/>
    <s v="MMR012CMP113"/>
    <x v="0"/>
    <m/>
  </r>
  <r>
    <n v="49.7"/>
    <x v="4"/>
    <x v="146"/>
    <x v="7"/>
    <s v="DRC"/>
    <x v="0"/>
    <x v="0"/>
    <s v="Baw Du Pha 2"/>
    <m/>
    <m/>
    <m/>
    <m/>
    <m/>
    <m/>
    <n v="1320"/>
    <m/>
    <m/>
    <m/>
    <m/>
    <m/>
    <m/>
    <m/>
    <m/>
    <m/>
    <m/>
    <m/>
    <m/>
    <m/>
    <n v="0"/>
    <n v="0"/>
    <n v="0"/>
    <n v="0"/>
    <n v="0"/>
    <n v="0"/>
    <n v="0"/>
    <n v="0"/>
    <n v="0"/>
    <n v="0"/>
    <n v="0"/>
    <n v="0"/>
    <n v="0"/>
    <n v="0"/>
    <n v="0"/>
    <s v="MMR012CMP114"/>
    <x v="0"/>
    <m/>
  </r>
  <r>
    <n v="49.7"/>
    <x v="4"/>
    <x v="146"/>
    <x v="7"/>
    <s v="DRC"/>
    <x v="0"/>
    <x v="0"/>
    <s v="Dar Pai (IDP in host families)"/>
    <m/>
    <m/>
    <m/>
    <m/>
    <m/>
    <m/>
    <n v="1400"/>
    <m/>
    <m/>
    <m/>
    <m/>
    <m/>
    <m/>
    <m/>
    <m/>
    <m/>
    <m/>
    <m/>
    <m/>
    <m/>
    <n v="0"/>
    <n v="0"/>
    <n v="0"/>
    <n v="0"/>
    <n v="0"/>
    <n v="0"/>
    <n v="0"/>
    <n v="0"/>
    <n v="0"/>
    <n v="0"/>
    <n v="0"/>
    <n v="0"/>
    <n v="0"/>
    <n v="0"/>
    <n v="0"/>
    <s v="MMR012CMP097"/>
    <x v="0"/>
    <m/>
  </r>
  <r>
    <n v="49.7"/>
    <x v="4"/>
    <x v="146"/>
    <x v="7"/>
    <s v="DRC"/>
    <x v="0"/>
    <x v="0"/>
    <s v="Ohn Taw Gyi (North)"/>
    <m/>
    <m/>
    <m/>
    <m/>
    <m/>
    <m/>
    <n v="2549"/>
    <m/>
    <m/>
    <m/>
    <m/>
    <m/>
    <m/>
    <m/>
    <m/>
    <m/>
    <m/>
    <m/>
    <m/>
    <m/>
    <n v="0"/>
    <n v="0"/>
    <n v="0"/>
    <n v="0"/>
    <n v="0"/>
    <n v="0"/>
    <n v="0"/>
    <n v="0"/>
    <n v="0"/>
    <n v="0"/>
    <n v="0"/>
    <n v="0"/>
    <n v="0"/>
    <n v="0"/>
    <n v="0"/>
    <s v="MMR012CMP115"/>
    <x v="0"/>
    <m/>
  </r>
  <r>
    <n v="50.666666666666664"/>
    <x v="4"/>
    <x v="147"/>
    <x v="2"/>
    <s v="UNHCR"/>
    <x v="0"/>
    <x v="3"/>
    <s v="Ah Pauk Wa "/>
    <m/>
    <m/>
    <m/>
    <m/>
    <m/>
    <n v="2"/>
    <m/>
    <n v="2"/>
    <n v="1"/>
    <n v="4"/>
    <n v="1"/>
    <m/>
    <n v="2"/>
    <m/>
    <m/>
    <m/>
    <m/>
    <m/>
    <m/>
    <m/>
    <n v="0"/>
    <n v="0"/>
    <n v="0"/>
    <n v="0"/>
    <n v="0"/>
    <n v="0"/>
    <n v="0"/>
    <n v="0"/>
    <n v="0"/>
    <n v="0"/>
    <n v="0"/>
    <n v="0"/>
    <n v="0"/>
    <n v="0"/>
    <n v="0"/>
    <s v="MMR012CMP024"/>
    <x v="3"/>
    <m/>
  </r>
  <r>
    <n v="51.166666666666664"/>
    <x v="4"/>
    <x v="148"/>
    <x v="2"/>
    <s v="UNHCR"/>
    <x v="0"/>
    <x v="1"/>
    <s v="Sin Tet Maw"/>
    <m/>
    <m/>
    <m/>
    <m/>
    <m/>
    <m/>
    <m/>
    <n v="20"/>
    <n v="700"/>
    <m/>
    <m/>
    <m/>
    <n v="120"/>
    <m/>
    <m/>
    <m/>
    <m/>
    <m/>
    <m/>
    <m/>
    <n v="0"/>
    <n v="0"/>
    <n v="0"/>
    <n v="0"/>
    <n v="0"/>
    <n v="0"/>
    <n v="0"/>
    <n v="0"/>
    <n v="0"/>
    <n v="0"/>
    <n v="0"/>
    <n v="0"/>
    <n v="0"/>
    <n v="0"/>
    <n v="0"/>
    <s v="MMR012CMP019"/>
    <x v="0"/>
    <m/>
  </r>
  <r>
    <n v="51.166666666666664"/>
    <x v="4"/>
    <x v="148"/>
    <x v="2"/>
    <s v="UNHCR"/>
    <x v="0"/>
    <x v="1"/>
    <s v="Sin Tet Maw"/>
    <m/>
    <m/>
    <m/>
    <m/>
    <m/>
    <n v="807"/>
    <m/>
    <m/>
    <m/>
    <n v="807"/>
    <m/>
    <m/>
    <m/>
    <m/>
    <m/>
    <m/>
    <m/>
    <m/>
    <m/>
    <m/>
    <n v="0"/>
    <n v="0"/>
    <n v="0"/>
    <n v="0"/>
    <n v="0"/>
    <n v="0"/>
    <n v="0"/>
    <n v="0"/>
    <n v="0"/>
    <n v="0"/>
    <n v="0"/>
    <n v="0"/>
    <n v="0"/>
    <n v="0"/>
    <n v="0"/>
    <s v="MMR012CMP019"/>
    <x v="0"/>
    <m/>
  </r>
  <r>
    <n v="51.2"/>
    <x v="4"/>
    <x v="149"/>
    <x v="2"/>
    <s v="UNHCR"/>
    <x v="0"/>
    <x v="1"/>
    <s v="Nget Chaung"/>
    <m/>
    <m/>
    <m/>
    <m/>
    <m/>
    <n v="588"/>
    <m/>
    <n v="588"/>
    <n v="294"/>
    <n v="1176"/>
    <n v="294"/>
    <m/>
    <n v="588"/>
    <m/>
    <m/>
    <m/>
    <m/>
    <m/>
    <m/>
    <m/>
    <n v="0"/>
    <n v="0"/>
    <n v="0"/>
    <n v="0"/>
    <n v="0"/>
    <n v="0"/>
    <n v="0"/>
    <n v="0"/>
    <n v="0"/>
    <n v="0"/>
    <n v="0"/>
    <n v="0"/>
    <n v="0"/>
    <n v="0"/>
    <n v="0"/>
    <s v=""/>
    <x v="1"/>
    <m/>
  </r>
  <r>
    <n v="51.2"/>
    <x v="4"/>
    <x v="149"/>
    <x v="2"/>
    <s v="UNHCR"/>
    <x v="0"/>
    <x v="1"/>
    <s v="Sin Tet Maw"/>
    <m/>
    <m/>
    <m/>
    <m/>
    <m/>
    <n v="1420"/>
    <m/>
    <n v="1400"/>
    <m/>
    <n v="2800"/>
    <n v="700"/>
    <m/>
    <n v="1400"/>
    <m/>
    <m/>
    <m/>
    <m/>
    <m/>
    <m/>
    <m/>
    <n v="0"/>
    <n v="0"/>
    <n v="0"/>
    <n v="0"/>
    <n v="0"/>
    <n v="0"/>
    <n v="0"/>
    <n v="0"/>
    <n v="0"/>
    <n v="0"/>
    <n v="0"/>
    <n v="0"/>
    <n v="0"/>
    <n v="0"/>
    <n v="0"/>
    <s v="MMR012CMP019"/>
    <x v="0"/>
    <m/>
  </r>
  <r>
    <n v="51.5"/>
    <x v="4"/>
    <x v="150"/>
    <x v="2"/>
    <s v="UNHCR"/>
    <x v="0"/>
    <x v="0"/>
    <s v="Ohn Taw Chay"/>
    <m/>
    <m/>
    <m/>
    <m/>
    <m/>
    <n v="10"/>
    <n v="5"/>
    <n v="15"/>
    <n v="5"/>
    <m/>
    <m/>
    <m/>
    <n v="10"/>
    <m/>
    <m/>
    <m/>
    <m/>
    <m/>
    <m/>
    <m/>
    <n v="0"/>
    <n v="0"/>
    <n v="0"/>
    <n v="0"/>
    <n v="0"/>
    <n v="0"/>
    <n v="0"/>
    <n v="0"/>
    <n v="0"/>
    <n v="0"/>
    <n v="0"/>
    <n v="0"/>
    <n v="0"/>
    <n v="0"/>
    <n v="0"/>
    <s v="MMR012CMP098"/>
    <x v="0"/>
    <m/>
  </r>
  <r>
    <n v="51.633333333333333"/>
    <x v="4"/>
    <x v="151"/>
    <x v="2"/>
    <s v="UNHCR"/>
    <x v="0"/>
    <x v="3"/>
    <s v="Ah Pauk Wa "/>
    <m/>
    <m/>
    <m/>
    <m/>
    <n v="1"/>
    <n v="2"/>
    <m/>
    <n v="2"/>
    <n v="1"/>
    <n v="1"/>
    <n v="1"/>
    <m/>
    <n v="2"/>
    <m/>
    <m/>
    <m/>
    <m/>
    <m/>
    <m/>
    <m/>
    <n v="0"/>
    <n v="0"/>
    <n v="0"/>
    <n v="0"/>
    <n v="0"/>
    <n v="0"/>
    <n v="0"/>
    <n v="0"/>
    <n v="0"/>
    <n v="0"/>
    <n v="0"/>
    <n v="0"/>
    <n v="0"/>
    <n v="0"/>
    <n v="0"/>
    <s v="MMR012CMP024"/>
    <x v="3"/>
    <m/>
  </r>
  <r>
    <n v="51.633333333333333"/>
    <x v="4"/>
    <x v="151"/>
    <x v="2"/>
    <s v="UNHCR"/>
    <x v="0"/>
    <x v="0"/>
    <s v="Ohn Taw Chay"/>
    <m/>
    <m/>
    <m/>
    <n v="30"/>
    <m/>
    <n v="50"/>
    <n v="25"/>
    <n v="75"/>
    <n v="25"/>
    <m/>
    <m/>
    <m/>
    <n v="50"/>
    <m/>
    <m/>
    <m/>
    <m/>
    <m/>
    <m/>
    <m/>
    <n v="0"/>
    <n v="0"/>
    <n v="0"/>
    <n v="0"/>
    <n v="0"/>
    <n v="0"/>
    <n v="0"/>
    <n v="0"/>
    <n v="0"/>
    <n v="0"/>
    <n v="0"/>
    <n v="0"/>
    <n v="0"/>
    <n v="0"/>
    <n v="0"/>
    <s v="MMR012CMP098"/>
    <x v="0"/>
    <m/>
  </r>
  <r>
    <n v="51.7"/>
    <x v="5"/>
    <x v="152"/>
    <x v="2"/>
    <s v="UNHCR"/>
    <x v="0"/>
    <x v="0"/>
    <s v="Ohn Taw Chay"/>
    <m/>
    <m/>
    <m/>
    <m/>
    <m/>
    <n v="800"/>
    <m/>
    <m/>
    <m/>
    <m/>
    <m/>
    <m/>
    <m/>
    <m/>
    <m/>
    <m/>
    <m/>
    <m/>
    <m/>
    <m/>
    <n v="0"/>
    <n v="0"/>
    <n v="0"/>
    <n v="0"/>
    <n v="0"/>
    <n v="0"/>
    <n v="0"/>
    <n v="0"/>
    <n v="0"/>
    <n v="0"/>
    <n v="0"/>
    <n v="0"/>
    <n v="0"/>
    <n v="0"/>
    <n v="0"/>
    <s v="MMR012CMP098"/>
    <x v="0"/>
    <m/>
  </r>
  <r>
    <n v="51.7"/>
    <x v="5"/>
    <x v="152"/>
    <x v="2"/>
    <s v="UNHCR"/>
    <x v="0"/>
    <x v="0"/>
    <s v="Ohn Taw Chay"/>
    <m/>
    <m/>
    <m/>
    <m/>
    <m/>
    <m/>
    <m/>
    <n v="800"/>
    <n v="400"/>
    <m/>
    <n v="400"/>
    <m/>
    <n v="800"/>
    <m/>
    <m/>
    <m/>
    <m/>
    <m/>
    <m/>
    <m/>
    <n v="0"/>
    <n v="0"/>
    <n v="0"/>
    <n v="0"/>
    <n v="0"/>
    <n v="0"/>
    <n v="0"/>
    <n v="0"/>
    <n v="0"/>
    <n v="0"/>
    <n v="0"/>
    <n v="0"/>
    <n v="0"/>
    <n v="0"/>
    <n v="0"/>
    <s v="MMR012CMP098"/>
    <x v="0"/>
    <m/>
  </r>
  <r>
    <n v="51.7"/>
    <x v="5"/>
    <x v="152"/>
    <x v="2"/>
    <s v="UNHCR"/>
    <x v="0"/>
    <x v="0"/>
    <s v="Ohn Taw Chay"/>
    <m/>
    <m/>
    <m/>
    <m/>
    <m/>
    <m/>
    <n v="309"/>
    <m/>
    <m/>
    <m/>
    <m/>
    <m/>
    <m/>
    <m/>
    <m/>
    <m/>
    <m/>
    <m/>
    <m/>
    <m/>
    <n v="0"/>
    <n v="0"/>
    <n v="0"/>
    <n v="0"/>
    <n v="0"/>
    <n v="0"/>
    <n v="0"/>
    <n v="0"/>
    <n v="0"/>
    <n v="0"/>
    <n v="0"/>
    <n v="0"/>
    <n v="0"/>
    <n v="0"/>
    <n v="0"/>
    <s v="MMR012CMP098"/>
    <x v="0"/>
    <m/>
  </r>
  <r>
    <n v="52.3"/>
    <x v="5"/>
    <x v="153"/>
    <x v="2"/>
    <s v="UNHCR"/>
    <x v="0"/>
    <x v="1"/>
    <s v="Nget Chaung"/>
    <m/>
    <m/>
    <m/>
    <m/>
    <m/>
    <n v="1966"/>
    <m/>
    <n v="1966"/>
    <n v="983"/>
    <n v="983"/>
    <n v="983"/>
    <m/>
    <n v="1966"/>
    <m/>
    <m/>
    <m/>
    <m/>
    <m/>
    <m/>
    <m/>
    <n v="0"/>
    <n v="0"/>
    <n v="0"/>
    <n v="0"/>
    <n v="0"/>
    <n v="0"/>
    <n v="0"/>
    <n v="0"/>
    <n v="0"/>
    <n v="0"/>
    <n v="0"/>
    <n v="0"/>
    <n v="0"/>
    <n v="0"/>
    <n v="0"/>
    <s v=""/>
    <x v="1"/>
    <m/>
  </r>
  <r>
    <n v="52.3"/>
    <x v="5"/>
    <x v="153"/>
    <x v="2"/>
    <s v="UNHCR"/>
    <x v="0"/>
    <x v="1"/>
    <s v="Sin Tet Maw"/>
    <m/>
    <m/>
    <m/>
    <m/>
    <m/>
    <n v="807"/>
    <n v="203"/>
    <m/>
    <m/>
    <n v="807"/>
    <m/>
    <m/>
    <m/>
    <m/>
    <m/>
    <m/>
    <m/>
    <m/>
    <m/>
    <m/>
    <n v="0"/>
    <n v="0"/>
    <n v="0"/>
    <n v="0"/>
    <n v="0"/>
    <n v="0"/>
    <n v="0"/>
    <n v="0"/>
    <n v="0"/>
    <n v="0"/>
    <n v="0"/>
    <n v="0"/>
    <n v="0"/>
    <n v="0"/>
    <n v="0"/>
    <s v="MMR012CMP019"/>
    <x v="0"/>
    <m/>
  </r>
  <r>
    <n v="52.333333333333336"/>
    <x v="5"/>
    <x v="154"/>
    <x v="12"/>
    <s v="RI"/>
    <x v="0"/>
    <x v="4"/>
    <s v="Taung Paw "/>
    <n v="743"/>
    <m/>
    <m/>
    <m/>
    <m/>
    <n v="743"/>
    <m/>
    <n v="743"/>
    <m/>
    <m/>
    <n v="743"/>
    <m/>
    <m/>
    <m/>
    <m/>
    <m/>
    <m/>
    <m/>
    <m/>
    <m/>
    <n v="0"/>
    <n v="0"/>
    <n v="0"/>
    <n v="0"/>
    <n v="0"/>
    <n v="0"/>
    <n v="0"/>
    <n v="0"/>
    <n v="0"/>
    <n v="0"/>
    <n v="0"/>
    <n v="0"/>
    <n v="0"/>
    <n v="0"/>
    <n v="0"/>
    <s v="MMR012CMP014"/>
    <x v="0"/>
    <m/>
  </r>
  <r>
    <n v="52.56666666666667"/>
    <x v="5"/>
    <x v="155"/>
    <x v="2"/>
    <s v="UNHCR"/>
    <x v="0"/>
    <x v="0"/>
    <s v="Ohn Taw Gyi (North)"/>
    <m/>
    <m/>
    <m/>
    <m/>
    <m/>
    <n v="2400"/>
    <m/>
    <n v="2400"/>
    <n v="1200"/>
    <m/>
    <n v="1200"/>
    <m/>
    <n v="6000"/>
    <m/>
    <m/>
    <m/>
    <m/>
    <m/>
    <m/>
    <m/>
    <n v="0"/>
    <n v="0"/>
    <n v="0"/>
    <n v="0"/>
    <n v="0"/>
    <n v="0"/>
    <n v="0"/>
    <n v="0"/>
    <n v="0"/>
    <n v="0"/>
    <n v="0"/>
    <n v="0"/>
    <n v="0"/>
    <n v="0"/>
    <n v="0"/>
    <s v="MMR012CMP115"/>
    <x v="0"/>
    <m/>
  </r>
  <r>
    <n v="52.56666666666667"/>
    <x v="5"/>
    <x v="155"/>
    <x v="2"/>
    <s v="UNHCR"/>
    <x v="0"/>
    <x v="0"/>
    <s v="Ohn Taw Gyi (North)"/>
    <m/>
    <m/>
    <m/>
    <m/>
    <m/>
    <m/>
    <n v="33"/>
    <m/>
    <m/>
    <m/>
    <m/>
    <m/>
    <m/>
    <m/>
    <m/>
    <m/>
    <m/>
    <m/>
    <m/>
    <m/>
    <n v="0"/>
    <n v="0"/>
    <n v="0"/>
    <n v="0"/>
    <n v="0"/>
    <n v="0"/>
    <n v="0"/>
    <n v="0"/>
    <n v="0"/>
    <n v="0"/>
    <n v="0"/>
    <n v="0"/>
    <n v="0"/>
    <n v="0"/>
    <n v="0"/>
    <s v="MMR012CMP115"/>
    <x v="0"/>
    <m/>
  </r>
  <r>
    <n v="53.1"/>
    <x v="5"/>
    <x v="156"/>
    <x v="18"/>
    <s v="LWF"/>
    <x v="0"/>
    <x v="0"/>
    <s v="Ohn Taw Gyi (South)"/>
    <m/>
    <m/>
    <m/>
    <n v="731"/>
    <m/>
    <m/>
    <m/>
    <m/>
    <m/>
    <m/>
    <m/>
    <m/>
    <m/>
    <m/>
    <m/>
    <m/>
    <m/>
    <m/>
    <m/>
    <m/>
    <n v="0"/>
    <n v="0"/>
    <n v="0"/>
    <n v="0"/>
    <n v="0"/>
    <n v="0"/>
    <n v="0"/>
    <n v="0"/>
    <n v="0"/>
    <n v="0"/>
    <n v="0"/>
    <n v="0"/>
    <n v="0"/>
    <n v="0"/>
    <n v="0"/>
    <s v="MMR012CMP116"/>
    <x v="0"/>
    <m/>
  </r>
  <r>
    <n v="53.266666666666666"/>
    <x v="5"/>
    <x v="157"/>
    <x v="18"/>
    <s v="LWF"/>
    <x v="0"/>
    <x v="0"/>
    <s v="Ohn Taw Gyi (South)"/>
    <m/>
    <m/>
    <m/>
    <n v="264"/>
    <m/>
    <m/>
    <m/>
    <m/>
    <m/>
    <m/>
    <m/>
    <m/>
    <m/>
    <m/>
    <m/>
    <m/>
    <m/>
    <m/>
    <m/>
    <m/>
    <n v="0"/>
    <n v="0"/>
    <n v="0"/>
    <n v="0"/>
    <n v="0"/>
    <n v="0"/>
    <n v="0"/>
    <n v="0"/>
    <n v="0"/>
    <n v="0"/>
    <n v="0"/>
    <n v="0"/>
    <n v="0"/>
    <n v="0"/>
    <n v="0"/>
    <s v="MMR012CMP116"/>
    <x v="0"/>
    <m/>
  </r>
  <r>
    <n v="53.3"/>
    <x v="5"/>
    <x v="158"/>
    <x v="2"/>
    <s v="UNHCR"/>
    <x v="0"/>
    <x v="3"/>
    <s v="Let Saung Kauk"/>
    <n v="48"/>
    <m/>
    <m/>
    <m/>
    <m/>
    <m/>
    <m/>
    <m/>
    <m/>
    <m/>
    <m/>
    <m/>
    <m/>
    <m/>
    <m/>
    <m/>
    <m/>
    <m/>
    <m/>
    <m/>
    <n v="0"/>
    <n v="0"/>
    <n v="0"/>
    <n v="0"/>
    <n v="0"/>
    <n v="0"/>
    <n v="0"/>
    <n v="0"/>
    <n v="0"/>
    <n v="0"/>
    <n v="0"/>
    <n v="0"/>
    <n v="0"/>
    <n v="0"/>
    <n v="0"/>
    <s v="MMR012CMP020"/>
    <x v="3"/>
    <m/>
  </r>
  <r>
    <n v="53.3"/>
    <x v="5"/>
    <x v="158"/>
    <x v="2"/>
    <s v="UNHCR"/>
    <x v="0"/>
    <x v="3"/>
    <s v="Nidin"/>
    <n v="187"/>
    <m/>
    <m/>
    <m/>
    <m/>
    <m/>
    <m/>
    <m/>
    <m/>
    <m/>
    <m/>
    <m/>
    <m/>
    <m/>
    <m/>
    <m/>
    <m/>
    <m/>
    <m/>
    <m/>
    <n v="0"/>
    <n v="0"/>
    <n v="0"/>
    <n v="0"/>
    <n v="0"/>
    <n v="0"/>
    <n v="0"/>
    <n v="0"/>
    <n v="0"/>
    <n v="0"/>
    <n v="0"/>
    <n v="0"/>
    <n v="0"/>
    <n v="0"/>
    <n v="0"/>
    <s v="MMR012CMP023"/>
    <x v="0"/>
    <m/>
  </r>
  <r>
    <n v="53.3"/>
    <x v="5"/>
    <x v="158"/>
    <x v="18"/>
    <s v="LWF"/>
    <x v="0"/>
    <x v="0"/>
    <s v="Ohn Taw Gyi (South)"/>
    <m/>
    <m/>
    <m/>
    <n v="200"/>
    <m/>
    <m/>
    <m/>
    <m/>
    <m/>
    <m/>
    <m/>
    <m/>
    <m/>
    <m/>
    <m/>
    <m/>
    <m/>
    <m/>
    <m/>
    <m/>
    <n v="0"/>
    <n v="0"/>
    <n v="0"/>
    <n v="0"/>
    <n v="0"/>
    <n v="0"/>
    <n v="0"/>
    <n v="0"/>
    <n v="0"/>
    <n v="0"/>
    <n v="0"/>
    <n v="0"/>
    <n v="0"/>
    <n v="0"/>
    <n v="0"/>
    <s v="MMR012CMP116"/>
    <x v="0"/>
    <m/>
  </r>
  <r>
    <n v="53.3"/>
    <x v="5"/>
    <x v="158"/>
    <x v="18"/>
    <s v="LWF"/>
    <x v="0"/>
    <x v="0"/>
    <s v="Ohn Taw Gyi (South)"/>
    <m/>
    <m/>
    <m/>
    <n v="103"/>
    <m/>
    <m/>
    <m/>
    <m/>
    <m/>
    <m/>
    <m/>
    <m/>
    <m/>
    <m/>
    <m/>
    <m/>
    <m/>
    <m/>
    <m/>
    <m/>
    <n v="0"/>
    <n v="0"/>
    <n v="0"/>
    <n v="0"/>
    <n v="0"/>
    <n v="0"/>
    <n v="0"/>
    <n v="0"/>
    <n v="0"/>
    <n v="0"/>
    <n v="0"/>
    <n v="0"/>
    <n v="0"/>
    <n v="0"/>
    <n v="0"/>
    <s v="MMR012CMP116"/>
    <x v="0"/>
    <m/>
  </r>
  <r>
    <n v="53.3"/>
    <x v="5"/>
    <x v="158"/>
    <x v="2"/>
    <s v="UNHCR"/>
    <x v="0"/>
    <x v="3"/>
    <s v="Shwe Hlaing"/>
    <n v="340"/>
    <m/>
    <m/>
    <m/>
    <m/>
    <m/>
    <m/>
    <m/>
    <m/>
    <m/>
    <m/>
    <m/>
    <m/>
    <m/>
    <m/>
    <m/>
    <m/>
    <m/>
    <m/>
    <m/>
    <n v="0"/>
    <n v="0"/>
    <n v="0"/>
    <n v="0"/>
    <n v="0"/>
    <n v="0"/>
    <n v="0"/>
    <n v="0"/>
    <n v="0"/>
    <n v="0"/>
    <n v="0"/>
    <n v="0"/>
    <n v="0"/>
    <n v="0"/>
    <n v="0"/>
    <s v="MMR012CMP029"/>
    <x v="3"/>
    <m/>
  </r>
  <r>
    <n v="53.333333333333336"/>
    <x v="5"/>
    <x v="159"/>
    <x v="2"/>
    <s v="UNHCR"/>
    <x v="0"/>
    <x v="3"/>
    <s v="Ah Lel Kyun"/>
    <n v="36"/>
    <m/>
    <m/>
    <m/>
    <m/>
    <n v="28"/>
    <n v="83"/>
    <n v="28"/>
    <n v="14"/>
    <n v="14"/>
    <n v="14"/>
    <m/>
    <n v="28"/>
    <m/>
    <m/>
    <m/>
    <m/>
    <m/>
    <m/>
    <m/>
    <n v="0"/>
    <n v="0"/>
    <n v="0"/>
    <n v="0"/>
    <n v="0"/>
    <n v="0"/>
    <n v="0"/>
    <n v="0"/>
    <n v="0"/>
    <n v="0"/>
    <n v="0"/>
    <n v="0"/>
    <n v="0"/>
    <n v="0"/>
    <n v="0"/>
    <s v="MMR012CMP025"/>
    <x v="3"/>
    <m/>
  </r>
  <r>
    <n v="53.333333333333336"/>
    <x v="5"/>
    <x v="159"/>
    <x v="18"/>
    <s v="LWF"/>
    <x v="0"/>
    <x v="0"/>
    <s v="Basare"/>
    <m/>
    <m/>
    <m/>
    <n v="395"/>
    <m/>
    <m/>
    <m/>
    <m/>
    <m/>
    <m/>
    <m/>
    <m/>
    <m/>
    <m/>
    <m/>
    <m/>
    <m/>
    <m/>
    <m/>
    <m/>
    <n v="0"/>
    <n v="0"/>
    <n v="0"/>
    <n v="0"/>
    <n v="0"/>
    <n v="0"/>
    <n v="0"/>
    <n v="0"/>
    <n v="0"/>
    <n v="0"/>
    <n v="0"/>
    <n v="0"/>
    <n v="0"/>
    <n v="0"/>
    <n v="0"/>
    <s v="MMR012CMP039"/>
    <x v="0"/>
    <m/>
  </r>
  <r>
    <n v="53.333333333333336"/>
    <x v="5"/>
    <x v="159"/>
    <x v="2"/>
    <s v="UNHCR"/>
    <x v="0"/>
    <x v="3"/>
    <s v="Khaung Htoke"/>
    <n v="220"/>
    <m/>
    <m/>
    <m/>
    <m/>
    <m/>
    <m/>
    <m/>
    <m/>
    <m/>
    <m/>
    <m/>
    <m/>
    <m/>
    <m/>
    <m/>
    <m/>
    <m/>
    <m/>
    <m/>
    <n v="0"/>
    <n v="0"/>
    <n v="0"/>
    <n v="0"/>
    <n v="0"/>
    <n v="0"/>
    <n v="0"/>
    <n v="0"/>
    <n v="0"/>
    <n v="0"/>
    <n v="0"/>
    <n v="0"/>
    <n v="0"/>
    <n v="0"/>
    <n v="0"/>
    <s v="MMR012CMP030"/>
    <x v="2"/>
    <m/>
  </r>
  <r>
    <n v="53.333333333333336"/>
    <x v="5"/>
    <x v="159"/>
    <x v="2"/>
    <s v="UNHCR"/>
    <x v="0"/>
    <x v="3"/>
    <s v="Taung Bwe"/>
    <n v="250"/>
    <m/>
    <m/>
    <m/>
    <m/>
    <m/>
    <m/>
    <m/>
    <m/>
    <m/>
    <m/>
    <m/>
    <m/>
    <m/>
    <m/>
    <m/>
    <m/>
    <m/>
    <m/>
    <m/>
    <n v="0"/>
    <n v="0"/>
    <n v="0"/>
    <n v="0"/>
    <n v="0"/>
    <n v="0"/>
    <n v="0"/>
    <n v="0"/>
    <n v="0"/>
    <n v="0"/>
    <n v="0"/>
    <n v="0"/>
    <n v="0"/>
    <n v="0"/>
    <n v="0"/>
    <s v="MMR012CMP021"/>
    <x v="3"/>
    <m/>
  </r>
  <r>
    <n v="53.733333333333334"/>
    <x v="5"/>
    <x v="160"/>
    <x v="2"/>
    <s v="UNHCR"/>
    <x v="0"/>
    <x v="3"/>
    <s v="Goke Pi Htaunt"/>
    <n v="280"/>
    <m/>
    <m/>
    <m/>
    <m/>
    <m/>
    <m/>
    <m/>
    <m/>
    <m/>
    <m/>
    <m/>
    <m/>
    <m/>
    <m/>
    <m/>
    <m/>
    <m/>
    <m/>
    <m/>
    <n v="0"/>
    <n v="0"/>
    <n v="0"/>
    <n v="0"/>
    <n v="0"/>
    <n v="0"/>
    <n v="0"/>
    <n v="0"/>
    <n v="0"/>
    <n v="0"/>
    <n v="0"/>
    <n v="0"/>
    <n v="0"/>
    <n v="0"/>
    <n v="0"/>
    <s v="MMR012CMP027"/>
    <x v="3"/>
    <m/>
  </r>
  <r>
    <n v="53.733333333333334"/>
    <x v="5"/>
    <x v="160"/>
    <x v="2"/>
    <s v="UNHCR"/>
    <x v="0"/>
    <x v="3"/>
    <s v="In Bar Yi"/>
    <n v="380"/>
    <m/>
    <m/>
    <m/>
    <m/>
    <m/>
    <m/>
    <m/>
    <m/>
    <m/>
    <m/>
    <m/>
    <m/>
    <m/>
    <m/>
    <m/>
    <m/>
    <m/>
    <m/>
    <m/>
    <n v="0"/>
    <n v="0"/>
    <n v="0"/>
    <n v="0"/>
    <n v="0"/>
    <n v="0"/>
    <n v="0"/>
    <n v="0"/>
    <n v="0"/>
    <n v="0"/>
    <n v="0"/>
    <n v="0"/>
    <n v="0"/>
    <n v="0"/>
    <n v="0"/>
    <s v="MMR012CMP026"/>
    <x v="3"/>
    <m/>
  </r>
  <r>
    <n v="53.833333333333336"/>
    <x v="5"/>
    <x v="161"/>
    <x v="2"/>
    <s v="UNHCR"/>
    <x v="0"/>
    <x v="3"/>
    <s v="Ah Pauk Wa "/>
    <n v="230"/>
    <m/>
    <m/>
    <m/>
    <m/>
    <m/>
    <m/>
    <m/>
    <m/>
    <m/>
    <m/>
    <m/>
    <m/>
    <m/>
    <m/>
    <m/>
    <m/>
    <m/>
    <m/>
    <m/>
    <n v="0"/>
    <n v="0"/>
    <n v="0"/>
    <n v="0"/>
    <n v="0"/>
    <n v="0"/>
    <n v="0"/>
    <n v="0"/>
    <n v="0"/>
    <n v="0"/>
    <n v="0"/>
    <n v="0"/>
    <n v="0"/>
    <n v="0"/>
    <n v="0"/>
    <s v="MMR012CMP024"/>
    <x v="3"/>
    <m/>
  </r>
  <r>
    <n v="53.833333333333336"/>
    <x v="5"/>
    <x v="161"/>
    <x v="2"/>
    <s v="UNHCR"/>
    <x v="0"/>
    <x v="3"/>
    <s v="Yun Nyar"/>
    <n v="300"/>
    <m/>
    <m/>
    <m/>
    <m/>
    <m/>
    <m/>
    <m/>
    <m/>
    <m/>
    <m/>
    <m/>
    <m/>
    <m/>
    <m/>
    <m/>
    <m/>
    <m/>
    <m/>
    <m/>
    <n v="0"/>
    <n v="0"/>
    <n v="0"/>
    <n v="0"/>
    <n v="0"/>
    <n v="0"/>
    <n v="0"/>
    <n v="0"/>
    <n v="0"/>
    <n v="0"/>
    <n v="0"/>
    <n v="0"/>
    <n v="0"/>
    <n v="0"/>
    <n v="0"/>
    <s v="MMR012CMP028"/>
    <x v="3"/>
    <m/>
  </r>
  <r>
    <n v="54.033333333333331"/>
    <x v="5"/>
    <x v="162"/>
    <x v="2"/>
    <s v="UNHCR"/>
    <x v="0"/>
    <x v="0"/>
    <s v="Set Yone Su"/>
    <m/>
    <m/>
    <m/>
    <m/>
    <m/>
    <m/>
    <m/>
    <m/>
    <m/>
    <n v="250"/>
    <m/>
    <m/>
    <m/>
    <m/>
    <m/>
    <m/>
    <m/>
    <m/>
    <m/>
    <m/>
    <n v="0"/>
    <n v="0"/>
    <n v="0"/>
    <n v="0"/>
    <n v="0"/>
    <n v="0"/>
    <n v="0"/>
    <n v="0"/>
    <n v="0"/>
    <n v="0"/>
    <n v="0"/>
    <n v="0"/>
    <n v="0"/>
    <n v="0"/>
    <n v="0"/>
    <s v="MMR012CMP056"/>
    <x v="2"/>
    <m/>
  </r>
  <r>
    <n v="54.166666666666664"/>
    <x v="5"/>
    <x v="163"/>
    <x v="18"/>
    <s v="LWF"/>
    <x v="0"/>
    <x v="0"/>
    <s v="Ohn Taw Gyi (South)"/>
    <m/>
    <m/>
    <m/>
    <n v="948"/>
    <m/>
    <m/>
    <m/>
    <m/>
    <m/>
    <m/>
    <m/>
    <m/>
    <m/>
    <m/>
    <m/>
    <m/>
    <m/>
    <m/>
    <m/>
    <m/>
    <n v="0"/>
    <n v="0"/>
    <n v="0"/>
    <n v="0"/>
    <n v="0"/>
    <n v="0"/>
    <n v="0"/>
    <n v="0"/>
    <n v="0"/>
    <n v="0"/>
    <n v="0"/>
    <n v="0"/>
    <n v="0"/>
    <n v="0"/>
    <n v="0"/>
    <s v="MMR012CMP116"/>
    <x v="0"/>
    <m/>
  </r>
  <r>
    <n v="54.2"/>
    <x v="5"/>
    <x v="164"/>
    <x v="2"/>
    <s v="UNHCR"/>
    <x v="0"/>
    <x v="0"/>
    <s v="Sat Roe Kya 1"/>
    <m/>
    <m/>
    <m/>
    <m/>
    <m/>
    <m/>
    <m/>
    <m/>
    <m/>
    <n v="631"/>
    <m/>
    <m/>
    <m/>
    <m/>
    <m/>
    <m/>
    <m/>
    <m/>
    <m/>
    <m/>
    <n v="0"/>
    <n v="0"/>
    <n v="0"/>
    <n v="0"/>
    <n v="0"/>
    <n v="0"/>
    <n v="0"/>
    <n v="0"/>
    <n v="0"/>
    <n v="0"/>
    <n v="0"/>
    <n v="0"/>
    <n v="0"/>
    <n v="0"/>
    <n v="0"/>
    <s v="MMR012CMP111"/>
    <x v="2"/>
    <m/>
  </r>
  <r>
    <n v="55.133333333333333"/>
    <x v="5"/>
    <x v="165"/>
    <x v="2"/>
    <s v="UNHCR"/>
    <x v="0"/>
    <x v="1"/>
    <s v="Ba Wan Chaung Wa Su"/>
    <m/>
    <m/>
    <m/>
    <m/>
    <m/>
    <n v="42"/>
    <m/>
    <n v="42"/>
    <n v="21"/>
    <n v="21"/>
    <n v="21"/>
    <m/>
    <n v="42"/>
    <m/>
    <m/>
    <m/>
    <m/>
    <m/>
    <m/>
    <m/>
    <n v="0"/>
    <n v="0"/>
    <n v="0"/>
    <n v="0"/>
    <n v="0"/>
    <n v="0"/>
    <n v="0"/>
    <n v="0"/>
    <n v="0"/>
    <n v="0"/>
    <n v="0"/>
    <n v="0"/>
    <n v="0"/>
    <n v="0"/>
    <n v="0"/>
    <s v="MMR012CMP015"/>
    <x v="2"/>
    <m/>
  </r>
  <r>
    <n v="55.166666666666664"/>
    <x v="5"/>
    <x v="166"/>
    <x v="2"/>
    <s v="UNHCR"/>
    <x v="0"/>
    <x v="1"/>
    <s v="Kyein Ni Pyin"/>
    <m/>
    <m/>
    <m/>
    <m/>
    <m/>
    <n v="2658"/>
    <n v="940"/>
    <n v="1880"/>
    <n v="940"/>
    <n v="1718"/>
    <n v="940"/>
    <m/>
    <n v="1880"/>
    <m/>
    <m/>
    <m/>
    <m/>
    <m/>
    <m/>
    <m/>
    <n v="0"/>
    <n v="0"/>
    <n v="0"/>
    <n v="0"/>
    <n v="0"/>
    <n v="0"/>
    <n v="0"/>
    <n v="0"/>
    <n v="0"/>
    <n v="0"/>
    <n v="0"/>
    <n v="0"/>
    <n v="0"/>
    <n v="0"/>
    <n v="0"/>
    <s v="MMR012CMP018"/>
    <x v="0"/>
    <m/>
  </r>
  <r>
    <n v="55.366666666666667"/>
    <x v="5"/>
    <x v="167"/>
    <x v="2"/>
    <s v="UNHCR"/>
    <x v="0"/>
    <x v="7"/>
    <s v="Thi Kyar"/>
    <m/>
    <m/>
    <m/>
    <m/>
    <m/>
    <n v="62"/>
    <m/>
    <n v="62"/>
    <n v="31"/>
    <n v="31"/>
    <n v="31"/>
    <m/>
    <n v="62"/>
    <m/>
    <m/>
    <m/>
    <m/>
    <m/>
    <m/>
    <m/>
    <n v="0"/>
    <n v="0"/>
    <n v="0"/>
    <n v="0"/>
    <n v="0"/>
    <n v="0"/>
    <n v="0"/>
    <n v="0"/>
    <n v="0"/>
    <n v="0"/>
    <n v="0"/>
    <n v="0"/>
    <n v="0"/>
    <n v="0"/>
    <n v="0"/>
    <s v="MMR012CMP117"/>
    <x v="2"/>
    <m/>
  </r>
  <r>
    <n v="55.9"/>
    <x v="5"/>
    <x v="168"/>
    <x v="2"/>
    <s v="UNHCR"/>
    <x v="0"/>
    <x v="1"/>
    <s v="Ah Nauk Ywe"/>
    <m/>
    <m/>
    <m/>
    <m/>
    <m/>
    <n v="1652"/>
    <n v="99"/>
    <n v="1652"/>
    <n v="826"/>
    <n v="826"/>
    <n v="826"/>
    <m/>
    <n v="1652"/>
    <m/>
    <m/>
    <m/>
    <m/>
    <m/>
    <m/>
    <m/>
    <n v="0"/>
    <n v="0"/>
    <n v="0"/>
    <n v="0"/>
    <n v="0"/>
    <n v="0"/>
    <n v="0"/>
    <n v="0"/>
    <n v="0"/>
    <n v="0"/>
    <n v="0"/>
    <n v="0"/>
    <n v="0"/>
    <n v="0"/>
    <n v="0"/>
    <s v="MMR012CMP016"/>
    <x v="0"/>
    <m/>
  </r>
  <r>
    <n v="56.366666666666667"/>
    <x v="5"/>
    <x v="169"/>
    <x v="2"/>
    <s v="UNHCR"/>
    <x v="0"/>
    <x v="1"/>
    <s v="Nget Chaung"/>
    <m/>
    <m/>
    <m/>
    <m/>
    <m/>
    <n v="0"/>
    <n v="203"/>
    <n v="0"/>
    <m/>
    <m/>
    <m/>
    <m/>
    <n v="448"/>
    <m/>
    <m/>
    <m/>
    <m/>
    <m/>
    <m/>
    <m/>
    <n v="0"/>
    <n v="0"/>
    <n v="0"/>
    <n v="0"/>
    <n v="0"/>
    <n v="0"/>
    <n v="0"/>
    <n v="0"/>
    <n v="0"/>
    <n v="0"/>
    <n v="0"/>
    <n v="0"/>
    <n v="0"/>
    <n v="0"/>
    <n v="0"/>
    <s v=""/>
    <x v="1"/>
    <m/>
  </r>
  <r>
    <n v="56.533333333333331"/>
    <x v="5"/>
    <x v="170"/>
    <x v="2"/>
    <s v="UNHCR"/>
    <x v="0"/>
    <x v="4"/>
    <s v="Kan Thar Htwat Wa"/>
    <m/>
    <m/>
    <m/>
    <n v="44"/>
    <m/>
    <n v="88"/>
    <n v="44"/>
    <n v="88"/>
    <n v="44"/>
    <n v="44"/>
    <n v="44"/>
    <m/>
    <n v="88"/>
    <m/>
    <m/>
    <m/>
    <m/>
    <m/>
    <m/>
    <m/>
    <n v="0"/>
    <n v="0"/>
    <n v="0"/>
    <n v="0"/>
    <n v="0"/>
    <n v="0"/>
    <n v="0"/>
    <n v="0"/>
    <n v="0"/>
    <n v="0"/>
    <n v="0"/>
    <n v="0"/>
    <n v="0"/>
    <n v="0"/>
    <n v="0"/>
    <s v="MMR012CMP013"/>
    <x v="2"/>
    <m/>
  </r>
  <r>
    <n v="56.533333333333331"/>
    <x v="5"/>
    <x v="170"/>
    <x v="2"/>
    <s v="UNHCR"/>
    <x v="0"/>
    <x v="4"/>
    <s v="Taung Paw "/>
    <m/>
    <m/>
    <m/>
    <n v="755"/>
    <m/>
    <n v="1510"/>
    <n v="755"/>
    <n v="1510"/>
    <n v="755"/>
    <n v="755"/>
    <n v="755"/>
    <m/>
    <n v="1510"/>
    <m/>
    <m/>
    <m/>
    <m/>
    <m/>
    <m/>
    <m/>
    <n v="0"/>
    <n v="0"/>
    <n v="0"/>
    <n v="0"/>
    <n v="0"/>
    <n v="0"/>
    <n v="0"/>
    <n v="0"/>
    <n v="0"/>
    <n v="0"/>
    <n v="0"/>
    <n v="0"/>
    <n v="0"/>
    <n v="0"/>
    <n v="0"/>
    <s v="MMR012CMP014"/>
    <x v="0"/>
    <m/>
  </r>
  <r>
    <n v="57.5"/>
    <x v="5"/>
    <x v="171"/>
    <x v="2"/>
    <s v="UNHCR"/>
    <x v="0"/>
    <x v="6"/>
    <s v="San Htoe Tan"/>
    <m/>
    <m/>
    <m/>
    <m/>
    <m/>
    <n v="240"/>
    <m/>
    <n v="240"/>
    <n v="120"/>
    <n v="120"/>
    <n v="120"/>
    <m/>
    <n v="240"/>
    <m/>
    <m/>
    <m/>
    <m/>
    <m/>
    <m/>
    <m/>
    <n v="0"/>
    <n v="0"/>
    <n v="0"/>
    <n v="0"/>
    <n v="0"/>
    <n v="0"/>
    <n v="0"/>
    <n v="0"/>
    <n v="0"/>
    <n v="0"/>
    <n v="0"/>
    <n v="0"/>
    <n v="0"/>
    <n v="0"/>
    <n v="0"/>
    <s v="MMR012CMP003"/>
    <x v="3"/>
    <m/>
  </r>
  <r>
    <n v="57.5"/>
    <x v="5"/>
    <x v="171"/>
    <x v="2"/>
    <s v="UNHCR"/>
    <x v="0"/>
    <x v="6"/>
    <s v="Tha Dar"/>
    <m/>
    <m/>
    <m/>
    <m/>
    <m/>
    <n v="428"/>
    <m/>
    <n v="428"/>
    <n v="214"/>
    <n v="214"/>
    <n v="214"/>
    <m/>
    <n v="428"/>
    <m/>
    <m/>
    <m/>
    <m/>
    <m/>
    <m/>
    <m/>
    <n v="0"/>
    <n v="0"/>
    <n v="0"/>
    <n v="0"/>
    <n v="0"/>
    <n v="0"/>
    <n v="0"/>
    <n v="0"/>
    <n v="0"/>
    <n v="0"/>
    <n v="0"/>
    <n v="0"/>
    <n v="0"/>
    <n v="0"/>
    <n v="0"/>
    <s v="MMR012CMP002"/>
    <x v="3"/>
    <m/>
  </r>
  <r>
    <n v="57.533333333333331"/>
    <x v="5"/>
    <x v="172"/>
    <x v="2"/>
    <s v="UNHCR"/>
    <x v="0"/>
    <x v="6"/>
    <s v="Aung Taing"/>
    <m/>
    <m/>
    <m/>
    <m/>
    <m/>
    <n v="290"/>
    <n v="1312"/>
    <n v="290"/>
    <n v="145"/>
    <n v="145"/>
    <n v="145"/>
    <m/>
    <n v="290"/>
    <m/>
    <m/>
    <m/>
    <m/>
    <m/>
    <m/>
    <m/>
    <n v="0"/>
    <n v="0"/>
    <n v="0"/>
    <n v="0"/>
    <n v="0"/>
    <n v="0"/>
    <n v="0"/>
    <n v="0"/>
    <n v="0"/>
    <n v="0"/>
    <n v="0"/>
    <n v="0"/>
    <n v="0"/>
    <n v="0"/>
    <n v="0"/>
    <s v="MMR012CMP006"/>
    <x v="3"/>
    <m/>
  </r>
  <r>
    <n v="57.533333333333331"/>
    <x v="5"/>
    <x v="172"/>
    <x v="2"/>
    <s v="UNHCR"/>
    <x v="0"/>
    <x v="6"/>
    <s v="Paik Thay"/>
    <m/>
    <m/>
    <m/>
    <m/>
    <m/>
    <n v="130"/>
    <n v="108"/>
    <n v="130"/>
    <n v="65"/>
    <n v="65"/>
    <n v="65"/>
    <m/>
    <n v="130"/>
    <m/>
    <m/>
    <m/>
    <m/>
    <m/>
    <m/>
    <m/>
    <n v="0"/>
    <n v="0"/>
    <n v="0"/>
    <n v="0"/>
    <n v="0"/>
    <n v="0"/>
    <n v="0"/>
    <n v="0"/>
    <n v="0"/>
    <n v="0"/>
    <n v="0"/>
    <n v="0"/>
    <n v="0"/>
    <n v="0"/>
    <n v="0"/>
    <s v="MMR012CMP001"/>
    <x v="3"/>
    <m/>
  </r>
  <r>
    <n v="57.533333333333331"/>
    <x v="5"/>
    <x v="172"/>
    <x v="2"/>
    <s v="UNHCR"/>
    <x v="0"/>
    <x v="6"/>
    <s v="Sam Ba Le"/>
    <m/>
    <m/>
    <m/>
    <m/>
    <m/>
    <n v="490"/>
    <m/>
    <n v="490"/>
    <n v="245"/>
    <n v="245"/>
    <n v="245"/>
    <m/>
    <n v="490"/>
    <m/>
    <m/>
    <m/>
    <m/>
    <m/>
    <m/>
    <m/>
    <n v="0"/>
    <n v="0"/>
    <n v="0"/>
    <n v="0"/>
    <n v="0"/>
    <n v="0"/>
    <n v="0"/>
    <n v="0"/>
    <n v="0"/>
    <n v="0"/>
    <n v="0"/>
    <n v="0"/>
    <n v="0"/>
    <n v="0"/>
    <n v="0"/>
    <s v="MMR012CMP008"/>
    <x v="3"/>
    <m/>
  </r>
  <r>
    <n v="57.533333333333331"/>
    <x v="5"/>
    <x v="172"/>
    <x v="2"/>
    <s v="UNHCR"/>
    <x v="0"/>
    <x v="6"/>
    <s v="Thay Kan"/>
    <m/>
    <m/>
    <m/>
    <n v="33"/>
    <m/>
    <n v="66"/>
    <n v="33"/>
    <n v="66"/>
    <n v="33"/>
    <n v="33"/>
    <n v="33"/>
    <m/>
    <n v="66"/>
    <m/>
    <m/>
    <m/>
    <m/>
    <m/>
    <m/>
    <m/>
    <n v="0"/>
    <n v="0"/>
    <n v="0"/>
    <n v="0"/>
    <n v="0"/>
    <n v="0"/>
    <n v="0"/>
    <n v="0"/>
    <n v="0"/>
    <n v="0"/>
    <n v="0"/>
    <n v="0"/>
    <n v="0"/>
    <n v="0"/>
    <n v="0"/>
    <s v="MMR012CMP007"/>
    <x v="4"/>
    <m/>
  </r>
  <r>
    <n v="57.533333333333331"/>
    <x v="5"/>
    <x v="172"/>
    <x v="2"/>
    <s v="UNHCR"/>
    <x v="0"/>
    <x v="6"/>
    <s v="Thay Kan"/>
    <m/>
    <m/>
    <m/>
    <m/>
    <m/>
    <m/>
    <m/>
    <m/>
    <m/>
    <m/>
    <m/>
    <m/>
    <m/>
    <m/>
    <m/>
    <m/>
    <m/>
    <m/>
    <m/>
    <m/>
    <n v="0"/>
    <n v="0"/>
    <n v="0"/>
    <n v="0"/>
    <n v="0"/>
    <n v="0"/>
    <n v="0"/>
    <n v="0"/>
    <n v="0"/>
    <n v="0"/>
    <n v="0"/>
    <n v="0"/>
    <n v="0"/>
    <n v="0"/>
    <n v="0"/>
    <s v="MMR012CMP007"/>
    <x v="4"/>
    <m/>
  </r>
  <r>
    <n v="57.633333333333333"/>
    <x v="5"/>
    <x v="173"/>
    <x v="2"/>
    <s v="UNHCR"/>
    <x v="0"/>
    <x v="7"/>
    <s v="Pa Rein"/>
    <m/>
    <m/>
    <m/>
    <m/>
    <m/>
    <n v="600"/>
    <n v="5"/>
    <n v="600"/>
    <n v="300"/>
    <n v="300"/>
    <n v="300"/>
    <m/>
    <n v="600"/>
    <m/>
    <m/>
    <m/>
    <m/>
    <m/>
    <m/>
    <m/>
    <n v="0"/>
    <n v="0"/>
    <n v="0"/>
    <n v="0"/>
    <n v="0"/>
    <n v="0"/>
    <n v="0"/>
    <n v="0"/>
    <n v="0"/>
    <n v="0"/>
    <n v="0"/>
    <n v="0"/>
    <n v="0"/>
    <n v="0"/>
    <n v="0"/>
    <s v="MMR012CMP009"/>
    <x v="3"/>
    <m/>
  </r>
  <r>
    <n v="57.633333333333333"/>
    <x v="5"/>
    <x v="173"/>
    <x v="2"/>
    <s v="UNHCR"/>
    <x v="0"/>
    <x v="6"/>
    <s v="Tha Yet Oak"/>
    <m/>
    <m/>
    <m/>
    <m/>
    <m/>
    <n v="458"/>
    <m/>
    <n v="458"/>
    <n v="229"/>
    <n v="229"/>
    <n v="229"/>
    <m/>
    <n v="458"/>
    <m/>
    <m/>
    <m/>
    <m/>
    <m/>
    <m/>
    <m/>
    <n v="0"/>
    <n v="0"/>
    <n v="0"/>
    <n v="0"/>
    <n v="0"/>
    <n v="0"/>
    <n v="0"/>
    <n v="0"/>
    <n v="0"/>
    <n v="0"/>
    <n v="0"/>
    <n v="0"/>
    <n v="0"/>
    <n v="0"/>
    <n v="0"/>
    <s v="MMR012CMP005"/>
    <x v="3"/>
    <m/>
  </r>
  <r>
    <n v="57.633333333333333"/>
    <x v="5"/>
    <x v="173"/>
    <x v="2"/>
    <s v="UNHCR"/>
    <x v="0"/>
    <x v="7"/>
    <s v="Yai Thei-Muslim"/>
    <m/>
    <m/>
    <m/>
    <m/>
    <m/>
    <n v="730"/>
    <m/>
    <n v="730"/>
    <n v="365"/>
    <n v="365"/>
    <n v="365"/>
    <m/>
    <n v="730"/>
    <m/>
    <m/>
    <m/>
    <m/>
    <m/>
    <m/>
    <m/>
    <n v="0"/>
    <n v="0"/>
    <n v="0"/>
    <n v="0"/>
    <n v="0"/>
    <n v="0"/>
    <n v="0"/>
    <n v="0"/>
    <n v="0"/>
    <n v="0"/>
    <n v="0"/>
    <n v="0"/>
    <n v="0"/>
    <n v="0"/>
    <n v="0"/>
    <s v="MMR012CMP010"/>
    <x v="3"/>
    <m/>
  </r>
  <r>
    <n v="57.8"/>
    <x v="5"/>
    <x v="174"/>
    <x v="2"/>
    <s v="UNHCR"/>
    <x v="0"/>
    <x v="3"/>
    <s v="Ah Pauk Wa "/>
    <m/>
    <m/>
    <m/>
    <m/>
    <m/>
    <n v="224"/>
    <n v="400"/>
    <n v="224"/>
    <n v="112"/>
    <n v="112"/>
    <n v="112"/>
    <m/>
    <n v="224"/>
    <m/>
    <m/>
    <m/>
    <m/>
    <m/>
    <m/>
    <m/>
    <n v="0"/>
    <n v="0"/>
    <n v="0"/>
    <n v="0"/>
    <n v="0"/>
    <n v="0"/>
    <n v="0"/>
    <n v="0"/>
    <n v="0"/>
    <n v="0"/>
    <n v="0"/>
    <n v="0"/>
    <n v="0"/>
    <n v="0"/>
    <n v="0"/>
    <s v="MMR012CMP024"/>
    <x v="3"/>
    <m/>
  </r>
  <r>
    <n v="57.8"/>
    <x v="5"/>
    <x v="174"/>
    <x v="2"/>
    <s v="UNHCR"/>
    <x v="0"/>
    <x v="3"/>
    <s v="Goke Pi Htaunt"/>
    <m/>
    <m/>
    <m/>
    <m/>
    <m/>
    <n v="232"/>
    <n v="220"/>
    <n v="232"/>
    <n v="116"/>
    <n v="116"/>
    <n v="116"/>
    <m/>
    <n v="232"/>
    <m/>
    <m/>
    <m/>
    <m/>
    <m/>
    <m/>
    <m/>
    <n v="0"/>
    <n v="0"/>
    <n v="0"/>
    <n v="0"/>
    <n v="0"/>
    <n v="0"/>
    <n v="0"/>
    <n v="0"/>
    <n v="0"/>
    <n v="0"/>
    <n v="0"/>
    <n v="0"/>
    <n v="0"/>
    <n v="0"/>
    <n v="0"/>
    <s v="MMR012CMP027"/>
    <x v="3"/>
    <m/>
  </r>
  <r>
    <n v="57.8"/>
    <x v="5"/>
    <x v="174"/>
    <x v="2"/>
    <s v="UNHCR"/>
    <x v="0"/>
    <x v="3"/>
    <s v="In Bar Yi"/>
    <m/>
    <m/>
    <m/>
    <m/>
    <m/>
    <n v="460"/>
    <n v="145"/>
    <n v="460"/>
    <n v="230"/>
    <n v="230"/>
    <n v="230"/>
    <m/>
    <n v="460"/>
    <m/>
    <m/>
    <m/>
    <m/>
    <m/>
    <m/>
    <m/>
    <n v="0"/>
    <n v="0"/>
    <n v="0"/>
    <n v="0"/>
    <n v="0"/>
    <n v="0"/>
    <n v="0"/>
    <n v="0"/>
    <n v="0"/>
    <n v="0"/>
    <n v="0"/>
    <n v="0"/>
    <n v="0"/>
    <n v="0"/>
    <n v="0"/>
    <s v="MMR012CMP026"/>
    <x v="3"/>
    <m/>
  </r>
  <r>
    <n v="57.8"/>
    <x v="5"/>
    <x v="174"/>
    <x v="2"/>
    <s v="UNHCR"/>
    <x v="0"/>
    <x v="3"/>
    <s v="Khaung Htoke"/>
    <m/>
    <m/>
    <m/>
    <m/>
    <m/>
    <n v="318"/>
    <n v="4"/>
    <n v="318"/>
    <n v="159"/>
    <n v="159"/>
    <n v="159"/>
    <m/>
    <n v="318"/>
    <m/>
    <m/>
    <m/>
    <m/>
    <m/>
    <m/>
    <m/>
    <n v="0"/>
    <n v="0"/>
    <n v="0"/>
    <n v="0"/>
    <n v="0"/>
    <n v="0"/>
    <n v="0"/>
    <n v="0"/>
    <n v="0"/>
    <n v="0"/>
    <n v="0"/>
    <n v="0"/>
    <n v="0"/>
    <n v="0"/>
    <n v="0"/>
    <s v="MMR012CMP030"/>
    <x v="2"/>
    <m/>
  </r>
  <r>
    <n v="57.8"/>
    <x v="5"/>
    <x v="174"/>
    <x v="22"/>
    <s v="UNHCR"/>
    <x v="0"/>
    <x v="3"/>
    <s v="Let Saung Kauk"/>
    <m/>
    <m/>
    <m/>
    <m/>
    <n v="60"/>
    <m/>
    <m/>
    <m/>
    <m/>
    <m/>
    <m/>
    <m/>
    <m/>
    <m/>
    <m/>
    <m/>
    <m/>
    <m/>
    <m/>
    <m/>
    <n v="0"/>
    <n v="0"/>
    <n v="0"/>
    <n v="0"/>
    <n v="0"/>
    <n v="0"/>
    <n v="0"/>
    <n v="0"/>
    <n v="0"/>
    <n v="0"/>
    <n v="0"/>
    <n v="0"/>
    <n v="0"/>
    <n v="0"/>
    <n v="0"/>
    <s v="MMR012CMP020"/>
    <x v="3"/>
    <m/>
  </r>
  <r>
    <n v="57.8"/>
    <x v="5"/>
    <x v="174"/>
    <x v="2"/>
    <s v="UNHCR"/>
    <x v="0"/>
    <x v="3"/>
    <s v="Let Saung Kauk"/>
    <m/>
    <m/>
    <m/>
    <m/>
    <m/>
    <n v="166"/>
    <n v="81"/>
    <n v="166"/>
    <n v="83"/>
    <n v="83"/>
    <n v="83"/>
    <m/>
    <n v="166"/>
    <m/>
    <m/>
    <m/>
    <m/>
    <m/>
    <m/>
    <m/>
    <n v="0"/>
    <n v="0"/>
    <n v="0"/>
    <n v="0"/>
    <n v="0"/>
    <n v="0"/>
    <n v="0"/>
    <n v="0"/>
    <n v="0"/>
    <n v="0"/>
    <n v="0"/>
    <n v="0"/>
    <n v="0"/>
    <n v="0"/>
    <n v="0"/>
    <s v="MMR012CMP020"/>
    <x v="3"/>
    <m/>
  </r>
  <r>
    <n v="57.8"/>
    <x v="5"/>
    <x v="174"/>
    <x v="2"/>
    <s v="UNHCR"/>
    <x v="0"/>
    <x v="3"/>
    <s v="Nidin"/>
    <m/>
    <m/>
    <m/>
    <m/>
    <m/>
    <n v="326"/>
    <n v="326"/>
    <n v="326"/>
    <n v="163"/>
    <n v="163"/>
    <n v="163"/>
    <m/>
    <n v="326"/>
    <m/>
    <m/>
    <m/>
    <m/>
    <m/>
    <m/>
    <m/>
    <n v="0"/>
    <n v="0"/>
    <n v="0"/>
    <n v="0"/>
    <n v="0"/>
    <n v="0"/>
    <n v="0"/>
    <n v="0"/>
    <n v="0"/>
    <n v="0"/>
    <n v="0"/>
    <n v="0"/>
    <n v="0"/>
    <n v="0"/>
    <n v="0"/>
    <s v="MMR012CMP023"/>
    <x v="0"/>
    <m/>
  </r>
  <r>
    <n v="57.8"/>
    <x v="5"/>
    <x v="174"/>
    <x v="2"/>
    <s v="UNHCR"/>
    <x v="0"/>
    <x v="3"/>
    <s v="Shwe Hlaing"/>
    <m/>
    <m/>
    <m/>
    <m/>
    <m/>
    <n v="290"/>
    <m/>
    <n v="290"/>
    <n v="145"/>
    <n v="145"/>
    <n v="145"/>
    <m/>
    <n v="290"/>
    <m/>
    <m/>
    <m/>
    <m/>
    <m/>
    <m/>
    <m/>
    <n v="0"/>
    <n v="0"/>
    <n v="0"/>
    <n v="0"/>
    <n v="0"/>
    <n v="0"/>
    <n v="0"/>
    <n v="0"/>
    <n v="0"/>
    <n v="0"/>
    <n v="0"/>
    <n v="0"/>
    <n v="0"/>
    <n v="0"/>
    <n v="0"/>
    <s v="MMR012CMP029"/>
    <x v="3"/>
    <m/>
  </r>
  <r>
    <n v="57.8"/>
    <x v="5"/>
    <x v="174"/>
    <x v="2"/>
    <s v="UNHCR"/>
    <x v="0"/>
    <x v="3"/>
    <s v="Taung Bwe"/>
    <m/>
    <m/>
    <m/>
    <m/>
    <m/>
    <n v="190"/>
    <m/>
    <n v="190"/>
    <n v="95"/>
    <n v="95"/>
    <n v="95"/>
    <m/>
    <n v="190"/>
    <m/>
    <m/>
    <m/>
    <m/>
    <m/>
    <m/>
    <m/>
    <n v="0"/>
    <n v="0"/>
    <n v="0"/>
    <n v="0"/>
    <n v="0"/>
    <n v="0"/>
    <n v="0"/>
    <n v="0"/>
    <n v="0"/>
    <n v="0"/>
    <n v="0"/>
    <n v="0"/>
    <n v="0"/>
    <n v="0"/>
    <n v="0"/>
    <s v="MMR012CMP021"/>
    <x v="3"/>
    <m/>
  </r>
  <r>
    <n v="57.8"/>
    <x v="5"/>
    <x v="174"/>
    <x v="2"/>
    <s v="UNHCR"/>
    <x v="0"/>
    <x v="3"/>
    <s v="Yun Nyar"/>
    <m/>
    <m/>
    <m/>
    <m/>
    <m/>
    <n v="216"/>
    <m/>
    <n v="216"/>
    <n v="108"/>
    <n v="108"/>
    <n v="108"/>
    <m/>
    <n v="216"/>
    <m/>
    <m/>
    <m/>
    <m/>
    <m/>
    <m/>
    <m/>
    <n v="0"/>
    <n v="0"/>
    <n v="0"/>
    <n v="0"/>
    <n v="0"/>
    <n v="0"/>
    <n v="0"/>
    <n v="0"/>
    <n v="0"/>
    <n v="0"/>
    <n v="0"/>
    <n v="0"/>
    <n v="0"/>
    <n v="0"/>
    <n v="0"/>
    <s v="MMR012CMP028"/>
    <x v="3"/>
    <m/>
  </r>
  <r>
    <n v="57.8"/>
    <x v="5"/>
    <x v="174"/>
    <x v="2"/>
    <s v="UNHCR"/>
    <x v="0"/>
    <x v="3"/>
    <s v="Yun Nyar"/>
    <m/>
    <m/>
    <m/>
    <m/>
    <m/>
    <m/>
    <m/>
    <m/>
    <m/>
    <m/>
    <m/>
    <m/>
    <m/>
    <m/>
    <m/>
    <m/>
    <m/>
    <m/>
    <m/>
    <m/>
    <n v="0"/>
    <n v="0"/>
    <n v="0"/>
    <n v="0"/>
    <n v="0"/>
    <n v="0"/>
    <n v="0"/>
    <n v="0"/>
    <n v="0"/>
    <n v="0"/>
    <n v="0"/>
    <n v="0"/>
    <n v="0"/>
    <n v="0"/>
    <n v="0"/>
    <s v="MMR012CMP028"/>
    <x v="3"/>
    <m/>
  </r>
  <r>
    <n v="57.966666666666669"/>
    <x v="5"/>
    <x v="175"/>
    <x v="23"/>
    <s v="Muslim Aid"/>
    <x v="0"/>
    <x v="0"/>
    <s v="Ohn Taw Gyi 1"/>
    <m/>
    <m/>
    <m/>
    <m/>
    <m/>
    <n v="273"/>
    <n v="273"/>
    <n v="273"/>
    <m/>
    <m/>
    <n v="273"/>
    <m/>
    <n v="273"/>
    <m/>
    <m/>
    <m/>
    <m/>
    <m/>
    <m/>
    <m/>
    <n v="0"/>
    <n v="0"/>
    <n v="0"/>
    <n v="0"/>
    <n v="0"/>
    <n v="0"/>
    <n v="0"/>
    <n v="0"/>
    <n v="0"/>
    <n v="0"/>
    <n v="0"/>
    <n v="0"/>
    <n v="0"/>
    <n v="0"/>
    <n v="0"/>
    <s v="MMR012CMP043"/>
    <x v="4"/>
    <m/>
  </r>
  <r>
    <n v="57.966666666666669"/>
    <x v="5"/>
    <x v="175"/>
    <x v="23"/>
    <s v="Muslim Aid"/>
    <x v="0"/>
    <x v="0"/>
    <s v="Set Yone Su"/>
    <m/>
    <m/>
    <m/>
    <m/>
    <m/>
    <n v="20"/>
    <n v="20"/>
    <n v="20"/>
    <m/>
    <m/>
    <n v="20"/>
    <m/>
    <n v="20"/>
    <m/>
    <m/>
    <m/>
    <m/>
    <m/>
    <m/>
    <m/>
    <n v="0"/>
    <n v="0"/>
    <n v="0"/>
    <n v="0"/>
    <n v="0"/>
    <n v="0"/>
    <n v="0"/>
    <n v="0"/>
    <n v="0"/>
    <n v="0"/>
    <n v="0"/>
    <n v="0"/>
    <n v="0"/>
    <n v="0"/>
    <n v="0"/>
    <s v="MMR012CMP056"/>
    <x v="2"/>
    <m/>
  </r>
  <r>
    <n v="57.966666666666669"/>
    <x v="5"/>
    <x v="175"/>
    <x v="23"/>
    <s v="Muslim Aid"/>
    <x v="0"/>
    <x v="0"/>
    <s v="Thae Chaung"/>
    <m/>
    <m/>
    <m/>
    <m/>
    <m/>
    <n v="2797"/>
    <n v="2797"/>
    <n v="2797"/>
    <m/>
    <m/>
    <n v="2797"/>
    <m/>
    <n v="2797"/>
    <m/>
    <m/>
    <m/>
    <m/>
    <m/>
    <m/>
    <m/>
    <n v="0"/>
    <n v="0"/>
    <n v="0"/>
    <n v="0"/>
    <n v="0"/>
    <n v="0"/>
    <n v="0"/>
    <n v="0"/>
    <n v="0"/>
    <n v="0"/>
    <n v="0"/>
    <n v="0"/>
    <n v="0"/>
    <n v="0"/>
    <n v="0"/>
    <s v="MMR012CMP046"/>
    <x v="0"/>
    <m/>
  </r>
  <r>
    <n v="58.9"/>
    <x v="5"/>
    <x v="176"/>
    <x v="20"/>
    <s v="Save the Children"/>
    <x v="0"/>
    <x v="1"/>
    <s v="Ah Nauk Ywe"/>
    <n v="773"/>
    <m/>
    <m/>
    <m/>
    <m/>
    <m/>
    <m/>
    <m/>
    <m/>
    <m/>
    <m/>
    <m/>
    <m/>
    <m/>
    <m/>
    <m/>
    <m/>
    <m/>
    <m/>
    <m/>
    <n v="0"/>
    <n v="0"/>
    <n v="0"/>
    <n v="0"/>
    <n v="0"/>
    <n v="0"/>
    <n v="0"/>
    <n v="0"/>
    <n v="0"/>
    <n v="0"/>
    <n v="0"/>
    <n v="0"/>
    <n v="0"/>
    <n v="0"/>
    <n v="0"/>
    <s v="MMR012CMP016"/>
    <x v="0"/>
    <m/>
  </r>
  <r>
    <n v="58.9"/>
    <x v="5"/>
    <x v="176"/>
    <x v="20"/>
    <s v="Save the Children"/>
    <x v="0"/>
    <x v="0"/>
    <s v="Bu May Ohn Taw"/>
    <n v="502"/>
    <m/>
    <m/>
    <m/>
    <m/>
    <m/>
    <m/>
    <m/>
    <m/>
    <m/>
    <m/>
    <m/>
    <m/>
    <m/>
    <m/>
    <m/>
    <m/>
    <m/>
    <m/>
    <m/>
    <n v="0"/>
    <n v="0"/>
    <n v="0"/>
    <n v="0"/>
    <n v="0"/>
    <n v="0"/>
    <n v="0"/>
    <n v="0"/>
    <n v="0"/>
    <n v="0"/>
    <n v="0"/>
    <n v="0"/>
    <n v="0"/>
    <n v="0"/>
    <n v="0"/>
    <s v="MMR012CMP051"/>
    <x v="4"/>
    <m/>
  </r>
  <r>
    <n v="58.9"/>
    <x v="5"/>
    <x v="176"/>
    <x v="20"/>
    <s v="Save the Children"/>
    <x v="0"/>
    <x v="0"/>
    <s v="Hmanzi Junction"/>
    <n v="203"/>
    <m/>
    <m/>
    <m/>
    <m/>
    <m/>
    <m/>
    <m/>
    <m/>
    <m/>
    <m/>
    <m/>
    <m/>
    <m/>
    <m/>
    <m/>
    <m/>
    <m/>
    <m/>
    <m/>
    <n v="0"/>
    <n v="0"/>
    <n v="0"/>
    <n v="0"/>
    <n v="0"/>
    <n v="0"/>
    <n v="0"/>
    <n v="0"/>
    <n v="0"/>
    <n v="0"/>
    <n v="0"/>
    <n v="0"/>
    <n v="0"/>
    <n v="0"/>
    <n v="0"/>
    <s v="MMR012CMP049"/>
    <x v="4"/>
    <m/>
  </r>
  <r>
    <n v="58.9"/>
    <x v="5"/>
    <x v="176"/>
    <x v="20"/>
    <s v="Save the Children"/>
    <x v="0"/>
    <x v="1"/>
    <s v="Nget Chaung"/>
    <n v="173"/>
    <m/>
    <m/>
    <m/>
    <m/>
    <m/>
    <m/>
    <m/>
    <m/>
    <m/>
    <m/>
    <m/>
    <m/>
    <m/>
    <m/>
    <m/>
    <m/>
    <m/>
    <m/>
    <m/>
    <n v="0"/>
    <n v="0"/>
    <n v="0"/>
    <n v="0"/>
    <n v="0"/>
    <n v="0"/>
    <n v="0"/>
    <n v="0"/>
    <n v="0"/>
    <n v="0"/>
    <n v="0"/>
    <n v="0"/>
    <n v="0"/>
    <n v="0"/>
    <n v="0"/>
    <s v=""/>
    <x v="1"/>
    <m/>
  </r>
  <r>
    <n v="58.9"/>
    <x v="5"/>
    <x v="176"/>
    <x v="2"/>
    <m/>
    <x v="0"/>
    <x v="7"/>
    <s v="Raw Ma Ni Sin Oe"/>
    <n v="0"/>
    <m/>
    <m/>
    <m/>
    <m/>
    <n v="82"/>
    <m/>
    <n v="82"/>
    <n v="41"/>
    <n v="41"/>
    <n v="10"/>
    <m/>
    <n v="20"/>
    <m/>
    <m/>
    <m/>
    <m/>
    <m/>
    <m/>
    <m/>
    <n v="0"/>
    <n v="0"/>
    <n v="0"/>
    <n v="0"/>
    <n v="0"/>
    <n v="0"/>
    <n v="0"/>
    <n v="0"/>
    <n v="0"/>
    <n v="0"/>
    <n v="0"/>
    <n v="0"/>
    <n v="0"/>
    <n v="0"/>
    <n v="0"/>
    <s v="MMR012CMP012"/>
    <x v="2"/>
    <m/>
  </r>
  <r>
    <n v="58.9"/>
    <x v="5"/>
    <x v="176"/>
    <x v="2"/>
    <s v="Solidarities International"/>
    <x v="0"/>
    <x v="0"/>
    <m/>
    <m/>
    <m/>
    <m/>
    <m/>
    <m/>
    <m/>
    <n v="1520"/>
    <m/>
    <m/>
    <m/>
    <m/>
    <m/>
    <m/>
    <m/>
    <m/>
    <m/>
    <m/>
    <m/>
    <m/>
    <m/>
    <n v="0"/>
    <n v="0"/>
    <n v="0"/>
    <n v="0"/>
    <n v="0"/>
    <n v="0"/>
    <n v="0"/>
    <n v="0"/>
    <n v="0"/>
    <n v="0"/>
    <n v="0"/>
    <n v="0"/>
    <n v="0"/>
    <n v="0"/>
    <n v="0"/>
    <s v=""/>
    <x v="1"/>
    <m/>
  </r>
  <r>
    <n v="58.93333333333333"/>
    <x v="5"/>
    <x v="177"/>
    <x v="2"/>
    <m/>
    <x v="0"/>
    <x v="0"/>
    <s v="Bu May Ohn Taw"/>
    <m/>
    <m/>
    <m/>
    <m/>
    <m/>
    <m/>
    <n v="1315"/>
    <m/>
    <m/>
    <m/>
    <m/>
    <m/>
    <m/>
    <m/>
    <m/>
    <m/>
    <m/>
    <m/>
    <m/>
    <m/>
    <n v="0"/>
    <n v="0"/>
    <n v="0"/>
    <n v="0"/>
    <n v="0"/>
    <n v="0"/>
    <n v="0"/>
    <n v="0"/>
    <n v="0"/>
    <n v="0"/>
    <n v="0"/>
    <n v="0"/>
    <n v="0"/>
    <n v="0"/>
    <n v="0"/>
    <s v="MMR012CMP051"/>
    <x v="4"/>
    <m/>
  </r>
  <r>
    <n v="58.93333333333333"/>
    <x v="5"/>
    <x v="177"/>
    <x v="2"/>
    <s v="UNHCR"/>
    <x v="0"/>
    <x v="0"/>
    <s v="Mingan"/>
    <m/>
    <m/>
    <m/>
    <m/>
    <m/>
    <m/>
    <n v="358"/>
    <m/>
    <m/>
    <m/>
    <m/>
    <m/>
    <m/>
    <m/>
    <m/>
    <m/>
    <m/>
    <m/>
    <m/>
    <m/>
    <n v="0"/>
    <n v="0"/>
    <n v="0"/>
    <n v="0"/>
    <n v="0"/>
    <n v="0"/>
    <n v="0"/>
    <n v="0"/>
    <n v="0"/>
    <n v="0"/>
    <n v="0"/>
    <n v="0"/>
    <n v="0"/>
    <n v="0"/>
    <n v="0"/>
    <s v="MMR012CMP093"/>
    <x v="2"/>
    <m/>
  </r>
  <r>
    <n v="58.966666666666669"/>
    <x v="5"/>
    <x v="178"/>
    <x v="2"/>
    <s v="UNHCR"/>
    <x v="0"/>
    <x v="0"/>
    <s v="Hmanzi Junction"/>
    <m/>
    <m/>
    <m/>
    <m/>
    <m/>
    <m/>
    <n v="246"/>
    <m/>
    <m/>
    <m/>
    <m/>
    <m/>
    <m/>
    <m/>
    <m/>
    <m/>
    <m/>
    <m/>
    <m/>
    <m/>
    <n v="0"/>
    <n v="0"/>
    <n v="0"/>
    <n v="0"/>
    <n v="0"/>
    <n v="0"/>
    <n v="0"/>
    <n v="0"/>
    <n v="0"/>
    <n v="0"/>
    <n v="0"/>
    <n v="0"/>
    <n v="0"/>
    <n v="0"/>
    <n v="0"/>
    <s v="MMR012CMP049"/>
    <x v="4"/>
    <m/>
  </r>
  <r>
    <n v="58.966666666666669"/>
    <x v="5"/>
    <x v="178"/>
    <x v="2"/>
    <m/>
    <x v="0"/>
    <x v="0"/>
    <s v="Khaung Doke Khar "/>
    <m/>
    <m/>
    <m/>
    <m/>
    <m/>
    <m/>
    <n v="86"/>
    <m/>
    <m/>
    <m/>
    <m/>
    <m/>
    <m/>
    <m/>
    <m/>
    <m/>
    <m/>
    <m/>
    <m/>
    <m/>
    <n v="0"/>
    <n v="0"/>
    <n v="0"/>
    <n v="0"/>
    <n v="0"/>
    <n v="0"/>
    <n v="0"/>
    <n v="0"/>
    <n v="0"/>
    <n v="0"/>
    <n v="0"/>
    <n v="0"/>
    <n v="0"/>
    <n v="0"/>
    <n v="0"/>
    <s v="MMR012CMP042"/>
    <x v="0"/>
    <m/>
  </r>
  <r>
    <n v="59.1"/>
    <x v="5"/>
    <x v="179"/>
    <x v="20"/>
    <s v="Save the Children"/>
    <x v="0"/>
    <x v="0"/>
    <s v="Thet Kae Pyin "/>
    <n v="4795"/>
    <m/>
    <m/>
    <m/>
    <m/>
    <m/>
    <m/>
    <m/>
    <m/>
    <m/>
    <m/>
    <m/>
    <m/>
    <m/>
    <m/>
    <m/>
    <m/>
    <m/>
    <m/>
    <m/>
    <n v="0"/>
    <n v="0"/>
    <n v="0"/>
    <n v="0"/>
    <n v="0"/>
    <n v="0"/>
    <n v="0"/>
    <n v="0"/>
    <n v="0"/>
    <n v="0"/>
    <n v="0"/>
    <n v="0"/>
    <n v="0"/>
    <n v="0"/>
    <n v="0"/>
    <s v="MMR012CMP048"/>
    <x v="0"/>
    <m/>
  </r>
  <r>
    <n v="59.133333333333333"/>
    <x v="5"/>
    <x v="180"/>
    <x v="20"/>
    <s v="Save the Children"/>
    <x v="0"/>
    <x v="1"/>
    <s v="Kyein Ni Pyin"/>
    <n v="903"/>
    <m/>
    <m/>
    <m/>
    <m/>
    <m/>
    <m/>
    <m/>
    <m/>
    <m/>
    <m/>
    <m/>
    <m/>
    <m/>
    <m/>
    <m/>
    <m/>
    <m/>
    <m/>
    <m/>
    <n v="0"/>
    <n v="0"/>
    <n v="0"/>
    <n v="0"/>
    <n v="0"/>
    <n v="0"/>
    <n v="0"/>
    <n v="0"/>
    <n v="0"/>
    <n v="0"/>
    <n v="0"/>
    <n v="0"/>
    <n v="0"/>
    <n v="0"/>
    <n v="0"/>
    <s v="MMR012CMP018"/>
    <x v="0"/>
    <m/>
  </r>
  <r>
    <n v="59.866666666666667"/>
    <x v="5"/>
    <x v="181"/>
    <x v="2"/>
    <m/>
    <x v="0"/>
    <x v="1"/>
    <m/>
    <m/>
    <m/>
    <m/>
    <m/>
    <m/>
    <m/>
    <m/>
    <n v="1"/>
    <m/>
    <m/>
    <m/>
    <m/>
    <m/>
    <m/>
    <m/>
    <m/>
    <m/>
    <m/>
    <m/>
    <m/>
    <n v="0"/>
    <n v="0"/>
    <n v="0"/>
    <n v="0"/>
    <n v="0"/>
    <n v="0"/>
    <n v="0"/>
    <n v="0"/>
    <n v="0"/>
    <n v="0"/>
    <n v="0"/>
    <n v="0"/>
    <n v="0"/>
    <n v="0"/>
    <n v="0"/>
    <s v=""/>
    <x v="1"/>
    <m/>
  </r>
  <r>
    <n v="59.9"/>
    <x v="5"/>
    <x v="182"/>
    <x v="2"/>
    <m/>
    <x v="0"/>
    <x v="2"/>
    <s v="Nyaung Pin Gyi"/>
    <n v="0"/>
    <m/>
    <m/>
    <n v="64"/>
    <m/>
    <n v="128"/>
    <n v="64"/>
    <n v="128"/>
    <n v="64"/>
    <n v="64"/>
    <n v="64"/>
    <m/>
    <n v="128"/>
    <m/>
    <m/>
    <m/>
    <m/>
    <m/>
    <m/>
    <m/>
    <n v="0"/>
    <n v="0"/>
    <n v="0"/>
    <n v="0"/>
    <n v="0"/>
    <n v="0"/>
    <n v="0"/>
    <n v="0"/>
    <n v="0"/>
    <n v="0"/>
    <n v="0"/>
    <n v="0"/>
    <n v="0"/>
    <n v="0"/>
    <n v="0"/>
    <s v="MMR012CMP031"/>
    <x v="3"/>
    <m/>
  </r>
  <r>
    <n v="59.9"/>
    <x v="5"/>
    <x v="182"/>
    <x v="2"/>
    <m/>
    <x v="0"/>
    <x v="2"/>
    <s v="Nyaung Pin Gyi"/>
    <n v="0"/>
    <m/>
    <m/>
    <m/>
    <n v="128"/>
    <n v="128"/>
    <n v="64"/>
    <n v="0"/>
    <m/>
    <m/>
    <m/>
    <m/>
    <m/>
    <m/>
    <m/>
    <m/>
    <m/>
    <m/>
    <m/>
    <m/>
    <n v="0"/>
    <n v="0"/>
    <n v="0"/>
    <n v="0"/>
    <n v="0"/>
    <n v="0"/>
    <n v="0"/>
    <n v="0"/>
    <n v="0"/>
    <n v="0"/>
    <n v="0"/>
    <n v="0"/>
    <n v="0"/>
    <n v="0"/>
    <n v="0"/>
    <s v="MMR012CMP031"/>
    <x v="3"/>
    <m/>
  </r>
  <r>
    <n v="60"/>
    <x v="5"/>
    <x v="183"/>
    <x v="20"/>
    <s v="Save the Children"/>
    <x v="0"/>
    <x v="1"/>
    <s v="Kyein Ni Pyin"/>
    <n v="1028"/>
    <m/>
    <m/>
    <m/>
    <m/>
    <m/>
    <m/>
    <m/>
    <m/>
    <m/>
    <m/>
    <m/>
    <m/>
    <m/>
    <m/>
    <m/>
    <m/>
    <m/>
    <m/>
    <m/>
    <n v="0"/>
    <n v="0"/>
    <n v="0"/>
    <n v="0"/>
    <n v="0"/>
    <n v="0"/>
    <n v="0"/>
    <n v="0"/>
    <n v="0"/>
    <n v="0"/>
    <n v="0"/>
    <n v="0"/>
    <n v="0"/>
    <n v="0"/>
    <n v="0"/>
    <s v="MMR012CMP018"/>
    <x v="0"/>
    <m/>
  </r>
  <r>
    <n v="60.06666666666667"/>
    <x v="5"/>
    <x v="184"/>
    <x v="20"/>
    <s v="Save the Children"/>
    <x v="0"/>
    <x v="1"/>
    <s v="Nget Chaung"/>
    <n v="1338"/>
    <m/>
    <m/>
    <m/>
    <m/>
    <m/>
    <m/>
    <m/>
    <m/>
    <m/>
    <m/>
    <m/>
    <m/>
    <m/>
    <m/>
    <m/>
    <m/>
    <m/>
    <m/>
    <m/>
    <n v="0"/>
    <n v="0"/>
    <n v="0"/>
    <n v="0"/>
    <n v="0"/>
    <n v="0"/>
    <n v="0"/>
    <n v="0"/>
    <n v="0"/>
    <n v="0"/>
    <n v="0"/>
    <n v="0"/>
    <n v="0"/>
    <n v="0"/>
    <n v="0"/>
    <s v=""/>
    <x v="1"/>
    <m/>
  </r>
  <r>
    <n v="60.466666666666669"/>
    <x v="5"/>
    <x v="185"/>
    <x v="2"/>
    <m/>
    <x v="0"/>
    <x v="0"/>
    <s v="Bu May Ohn Taw"/>
    <m/>
    <m/>
    <m/>
    <m/>
    <m/>
    <m/>
    <m/>
    <n v="54"/>
    <m/>
    <m/>
    <m/>
    <m/>
    <m/>
    <m/>
    <m/>
    <m/>
    <m/>
    <m/>
    <m/>
    <m/>
    <n v="0"/>
    <n v="0"/>
    <n v="0"/>
    <n v="0"/>
    <n v="0"/>
    <n v="0"/>
    <n v="0"/>
    <n v="0"/>
    <n v="0"/>
    <n v="0"/>
    <n v="0"/>
    <n v="0"/>
    <n v="0"/>
    <n v="0"/>
    <n v="0"/>
    <s v="MMR012CMP051"/>
    <x v="4"/>
    <m/>
  </r>
  <r>
    <n v="60.533333333333331"/>
    <x v="5"/>
    <x v="186"/>
    <x v="2"/>
    <m/>
    <x v="0"/>
    <x v="0"/>
    <s v="Bu May Ohn Taw"/>
    <m/>
    <m/>
    <m/>
    <m/>
    <m/>
    <m/>
    <m/>
    <n v="90"/>
    <m/>
    <m/>
    <m/>
    <m/>
    <m/>
    <m/>
    <m/>
    <m/>
    <m/>
    <m/>
    <m/>
    <m/>
    <n v="0"/>
    <n v="0"/>
    <n v="0"/>
    <n v="0"/>
    <n v="0"/>
    <n v="0"/>
    <n v="0"/>
    <n v="0"/>
    <n v="0"/>
    <n v="0"/>
    <n v="0"/>
    <n v="0"/>
    <n v="0"/>
    <n v="0"/>
    <n v="0"/>
    <s v="MMR012CMP051"/>
    <x v="4"/>
    <m/>
  </r>
  <r>
    <n v="60.56666666666667"/>
    <x v="5"/>
    <x v="187"/>
    <x v="2"/>
    <m/>
    <x v="0"/>
    <x v="0"/>
    <s v="Bu May Ohn Taw"/>
    <m/>
    <m/>
    <m/>
    <m/>
    <m/>
    <m/>
    <m/>
    <n v="90"/>
    <m/>
    <m/>
    <m/>
    <m/>
    <m/>
    <m/>
    <m/>
    <m/>
    <m/>
    <m/>
    <m/>
    <m/>
    <n v="0"/>
    <n v="0"/>
    <n v="0"/>
    <n v="0"/>
    <n v="0"/>
    <n v="0"/>
    <n v="0"/>
    <n v="0"/>
    <n v="0"/>
    <n v="0"/>
    <n v="0"/>
    <n v="0"/>
    <n v="0"/>
    <n v="0"/>
    <n v="0"/>
    <s v="MMR012CMP051"/>
    <x v="4"/>
    <m/>
  </r>
  <r>
    <n v="60.56666666666667"/>
    <x v="5"/>
    <x v="187"/>
    <x v="5"/>
    <s v="Solidarities International"/>
    <x v="0"/>
    <x v="0"/>
    <s v="Dar Pai"/>
    <n v="186"/>
    <m/>
    <m/>
    <m/>
    <m/>
    <m/>
    <m/>
    <m/>
    <m/>
    <m/>
    <m/>
    <m/>
    <m/>
    <m/>
    <m/>
    <m/>
    <m/>
    <m/>
    <m/>
    <m/>
    <n v="0"/>
    <n v="0"/>
    <n v="0"/>
    <n v="0"/>
    <n v="0"/>
    <n v="0"/>
    <n v="0"/>
    <n v="0"/>
    <n v="0"/>
    <n v="0"/>
    <n v="0"/>
    <n v="0"/>
    <n v="0"/>
    <n v="0"/>
    <n v="0"/>
    <s v="MMR012CMP041"/>
    <x v="0"/>
    <m/>
  </r>
  <r>
    <n v="60.7"/>
    <x v="5"/>
    <x v="188"/>
    <x v="2"/>
    <m/>
    <x v="0"/>
    <x v="0"/>
    <s v="Bu May Ohn Taw"/>
    <m/>
    <m/>
    <m/>
    <m/>
    <m/>
    <m/>
    <m/>
    <n v="90"/>
    <m/>
    <m/>
    <m/>
    <m/>
    <m/>
    <m/>
    <m/>
    <m/>
    <m/>
    <m/>
    <m/>
    <m/>
    <n v="0"/>
    <n v="0"/>
    <n v="0"/>
    <n v="0"/>
    <n v="0"/>
    <n v="0"/>
    <n v="0"/>
    <n v="0"/>
    <n v="0"/>
    <n v="0"/>
    <n v="0"/>
    <n v="0"/>
    <n v="0"/>
    <n v="0"/>
    <n v="0"/>
    <s v="MMR012CMP051"/>
    <x v="4"/>
    <m/>
  </r>
  <r>
    <n v="60.733333333333334"/>
    <x v="5"/>
    <x v="189"/>
    <x v="2"/>
    <m/>
    <x v="0"/>
    <x v="0"/>
    <s v="Bu May Ohn Taw"/>
    <m/>
    <m/>
    <m/>
    <m/>
    <m/>
    <m/>
    <m/>
    <n v="45"/>
    <m/>
    <m/>
    <m/>
    <m/>
    <m/>
    <m/>
    <m/>
    <m/>
    <m/>
    <m/>
    <m/>
    <m/>
    <n v="0"/>
    <n v="0"/>
    <n v="0"/>
    <n v="0"/>
    <n v="0"/>
    <n v="0"/>
    <n v="0"/>
    <n v="0"/>
    <n v="0"/>
    <n v="0"/>
    <n v="0"/>
    <n v="0"/>
    <n v="0"/>
    <n v="0"/>
    <n v="0"/>
    <s v="MMR012CMP051"/>
    <x v="4"/>
    <m/>
  </r>
  <r>
    <n v="60.766666666666666"/>
    <x v="5"/>
    <x v="190"/>
    <x v="2"/>
    <m/>
    <x v="0"/>
    <x v="0"/>
    <s v="Bu May Ohn Taw"/>
    <m/>
    <m/>
    <m/>
    <m/>
    <m/>
    <m/>
    <m/>
    <n v="45"/>
    <m/>
    <m/>
    <m/>
    <m/>
    <m/>
    <m/>
    <m/>
    <m/>
    <m/>
    <m/>
    <m/>
    <m/>
    <n v="0"/>
    <n v="0"/>
    <n v="0"/>
    <n v="0"/>
    <n v="0"/>
    <n v="0"/>
    <n v="0"/>
    <n v="0"/>
    <n v="0"/>
    <n v="0"/>
    <n v="0"/>
    <n v="0"/>
    <n v="0"/>
    <n v="0"/>
    <n v="0"/>
    <s v="MMR012CMP051"/>
    <x v="4"/>
    <m/>
  </r>
  <r>
    <n v="60.8"/>
    <x v="5"/>
    <x v="191"/>
    <x v="20"/>
    <s v="Save the Children"/>
    <x v="0"/>
    <x v="0"/>
    <s v="Thet Kae Pyin "/>
    <n v="3100"/>
    <m/>
    <m/>
    <m/>
    <m/>
    <m/>
    <m/>
    <m/>
    <m/>
    <m/>
    <m/>
    <m/>
    <m/>
    <m/>
    <m/>
    <m/>
    <m/>
    <m/>
    <m/>
    <m/>
    <n v="0"/>
    <n v="0"/>
    <n v="0"/>
    <n v="0"/>
    <n v="0"/>
    <n v="0"/>
    <n v="0"/>
    <n v="0"/>
    <n v="0"/>
    <n v="0"/>
    <n v="0"/>
    <n v="0"/>
    <n v="0"/>
    <n v="0"/>
    <n v="0"/>
    <s v="MMR012CMP048"/>
    <x v="0"/>
    <m/>
  </r>
  <r>
    <n v="61.43333333333333"/>
    <x v="5"/>
    <x v="192"/>
    <x v="2"/>
    <m/>
    <x v="0"/>
    <x v="2"/>
    <s v="Ah Nauk Pyin"/>
    <n v="0"/>
    <m/>
    <m/>
    <n v="68"/>
    <m/>
    <n v="136"/>
    <n v="68"/>
    <n v="136"/>
    <n v="68"/>
    <n v="68"/>
    <n v="68"/>
    <m/>
    <n v="136"/>
    <m/>
    <m/>
    <m/>
    <m/>
    <m/>
    <m/>
    <m/>
    <n v="0"/>
    <n v="0"/>
    <n v="0"/>
    <n v="0"/>
    <n v="0"/>
    <n v="0"/>
    <n v="0"/>
    <n v="0"/>
    <n v="0"/>
    <n v="0"/>
    <n v="0"/>
    <n v="0"/>
    <n v="0"/>
    <n v="0"/>
    <n v="0"/>
    <s v="MMR012CMP032"/>
    <x v="3"/>
    <m/>
  </r>
  <r>
    <n v="61.43333333333333"/>
    <x v="5"/>
    <x v="192"/>
    <x v="2"/>
    <m/>
    <x v="0"/>
    <x v="2"/>
    <s v="Ah Nauk Pyin"/>
    <n v="0"/>
    <m/>
    <m/>
    <m/>
    <n v="136"/>
    <n v="136"/>
    <n v="68"/>
    <n v="0"/>
    <m/>
    <m/>
    <m/>
    <m/>
    <m/>
    <m/>
    <m/>
    <m/>
    <m/>
    <m/>
    <m/>
    <m/>
    <n v="0"/>
    <n v="0"/>
    <n v="0"/>
    <n v="0"/>
    <n v="0"/>
    <n v="0"/>
    <n v="0"/>
    <n v="0"/>
    <n v="0"/>
    <n v="0"/>
    <n v="0"/>
    <n v="0"/>
    <n v="0"/>
    <n v="0"/>
    <n v="0"/>
    <s v="MMR012CMP032"/>
    <x v="3"/>
    <m/>
  </r>
  <r>
    <n v="61.43333333333333"/>
    <x v="5"/>
    <x v="192"/>
    <x v="2"/>
    <m/>
    <x v="0"/>
    <x v="8"/>
    <s v="Bomu Ywa"/>
    <n v="0"/>
    <m/>
    <m/>
    <n v="79"/>
    <m/>
    <n v="158"/>
    <n v="79"/>
    <n v="158"/>
    <n v="79"/>
    <n v="79"/>
    <n v="79"/>
    <m/>
    <n v="158"/>
    <m/>
    <m/>
    <m/>
    <m/>
    <m/>
    <m/>
    <m/>
    <n v="0"/>
    <n v="0"/>
    <n v="0"/>
    <n v="0"/>
    <n v="0"/>
    <n v="0"/>
    <n v="0"/>
    <n v="0"/>
    <n v="0"/>
    <n v="0"/>
    <n v="0"/>
    <n v="0"/>
    <n v="0"/>
    <n v="0"/>
    <n v="0"/>
    <s v=""/>
    <x v="1"/>
    <m/>
  </r>
  <r>
    <n v="61.43333333333333"/>
    <x v="5"/>
    <x v="192"/>
    <x v="2"/>
    <m/>
    <x v="0"/>
    <x v="8"/>
    <s v="Bomu Ywa"/>
    <n v="0"/>
    <m/>
    <m/>
    <m/>
    <n v="158"/>
    <n v="292"/>
    <n v="79"/>
    <n v="0"/>
    <m/>
    <m/>
    <m/>
    <m/>
    <m/>
    <m/>
    <m/>
    <m/>
    <m/>
    <m/>
    <m/>
    <m/>
    <n v="0"/>
    <n v="0"/>
    <n v="0"/>
    <n v="0"/>
    <n v="0"/>
    <n v="0"/>
    <n v="0"/>
    <n v="0"/>
    <n v="0"/>
    <n v="0"/>
    <n v="0"/>
    <n v="0"/>
    <n v="0"/>
    <n v="0"/>
    <n v="0"/>
    <s v=""/>
    <x v="1"/>
    <m/>
  </r>
  <r>
    <n v="61.43333333333333"/>
    <x v="5"/>
    <x v="192"/>
    <x v="7"/>
    <s v="DRC"/>
    <x v="0"/>
    <x v="0"/>
    <s v="Say Tha Mar Gyi"/>
    <n v="2907"/>
    <m/>
    <m/>
    <m/>
    <m/>
    <m/>
    <m/>
    <m/>
    <m/>
    <m/>
    <m/>
    <m/>
    <m/>
    <m/>
    <m/>
    <m/>
    <m/>
    <m/>
    <m/>
    <m/>
    <n v="0"/>
    <n v="0"/>
    <n v="0"/>
    <n v="0"/>
    <n v="0"/>
    <n v="0"/>
    <n v="0"/>
    <n v="0"/>
    <n v="0"/>
    <n v="0"/>
    <n v="0"/>
    <n v="0"/>
    <n v="0"/>
    <n v="0"/>
    <n v="0"/>
    <s v="MMR012CMP045"/>
    <x v="0"/>
    <m/>
  </r>
  <r>
    <n v="61.733333333333334"/>
    <x v="5"/>
    <x v="193"/>
    <x v="2"/>
    <m/>
    <x v="0"/>
    <x v="8"/>
    <s v="Myoma Myauk"/>
    <n v="0"/>
    <m/>
    <m/>
    <n v="0"/>
    <n v="0"/>
    <n v="34"/>
    <n v="0"/>
    <n v="0"/>
    <m/>
    <m/>
    <m/>
    <m/>
    <m/>
    <m/>
    <m/>
    <m/>
    <m/>
    <m/>
    <m/>
    <m/>
    <n v="0"/>
    <n v="0"/>
    <n v="0"/>
    <n v="0"/>
    <n v="0"/>
    <n v="0"/>
    <n v="0"/>
    <n v="0"/>
    <n v="0"/>
    <n v="0"/>
    <n v="0"/>
    <n v="0"/>
    <n v="0"/>
    <n v="0"/>
    <n v="0"/>
    <s v=""/>
    <x v="1"/>
    <m/>
  </r>
  <r>
    <n v="61.8"/>
    <x v="5"/>
    <x v="194"/>
    <x v="2"/>
    <m/>
    <x v="0"/>
    <x v="6"/>
    <s v="Thay Kan"/>
    <m/>
    <m/>
    <m/>
    <m/>
    <m/>
    <m/>
    <m/>
    <n v="33"/>
    <m/>
    <m/>
    <m/>
    <m/>
    <m/>
    <m/>
    <m/>
    <m/>
    <m/>
    <m/>
    <m/>
    <m/>
    <n v="0"/>
    <n v="0"/>
    <n v="0"/>
    <n v="0"/>
    <n v="0"/>
    <n v="0"/>
    <n v="0"/>
    <n v="0"/>
    <n v="0"/>
    <n v="0"/>
    <n v="0"/>
    <n v="0"/>
    <n v="0"/>
    <n v="0"/>
    <n v="0"/>
    <s v="MMR012CMP007"/>
    <x v="4"/>
    <m/>
  </r>
  <r>
    <n v="61.866666666666667"/>
    <x v="5"/>
    <x v="195"/>
    <x v="2"/>
    <m/>
    <x v="0"/>
    <x v="8"/>
    <s v="Thaung Paing Nyar"/>
    <n v="0"/>
    <m/>
    <m/>
    <n v="51"/>
    <m/>
    <n v="102"/>
    <n v="51"/>
    <n v="102"/>
    <n v="51"/>
    <n v="51"/>
    <n v="51"/>
    <m/>
    <n v="102"/>
    <m/>
    <m/>
    <m/>
    <m/>
    <m/>
    <m/>
    <m/>
    <n v="0"/>
    <n v="0"/>
    <n v="0"/>
    <n v="0"/>
    <n v="0"/>
    <n v="0"/>
    <n v="0"/>
    <n v="0"/>
    <n v="0"/>
    <n v="0"/>
    <n v="0"/>
    <n v="0"/>
    <n v="0"/>
    <n v="0"/>
    <n v="0"/>
    <s v=""/>
    <x v="1"/>
    <m/>
  </r>
  <r>
    <n v="61.866666666666667"/>
    <x v="5"/>
    <x v="195"/>
    <x v="2"/>
    <m/>
    <x v="0"/>
    <x v="8"/>
    <s v="Thaung Paing Nyar"/>
    <n v="0"/>
    <m/>
    <m/>
    <m/>
    <n v="102"/>
    <n v="156"/>
    <n v="51"/>
    <n v="0"/>
    <m/>
    <m/>
    <m/>
    <m/>
    <m/>
    <m/>
    <m/>
    <m/>
    <m/>
    <m/>
    <m/>
    <m/>
    <n v="0"/>
    <n v="0"/>
    <n v="0"/>
    <n v="0"/>
    <n v="0"/>
    <n v="0"/>
    <n v="0"/>
    <n v="0"/>
    <n v="0"/>
    <n v="0"/>
    <n v="0"/>
    <n v="0"/>
    <n v="0"/>
    <n v="0"/>
    <n v="0"/>
    <s v=""/>
    <x v="1"/>
    <m/>
  </r>
  <r>
    <n v="61.93333333333333"/>
    <x v="5"/>
    <x v="196"/>
    <x v="2"/>
    <m/>
    <x v="0"/>
    <x v="8"/>
    <s v="Bomu Ywa"/>
    <n v="0"/>
    <m/>
    <m/>
    <n v="50"/>
    <m/>
    <n v="100"/>
    <n v="50"/>
    <n v="100"/>
    <n v="50"/>
    <n v="50"/>
    <n v="50"/>
    <m/>
    <n v="100"/>
    <m/>
    <m/>
    <m/>
    <m/>
    <m/>
    <m/>
    <m/>
    <n v="0"/>
    <n v="0"/>
    <n v="0"/>
    <n v="0"/>
    <n v="0"/>
    <n v="0"/>
    <n v="0"/>
    <n v="0"/>
    <n v="0"/>
    <n v="0"/>
    <n v="0"/>
    <n v="0"/>
    <n v="0"/>
    <n v="0"/>
    <n v="0"/>
    <s v=""/>
    <x v="1"/>
    <m/>
  </r>
  <r>
    <n v="61.93333333333333"/>
    <x v="5"/>
    <x v="196"/>
    <x v="2"/>
    <m/>
    <x v="0"/>
    <x v="8"/>
    <s v="Bomu Ywa"/>
    <n v="0"/>
    <m/>
    <m/>
    <m/>
    <n v="100"/>
    <n v="171"/>
    <n v="50"/>
    <n v="0"/>
    <m/>
    <m/>
    <m/>
    <m/>
    <m/>
    <m/>
    <m/>
    <m/>
    <m/>
    <m/>
    <m/>
    <m/>
    <n v="0"/>
    <n v="0"/>
    <n v="0"/>
    <n v="0"/>
    <n v="0"/>
    <n v="0"/>
    <n v="0"/>
    <n v="0"/>
    <n v="0"/>
    <n v="0"/>
    <n v="0"/>
    <n v="0"/>
    <n v="0"/>
    <n v="0"/>
    <n v="0"/>
    <s v=""/>
    <x v="1"/>
    <m/>
  </r>
  <r>
    <n v="61.93333333333333"/>
    <x v="5"/>
    <x v="196"/>
    <x v="23"/>
    <m/>
    <x v="0"/>
    <x v="0"/>
    <s v="Ohn Taw Gyi 1"/>
    <n v="0"/>
    <m/>
    <m/>
    <n v="800"/>
    <m/>
    <n v="1600"/>
    <n v="800"/>
    <n v="1600"/>
    <n v="800"/>
    <n v="800"/>
    <n v="800"/>
    <m/>
    <n v="1600"/>
    <m/>
    <m/>
    <m/>
    <m/>
    <m/>
    <m/>
    <m/>
    <n v="0"/>
    <n v="0"/>
    <n v="0"/>
    <n v="0"/>
    <n v="0"/>
    <n v="0"/>
    <n v="0"/>
    <n v="0"/>
    <n v="0"/>
    <n v="0"/>
    <n v="0"/>
    <n v="0"/>
    <n v="0"/>
    <n v="0"/>
    <n v="0"/>
    <s v="MMR012CMP043"/>
    <x v="4"/>
    <m/>
  </r>
  <r>
    <n v="61.93333333333333"/>
    <x v="5"/>
    <x v="196"/>
    <x v="23"/>
    <m/>
    <x v="0"/>
    <x v="0"/>
    <s v="Ohn Taw Gyi 1"/>
    <n v="0"/>
    <m/>
    <m/>
    <m/>
    <m/>
    <m/>
    <m/>
    <m/>
    <m/>
    <m/>
    <m/>
    <m/>
    <m/>
    <m/>
    <m/>
    <m/>
    <m/>
    <m/>
    <m/>
    <m/>
    <n v="0"/>
    <n v="0"/>
    <n v="0"/>
    <n v="0"/>
    <n v="0"/>
    <n v="0"/>
    <n v="0"/>
    <n v="0"/>
    <n v="0"/>
    <n v="0"/>
    <n v="0"/>
    <n v="0"/>
    <n v="0"/>
    <n v="0"/>
    <n v="0"/>
    <s v="MMR012CMP043"/>
    <x v="4"/>
    <m/>
  </r>
  <r>
    <n v="61.93333333333333"/>
    <x v="5"/>
    <x v="196"/>
    <x v="23"/>
    <m/>
    <x v="0"/>
    <x v="0"/>
    <s v="Set Yone Su"/>
    <n v="0"/>
    <m/>
    <m/>
    <n v="200"/>
    <m/>
    <n v="400"/>
    <n v="200"/>
    <n v="400"/>
    <n v="200"/>
    <n v="200"/>
    <n v="200"/>
    <m/>
    <n v="400"/>
    <m/>
    <m/>
    <m/>
    <m/>
    <m/>
    <m/>
    <m/>
    <n v="0"/>
    <n v="0"/>
    <n v="0"/>
    <n v="0"/>
    <n v="0"/>
    <n v="0"/>
    <n v="0"/>
    <n v="0"/>
    <n v="0"/>
    <n v="0"/>
    <n v="0"/>
    <n v="0"/>
    <n v="0"/>
    <n v="0"/>
    <n v="0"/>
    <s v="MMR012CMP056"/>
    <x v="2"/>
    <m/>
  </r>
  <r>
    <n v="61.93333333333333"/>
    <x v="5"/>
    <x v="196"/>
    <x v="23"/>
    <m/>
    <x v="0"/>
    <x v="0"/>
    <s v="Set Yone Su"/>
    <n v="0"/>
    <m/>
    <m/>
    <m/>
    <m/>
    <m/>
    <m/>
    <m/>
    <m/>
    <m/>
    <m/>
    <m/>
    <m/>
    <m/>
    <m/>
    <m/>
    <m/>
    <m/>
    <m/>
    <m/>
    <n v="0"/>
    <n v="0"/>
    <n v="0"/>
    <n v="0"/>
    <n v="0"/>
    <n v="0"/>
    <n v="0"/>
    <n v="0"/>
    <n v="0"/>
    <n v="0"/>
    <n v="0"/>
    <n v="0"/>
    <n v="0"/>
    <n v="0"/>
    <n v="0"/>
    <s v="MMR012CMP056"/>
    <x v="2"/>
    <m/>
  </r>
  <r>
    <n v="62.1"/>
    <x v="5"/>
    <x v="197"/>
    <x v="4"/>
    <m/>
    <x v="0"/>
    <x v="1"/>
    <s v="Ba Wan Chaung Wa Su"/>
    <n v="23"/>
    <m/>
    <m/>
    <n v="0"/>
    <m/>
    <m/>
    <m/>
    <m/>
    <m/>
    <m/>
    <m/>
    <m/>
    <m/>
    <m/>
    <m/>
    <m/>
    <m/>
    <m/>
    <m/>
    <m/>
    <n v="0"/>
    <n v="0"/>
    <n v="0"/>
    <n v="0"/>
    <n v="0"/>
    <n v="0"/>
    <n v="0"/>
    <n v="0"/>
    <n v="0"/>
    <n v="0"/>
    <n v="0"/>
    <n v="0"/>
    <n v="0"/>
    <n v="0"/>
    <n v="0"/>
    <s v="MMR012CMP015"/>
    <x v="2"/>
    <m/>
  </r>
  <r>
    <n v="62.1"/>
    <x v="5"/>
    <x v="197"/>
    <x v="4"/>
    <m/>
    <x v="0"/>
    <x v="1"/>
    <s v="Nget Chaung"/>
    <n v="1306"/>
    <m/>
    <m/>
    <n v="0"/>
    <m/>
    <m/>
    <m/>
    <m/>
    <m/>
    <m/>
    <m/>
    <m/>
    <m/>
    <m/>
    <m/>
    <m/>
    <m/>
    <m/>
    <m/>
    <m/>
    <n v="0"/>
    <n v="0"/>
    <n v="0"/>
    <n v="0"/>
    <n v="0"/>
    <n v="0"/>
    <n v="0"/>
    <n v="0"/>
    <n v="0"/>
    <n v="0"/>
    <n v="0"/>
    <n v="0"/>
    <n v="0"/>
    <n v="0"/>
    <n v="0"/>
    <s v=""/>
    <x v="1"/>
    <m/>
  </r>
  <r>
    <n v="62.1"/>
    <x v="5"/>
    <x v="197"/>
    <x v="2"/>
    <m/>
    <x v="0"/>
    <x v="8"/>
    <s v="Nyaung Pin Hla"/>
    <n v="0"/>
    <m/>
    <m/>
    <n v="15"/>
    <m/>
    <n v="30"/>
    <n v="15"/>
    <n v="30"/>
    <n v="15"/>
    <n v="15"/>
    <n v="15"/>
    <m/>
    <n v="30"/>
    <m/>
    <m/>
    <m/>
    <m/>
    <m/>
    <m/>
    <m/>
    <n v="0"/>
    <n v="0"/>
    <n v="0"/>
    <n v="0"/>
    <n v="0"/>
    <n v="0"/>
    <n v="0"/>
    <n v="0"/>
    <n v="0"/>
    <n v="0"/>
    <n v="0"/>
    <n v="0"/>
    <n v="0"/>
    <n v="0"/>
    <n v="0"/>
    <s v="MMR012CMP082"/>
    <x v="3"/>
    <m/>
  </r>
  <r>
    <n v="62.1"/>
    <x v="5"/>
    <x v="197"/>
    <x v="2"/>
    <m/>
    <x v="0"/>
    <x v="8"/>
    <s v="Nyaung Pin Hla"/>
    <n v="0"/>
    <m/>
    <m/>
    <m/>
    <n v="30"/>
    <n v="52"/>
    <n v="15"/>
    <n v="0"/>
    <m/>
    <m/>
    <m/>
    <m/>
    <m/>
    <m/>
    <m/>
    <m/>
    <m/>
    <m/>
    <m/>
    <m/>
    <n v="0"/>
    <n v="0"/>
    <n v="0"/>
    <n v="0"/>
    <n v="0"/>
    <n v="0"/>
    <n v="0"/>
    <n v="0"/>
    <n v="0"/>
    <n v="0"/>
    <n v="0"/>
    <n v="0"/>
    <n v="0"/>
    <n v="0"/>
    <n v="0"/>
    <s v="MMR012CMP082"/>
    <x v="3"/>
    <m/>
  </r>
  <r>
    <n v="62.133333333333333"/>
    <x v="5"/>
    <x v="198"/>
    <x v="5"/>
    <s v="Solidarities International"/>
    <x v="0"/>
    <x v="0"/>
    <s v="Thae Chaung"/>
    <n v="1542"/>
    <m/>
    <m/>
    <m/>
    <m/>
    <m/>
    <m/>
    <m/>
    <m/>
    <m/>
    <m/>
    <m/>
    <m/>
    <m/>
    <m/>
    <m/>
    <m/>
    <m/>
    <m/>
    <m/>
    <n v="0"/>
    <n v="0"/>
    <n v="0"/>
    <n v="0"/>
    <n v="0"/>
    <n v="0"/>
    <n v="0"/>
    <n v="0"/>
    <n v="0"/>
    <n v="0"/>
    <n v="0"/>
    <n v="0"/>
    <n v="0"/>
    <n v="0"/>
    <n v="0"/>
    <s v="MMR012CMP046"/>
    <x v="0"/>
    <m/>
  </r>
  <r>
    <n v="62.333333333333336"/>
    <x v="5"/>
    <x v="199"/>
    <x v="4"/>
    <m/>
    <x v="0"/>
    <x v="6"/>
    <s v="Aung Taing"/>
    <n v="90"/>
    <m/>
    <m/>
    <m/>
    <m/>
    <m/>
    <m/>
    <m/>
    <m/>
    <m/>
    <m/>
    <m/>
    <m/>
    <m/>
    <m/>
    <m/>
    <m/>
    <m/>
    <m/>
    <m/>
    <n v="0"/>
    <n v="0"/>
    <n v="0"/>
    <n v="0"/>
    <n v="0"/>
    <n v="0"/>
    <n v="0"/>
    <n v="0"/>
    <n v="0"/>
    <n v="0"/>
    <n v="0"/>
    <n v="0"/>
    <n v="0"/>
    <n v="0"/>
    <n v="0"/>
    <s v="MMR012CMP006"/>
    <x v="3"/>
    <m/>
  </r>
  <r>
    <n v="62.333333333333336"/>
    <x v="5"/>
    <x v="199"/>
    <x v="4"/>
    <m/>
    <x v="0"/>
    <x v="7"/>
    <s v="Myat Buddha Mandine Monastery"/>
    <n v="35"/>
    <m/>
    <m/>
    <m/>
    <m/>
    <m/>
    <m/>
    <m/>
    <m/>
    <m/>
    <m/>
    <m/>
    <m/>
    <m/>
    <m/>
    <m/>
    <m/>
    <m/>
    <m/>
    <m/>
    <n v="0"/>
    <n v="0"/>
    <n v="0"/>
    <n v="0"/>
    <n v="0"/>
    <n v="0"/>
    <n v="0"/>
    <n v="0"/>
    <n v="0"/>
    <n v="0"/>
    <n v="0"/>
    <n v="0"/>
    <n v="0"/>
    <n v="0"/>
    <n v="0"/>
    <s v="MMR012CMP011"/>
    <x v="4"/>
    <m/>
  </r>
  <r>
    <n v="62.333333333333336"/>
    <x v="5"/>
    <x v="199"/>
    <x v="4"/>
    <m/>
    <x v="0"/>
    <x v="6"/>
    <s v="Nagara Pauktaw"/>
    <n v="230"/>
    <m/>
    <m/>
    <m/>
    <m/>
    <m/>
    <m/>
    <m/>
    <m/>
    <m/>
    <m/>
    <m/>
    <m/>
    <m/>
    <m/>
    <m/>
    <m/>
    <m/>
    <m/>
    <m/>
    <n v="0"/>
    <n v="0"/>
    <n v="0"/>
    <n v="0"/>
    <n v="0"/>
    <n v="0"/>
    <n v="0"/>
    <n v="0"/>
    <n v="0"/>
    <n v="0"/>
    <n v="0"/>
    <n v="0"/>
    <n v="0"/>
    <n v="0"/>
    <n v="0"/>
    <s v="MMR012CMP004"/>
    <x v="4"/>
    <m/>
  </r>
  <r>
    <n v="62.333333333333336"/>
    <x v="5"/>
    <x v="199"/>
    <x v="4"/>
    <m/>
    <x v="0"/>
    <x v="7"/>
    <s v="Pa Rein"/>
    <n v="245"/>
    <m/>
    <m/>
    <m/>
    <m/>
    <m/>
    <m/>
    <m/>
    <m/>
    <m/>
    <m/>
    <m/>
    <m/>
    <m/>
    <m/>
    <m/>
    <m/>
    <m/>
    <m/>
    <m/>
    <n v="0"/>
    <n v="0"/>
    <n v="0"/>
    <n v="0"/>
    <n v="0"/>
    <n v="0"/>
    <n v="0"/>
    <n v="0"/>
    <n v="0"/>
    <n v="0"/>
    <n v="0"/>
    <n v="0"/>
    <n v="0"/>
    <n v="0"/>
    <n v="0"/>
    <s v="MMR012CMP009"/>
    <x v="3"/>
    <m/>
  </r>
  <r>
    <n v="62.333333333333336"/>
    <x v="5"/>
    <x v="199"/>
    <x v="4"/>
    <m/>
    <x v="0"/>
    <x v="6"/>
    <s v="Paik Thay"/>
    <n v="20"/>
    <m/>
    <m/>
    <m/>
    <m/>
    <m/>
    <m/>
    <m/>
    <m/>
    <m/>
    <m/>
    <m/>
    <m/>
    <m/>
    <m/>
    <m/>
    <m/>
    <m/>
    <m/>
    <m/>
    <n v="0"/>
    <n v="0"/>
    <n v="0"/>
    <n v="0"/>
    <n v="0"/>
    <n v="0"/>
    <n v="0"/>
    <n v="0"/>
    <n v="0"/>
    <n v="0"/>
    <n v="0"/>
    <n v="0"/>
    <n v="0"/>
    <n v="0"/>
    <n v="0"/>
    <s v="MMR012CMP001"/>
    <x v="3"/>
    <m/>
  </r>
  <r>
    <n v="62.333333333333336"/>
    <x v="5"/>
    <x v="199"/>
    <x v="4"/>
    <m/>
    <x v="0"/>
    <x v="6"/>
    <s v="Sam Ba Le"/>
    <n v="230"/>
    <m/>
    <m/>
    <m/>
    <m/>
    <m/>
    <m/>
    <m/>
    <m/>
    <m/>
    <m/>
    <m/>
    <m/>
    <m/>
    <m/>
    <m/>
    <m/>
    <m/>
    <m/>
    <m/>
    <n v="0"/>
    <n v="0"/>
    <n v="0"/>
    <n v="0"/>
    <n v="0"/>
    <n v="0"/>
    <n v="0"/>
    <n v="0"/>
    <n v="0"/>
    <n v="0"/>
    <n v="0"/>
    <n v="0"/>
    <n v="0"/>
    <n v="0"/>
    <n v="0"/>
    <s v="MMR012CMP008"/>
    <x v="3"/>
    <m/>
  </r>
  <r>
    <n v="62.333333333333336"/>
    <x v="5"/>
    <x v="199"/>
    <x v="4"/>
    <m/>
    <x v="0"/>
    <x v="6"/>
    <s v="San Htoe Tan"/>
    <n v="90"/>
    <m/>
    <m/>
    <m/>
    <m/>
    <m/>
    <m/>
    <m/>
    <m/>
    <m/>
    <m/>
    <m/>
    <m/>
    <m/>
    <m/>
    <m/>
    <m/>
    <m/>
    <m/>
    <m/>
    <n v="0"/>
    <n v="0"/>
    <n v="0"/>
    <n v="0"/>
    <n v="0"/>
    <n v="0"/>
    <n v="0"/>
    <n v="0"/>
    <n v="0"/>
    <n v="0"/>
    <n v="0"/>
    <n v="0"/>
    <n v="0"/>
    <n v="0"/>
    <n v="0"/>
    <s v="MMR012CMP003"/>
    <x v="3"/>
    <m/>
  </r>
  <r>
    <n v="62.333333333333336"/>
    <x v="5"/>
    <x v="199"/>
    <x v="4"/>
    <m/>
    <x v="0"/>
    <x v="6"/>
    <s v="Tha Dar"/>
    <n v="205"/>
    <m/>
    <m/>
    <m/>
    <m/>
    <m/>
    <m/>
    <m/>
    <m/>
    <m/>
    <m/>
    <m/>
    <m/>
    <m/>
    <m/>
    <m/>
    <m/>
    <m/>
    <m/>
    <m/>
    <n v="0"/>
    <n v="0"/>
    <n v="0"/>
    <n v="0"/>
    <n v="0"/>
    <n v="0"/>
    <n v="0"/>
    <n v="0"/>
    <n v="0"/>
    <n v="0"/>
    <n v="0"/>
    <n v="0"/>
    <n v="0"/>
    <n v="0"/>
    <n v="0"/>
    <s v="MMR012CMP002"/>
    <x v="3"/>
    <m/>
  </r>
  <r>
    <n v="62.333333333333336"/>
    <x v="5"/>
    <x v="199"/>
    <x v="4"/>
    <m/>
    <x v="0"/>
    <x v="6"/>
    <s v="Thay Kan"/>
    <n v="35"/>
    <m/>
    <m/>
    <m/>
    <m/>
    <m/>
    <m/>
    <m/>
    <m/>
    <m/>
    <m/>
    <m/>
    <m/>
    <m/>
    <m/>
    <m/>
    <m/>
    <m/>
    <m/>
    <m/>
    <n v="0"/>
    <n v="0"/>
    <n v="0"/>
    <n v="0"/>
    <n v="0"/>
    <n v="0"/>
    <n v="0"/>
    <n v="0"/>
    <n v="0"/>
    <n v="0"/>
    <n v="0"/>
    <n v="0"/>
    <n v="0"/>
    <n v="0"/>
    <n v="0"/>
    <s v="MMR012CMP007"/>
    <x v="4"/>
    <m/>
  </r>
  <r>
    <n v="62.333333333333336"/>
    <x v="5"/>
    <x v="199"/>
    <x v="4"/>
    <m/>
    <x v="0"/>
    <x v="7"/>
    <s v="Yai Thei-Muslim"/>
    <n v="360"/>
    <m/>
    <m/>
    <m/>
    <m/>
    <m/>
    <m/>
    <m/>
    <m/>
    <m/>
    <m/>
    <m/>
    <m/>
    <m/>
    <m/>
    <m/>
    <m/>
    <m/>
    <m/>
    <m/>
    <n v="0"/>
    <n v="0"/>
    <n v="0"/>
    <n v="0"/>
    <n v="0"/>
    <n v="0"/>
    <n v="0"/>
    <n v="0"/>
    <n v="0"/>
    <n v="0"/>
    <n v="0"/>
    <n v="0"/>
    <n v="0"/>
    <n v="0"/>
    <n v="0"/>
    <s v="MMR012CMP010"/>
    <x v="3"/>
    <m/>
  </r>
  <r>
    <n v="62.366666666666667"/>
    <x v="5"/>
    <x v="200"/>
    <x v="2"/>
    <m/>
    <x v="0"/>
    <x v="8"/>
    <s v="Ywa thit Kay"/>
    <m/>
    <m/>
    <m/>
    <n v="20"/>
    <m/>
    <n v="40"/>
    <n v="20"/>
    <n v="40"/>
    <n v="20"/>
    <n v="20"/>
    <n v="20"/>
    <m/>
    <n v="40"/>
    <m/>
    <m/>
    <m/>
    <m/>
    <m/>
    <m/>
    <m/>
    <n v="0"/>
    <n v="0"/>
    <n v="0"/>
    <n v="0"/>
    <n v="0"/>
    <n v="0"/>
    <n v="0"/>
    <n v="0"/>
    <n v="0"/>
    <n v="0"/>
    <n v="0"/>
    <n v="0"/>
    <n v="0"/>
    <n v="0"/>
    <n v="0"/>
    <s v=""/>
    <x v="1"/>
    <m/>
  </r>
  <r>
    <n v="62.366666666666667"/>
    <x v="5"/>
    <x v="200"/>
    <x v="2"/>
    <m/>
    <x v="0"/>
    <x v="8"/>
    <s v="Ywa thit Kay"/>
    <m/>
    <m/>
    <m/>
    <m/>
    <n v="40"/>
    <n v="81"/>
    <n v="20"/>
    <m/>
    <m/>
    <m/>
    <m/>
    <m/>
    <m/>
    <m/>
    <m/>
    <m/>
    <m/>
    <m/>
    <m/>
    <m/>
    <n v="0"/>
    <n v="0"/>
    <n v="0"/>
    <n v="0"/>
    <n v="0"/>
    <n v="0"/>
    <n v="0"/>
    <n v="0"/>
    <n v="0"/>
    <n v="0"/>
    <n v="0"/>
    <n v="0"/>
    <n v="0"/>
    <n v="0"/>
    <n v="0"/>
    <s v=""/>
    <x v="1"/>
    <m/>
  </r>
  <r>
    <n v="62.56666666666667"/>
    <x v="5"/>
    <x v="201"/>
    <x v="4"/>
    <m/>
    <x v="0"/>
    <x v="5"/>
    <s v="Ka Nyin Taw"/>
    <n v="71"/>
    <m/>
    <m/>
    <m/>
    <m/>
    <m/>
    <m/>
    <m/>
    <m/>
    <m/>
    <m/>
    <m/>
    <m/>
    <m/>
    <m/>
    <m/>
    <m/>
    <m/>
    <m/>
    <m/>
    <n v="0"/>
    <n v="0"/>
    <n v="0"/>
    <n v="0"/>
    <n v="0"/>
    <n v="0"/>
    <n v="0"/>
    <n v="0"/>
    <n v="0"/>
    <n v="0"/>
    <n v="0"/>
    <n v="0"/>
    <n v="0"/>
    <n v="0"/>
    <n v="0"/>
    <s v="MMR012CMP036"/>
    <x v="2"/>
    <m/>
  </r>
  <r>
    <n v="62.56666666666667"/>
    <x v="5"/>
    <x v="201"/>
    <x v="4"/>
    <m/>
    <x v="0"/>
    <x v="4"/>
    <s v="Kan Thar Htwat Wa"/>
    <n v="45"/>
    <m/>
    <m/>
    <m/>
    <m/>
    <m/>
    <m/>
    <m/>
    <m/>
    <m/>
    <m/>
    <m/>
    <m/>
    <m/>
    <m/>
    <m/>
    <m/>
    <m/>
    <m/>
    <m/>
    <n v="0"/>
    <n v="0"/>
    <n v="0"/>
    <n v="0"/>
    <n v="0"/>
    <n v="0"/>
    <n v="0"/>
    <n v="0"/>
    <n v="0"/>
    <n v="0"/>
    <n v="0"/>
    <n v="0"/>
    <n v="0"/>
    <n v="0"/>
    <n v="0"/>
    <s v="MMR012CMP013"/>
    <x v="2"/>
    <m/>
  </r>
  <r>
    <n v="62.56666666666667"/>
    <x v="5"/>
    <x v="201"/>
    <x v="4"/>
    <m/>
    <x v="0"/>
    <x v="5"/>
    <s v="Kyauk Ta Lone"/>
    <n v="418"/>
    <m/>
    <m/>
    <m/>
    <m/>
    <m/>
    <m/>
    <m/>
    <m/>
    <m/>
    <m/>
    <m/>
    <m/>
    <m/>
    <m/>
    <m/>
    <m/>
    <m/>
    <m/>
    <m/>
    <n v="0"/>
    <n v="0"/>
    <n v="0"/>
    <n v="0"/>
    <n v="0"/>
    <n v="0"/>
    <n v="0"/>
    <n v="0"/>
    <n v="0"/>
    <n v="0"/>
    <n v="0"/>
    <n v="0"/>
    <n v="0"/>
    <n v="0"/>
    <n v="0"/>
    <s v="MMR012CMP035"/>
    <x v="0"/>
    <m/>
  </r>
  <r>
    <n v="62.56666666666667"/>
    <x v="5"/>
    <x v="201"/>
    <x v="4"/>
    <m/>
    <x v="0"/>
    <x v="9"/>
    <s v="Ramree Town"/>
    <n v="24"/>
    <m/>
    <m/>
    <m/>
    <m/>
    <m/>
    <m/>
    <m/>
    <m/>
    <m/>
    <m/>
    <m/>
    <m/>
    <m/>
    <m/>
    <m/>
    <m/>
    <m/>
    <m/>
    <m/>
    <n v="0"/>
    <n v="0"/>
    <n v="0"/>
    <n v="0"/>
    <n v="0"/>
    <n v="0"/>
    <n v="0"/>
    <n v="0"/>
    <n v="0"/>
    <n v="0"/>
    <n v="0"/>
    <n v="0"/>
    <n v="0"/>
    <n v="0"/>
    <n v="0"/>
    <s v="MMR012CMP038"/>
    <x v="4"/>
    <m/>
  </r>
  <r>
    <n v="62.56666666666667"/>
    <x v="5"/>
    <x v="201"/>
    <x v="4"/>
    <m/>
    <x v="0"/>
    <x v="9"/>
    <s v="Ramree Ward 6"/>
    <n v="97"/>
    <m/>
    <m/>
    <m/>
    <m/>
    <m/>
    <m/>
    <m/>
    <m/>
    <m/>
    <m/>
    <m/>
    <m/>
    <m/>
    <m/>
    <m/>
    <m/>
    <m/>
    <m/>
    <m/>
    <n v="0"/>
    <n v="0"/>
    <n v="0"/>
    <n v="0"/>
    <n v="0"/>
    <n v="0"/>
    <n v="0"/>
    <n v="0"/>
    <n v="0"/>
    <n v="0"/>
    <n v="0"/>
    <n v="0"/>
    <n v="0"/>
    <n v="0"/>
    <n v="0"/>
    <s v="MMR012CMP037"/>
    <x v="4"/>
    <m/>
  </r>
  <r>
    <n v="62.56666666666667"/>
    <x v="5"/>
    <x v="201"/>
    <x v="4"/>
    <m/>
    <x v="0"/>
    <x v="4"/>
    <s v="Taung Paw "/>
    <n v="705"/>
    <m/>
    <m/>
    <m/>
    <m/>
    <m/>
    <m/>
    <m/>
    <m/>
    <m/>
    <m/>
    <m/>
    <m/>
    <m/>
    <m/>
    <m/>
    <m/>
    <m/>
    <m/>
    <m/>
    <n v="0"/>
    <n v="0"/>
    <n v="0"/>
    <n v="0"/>
    <n v="0"/>
    <n v="0"/>
    <n v="0"/>
    <n v="0"/>
    <n v="0"/>
    <n v="0"/>
    <n v="0"/>
    <n v="0"/>
    <n v="0"/>
    <n v="0"/>
    <n v="0"/>
    <s v="MMR012CMP014"/>
    <x v="0"/>
    <m/>
  </r>
  <r>
    <n v="62.8"/>
    <x v="5"/>
    <x v="202"/>
    <x v="20"/>
    <s v="Save the Children"/>
    <x v="0"/>
    <x v="1"/>
    <s v="Ah Nauk Ywe"/>
    <n v="803"/>
    <m/>
    <m/>
    <m/>
    <m/>
    <m/>
    <m/>
    <m/>
    <m/>
    <m/>
    <m/>
    <m/>
    <m/>
    <m/>
    <m/>
    <m/>
    <m/>
    <m/>
    <m/>
    <m/>
    <n v="0"/>
    <n v="0"/>
    <n v="0"/>
    <n v="0"/>
    <n v="0"/>
    <n v="0"/>
    <n v="0"/>
    <n v="0"/>
    <n v="0"/>
    <n v="0"/>
    <n v="0"/>
    <n v="0"/>
    <n v="0"/>
    <n v="0"/>
    <n v="0"/>
    <s v="MMR012CMP016"/>
    <x v="0"/>
    <m/>
  </r>
  <r>
    <n v="62.8"/>
    <x v="5"/>
    <x v="202"/>
    <x v="20"/>
    <s v="Save the Children"/>
    <x v="0"/>
    <x v="1"/>
    <s v="Kyein Ni Pyin"/>
    <n v="858"/>
    <m/>
    <m/>
    <m/>
    <m/>
    <m/>
    <m/>
    <m/>
    <m/>
    <m/>
    <m/>
    <m/>
    <m/>
    <m/>
    <m/>
    <m/>
    <m/>
    <m/>
    <m/>
    <m/>
    <n v="0"/>
    <n v="0"/>
    <n v="0"/>
    <n v="0"/>
    <n v="0"/>
    <n v="0"/>
    <n v="0"/>
    <n v="0"/>
    <n v="0"/>
    <n v="0"/>
    <n v="0"/>
    <n v="0"/>
    <n v="0"/>
    <n v="0"/>
    <n v="0"/>
    <s v="MMR012CMP018"/>
    <x v="0"/>
    <m/>
  </r>
  <r>
    <n v="62.866666666666667"/>
    <x v="5"/>
    <x v="203"/>
    <x v="20"/>
    <s v="Save the Children"/>
    <x v="0"/>
    <x v="1"/>
    <s v="Sin Tet Maw"/>
    <n v="810"/>
    <m/>
    <m/>
    <m/>
    <m/>
    <m/>
    <m/>
    <m/>
    <m/>
    <m/>
    <m/>
    <m/>
    <m/>
    <m/>
    <m/>
    <m/>
    <m/>
    <m/>
    <m/>
    <m/>
    <n v="0"/>
    <n v="0"/>
    <n v="0"/>
    <n v="0"/>
    <n v="0"/>
    <n v="0"/>
    <n v="0"/>
    <n v="0"/>
    <n v="0"/>
    <n v="0"/>
    <n v="0"/>
    <n v="0"/>
    <n v="0"/>
    <n v="0"/>
    <n v="0"/>
    <s v="MMR012CMP019"/>
    <x v="0"/>
    <m/>
  </r>
  <r>
    <n v="63.06666666666667"/>
    <x v="5"/>
    <x v="204"/>
    <x v="20"/>
    <s v="Save the Children"/>
    <x v="0"/>
    <x v="0"/>
    <s v="Thet Kae Pyin "/>
    <n v="3100"/>
    <m/>
    <m/>
    <m/>
    <m/>
    <m/>
    <m/>
    <m/>
    <m/>
    <m/>
    <m/>
    <m/>
    <m/>
    <m/>
    <m/>
    <m/>
    <m/>
    <m/>
    <m/>
    <m/>
    <n v="0"/>
    <n v="0"/>
    <n v="0"/>
    <n v="0"/>
    <n v="0"/>
    <n v="0"/>
    <n v="0"/>
    <n v="0"/>
    <n v="0"/>
    <n v="0"/>
    <n v="0"/>
    <n v="0"/>
    <n v="0"/>
    <n v="0"/>
    <n v="0"/>
    <s v="MMR012CMP048"/>
    <x v="0"/>
    <m/>
  </r>
  <r>
    <n v="63.166666666666664"/>
    <x v="5"/>
    <x v="205"/>
    <x v="24"/>
    <s v="UNHCR"/>
    <x v="0"/>
    <x v="0"/>
    <s v="Ohn Taw Gyi 3"/>
    <m/>
    <m/>
    <m/>
    <m/>
    <m/>
    <m/>
    <m/>
    <n v="38"/>
    <m/>
    <m/>
    <m/>
    <m/>
    <m/>
    <m/>
    <m/>
    <m/>
    <m/>
    <m/>
    <m/>
    <m/>
    <n v="0"/>
    <n v="0"/>
    <n v="0"/>
    <n v="0"/>
    <n v="0"/>
    <n v="0"/>
    <n v="0"/>
    <n v="0"/>
    <n v="0"/>
    <n v="0"/>
    <n v="0"/>
    <n v="0"/>
    <n v="0"/>
    <n v="0"/>
    <n v="0"/>
    <s v="MMR012CMP090"/>
    <x v="4"/>
    <m/>
  </r>
  <r>
    <n v="63.266666666666666"/>
    <x v="5"/>
    <x v="206"/>
    <x v="2"/>
    <m/>
    <x v="0"/>
    <x v="8"/>
    <s v="Du Than Dar"/>
    <m/>
    <m/>
    <m/>
    <n v="63"/>
    <m/>
    <n v="126"/>
    <n v="63"/>
    <n v="126"/>
    <n v="63"/>
    <n v="63"/>
    <n v="63"/>
    <m/>
    <n v="126"/>
    <m/>
    <m/>
    <m/>
    <m/>
    <m/>
    <m/>
    <m/>
    <n v="0"/>
    <n v="0"/>
    <n v="0"/>
    <n v="0"/>
    <n v="0"/>
    <n v="0"/>
    <n v="0"/>
    <n v="0"/>
    <n v="0"/>
    <n v="0"/>
    <n v="0"/>
    <n v="0"/>
    <n v="0"/>
    <n v="0"/>
    <n v="0"/>
    <s v=""/>
    <x v="1"/>
    <m/>
  </r>
  <r>
    <n v="63.266666666666666"/>
    <x v="5"/>
    <x v="206"/>
    <x v="2"/>
    <m/>
    <x v="0"/>
    <x v="8"/>
    <s v="Du Than Dar"/>
    <m/>
    <m/>
    <m/>
    <m/>
    <n v="63"/>
    <n v="126"/>
    <n v="63"/>
    <n v="0"/>
    <m/>
    <m/>
    <m/>
    <m/>
    <m/>
    <m/>
    <m/>
    <m/>
    <m/>
    <m/>
    <m/>
    <m/>
    <n v="0"/>
    <n v="0"/>
    <n v="0"/>
    <n v="0"/>
    <n v="0"/>
    <n v="0"/>
    <n v="0"/>
    <n v="0"/>
    <n v="0"/>
    <n v="0"/>
    <n v="0"/>
    <n v="0"/>
    <n v="0"/>
    <n v="0"/>
    <n v="0"/>
    <s v=""/>
    <x v="1"/>
    <m/>
  </r>
  <r>
    <n v="63.266666666666666"/>
    <x v="5"/>
    <x v="206"/>
    <x v="24"/>
    <s v="UNHCR"/>
    <x v="0"/>
    <x v="0"/>
    <s v="Ohn Taw Gyi 3"/>
    <m/>
    <m/>
    <m/>
    <m/>
    <m/>
    <m/>
    <m/>
    <n v="50"/>
    <m/>
    <m/>
    <m/>
    <m/>
    <m/>
    <m/>
    <m/>
    <m/>
    <m/>
    <m/>
    <m/>
    <m/>
    <n v="0"/>
    <n v="0"/>
    <n v="0"/>
    <n v="0"/>
    <n v="0"/>
    <n v="0"/>
    <n v="0"/>
    <n v="0"/>
    <n v="0"/>
    <n v="0"/>
    <n v="0"/>
    <n v="0"/>
    <n v="0"/>
    <n v="0"/>
    <n v="0"/>
    <s v="MMR012CMP090"/>
    <x v="4"/>
    <m/>
  </r>
  <r>
    <n v="63.3"/>
    <x v="5"/>
    <x v="207"/>
    <x v="24"/>
    <s v="UNHCR"/>
    <x v="0"/>
    <x v="0"/>
    <s v="Ohn Taw Gyi 3"/>
    <m/>
    <m/>
    <m/>
    <m/>
    <m/>
    <m/>
    <m/>
    <n v="50"/>
    <m/>
    <m/>
    <m/>
    <m/>
    <m/>
    <m/>
    <m/>
    <m/>
    <m/>
    <m/>
    <m/>
    <m/>
    <n v="0"/>
    <n v="0"/>
    <n v="0"/>
    <n v="0"/>
    <n v="0"/>
    <n v="0"/>
    <n v="0"/>
    <n v="0"/>
    <n v="0"/>
    <n v="0"/>
    <n v="0"/>
    <n v="0"/>
    <n v="0"/>
    <n v="0"/>
    <n v="0"/>
    <s v="MMR012CMP090"/>
    <x v="4"/>
    <m/>
  </r>
  <r>
    <n v="63.533333333333331"/>
    <x v="5"/>
    <x v="208"/>
    <x v="2"/>
    <m/>
    <x v="0"/>
    <x v="8"/>
    <s v="Lamber Gone Nah"/>
    <m/>
    <m/>
    <m/>
    <n v="56"/>
    <m/>
    <n v="112"/>
    <n v="56"/>
    <n v="112"/>
    <n v="56"/>
    <n v="56"/>
    <n v="56"/>
    <m/>
    <n v="112"/>
    <m/>
    <m/>
    <m/>
    <m/>
    <m/>
    <m/>
    <m/>
    <n v="0"/>
    <n v="0"/>
    <n v="0"/>
    <n v="0"/>
    <n v="0"/>
    <n v="0"/>
    <n v="0"/>
    <n v="0"/>
    <n v="0"/>
    <n v="0"/>
    <n v="0"/>
    <n v="0"/>
    <n v="0"/>
    <n v="0"/>
    <n v="0"/>
    <s v="MMR012CMP087"/>
    <x v="4"/>
    <m/>
  </r>
  <r>
    <n v="63.533333333333331"/>
    <x v="5"/>
    <x v="208"/>
    <x v="2"/>
    <m/>
    <x v="0"/>
    <x v="8"/>
    <s v="Lamber Gone Nah"/>
    <m/>
    <m/>
    <m/>
    <m/>
    <n v="112"/>
    <n v="112"/>
    <n v="56"/>
    <n v="0"/>
    <m/>
    <m/>
    <m/>
    <m/>
    <m/>
    <m/>
    <m/>
    <m/>
    <m/>
    <m/>
    <m/>
    <m/>
    <n v="0"/>
    <n v="0"/>
    <n v="0"/>
    <n v="0"/>
    <n v="0"/>
    <n v="0"/>
    <n v="0"/>
    <n v="0"/>
    <n v="0"/>
    <n v="0"/>
    <n v="0"/>
    <n v="0"/>
    <n v="0"/>
    <n v="0"/>
    <n v="0"/>
    <s v="MMR012CMP087"/>
    <x v="4"/>
    <m/>
  </r>
  <r>
    <n v="63.533333333333331"/>
    <x v="5"/>
    <x v="208"/>
    <x v="24"/>
    <s v="UNHCR"/>
    <x v="0"/>
    <x v="0"/>
    <s v="Ohn Taw Gyi 3"/>
    <m/>
    <m/>
    <m/>
    <m/>
    <m/>
    <m/>
    <m/>
    <n v="45"/>
    <m/>
    <m/>
    <m/>
    <m/>
    <m/>
    <m/>
    <m/>
    <m/>
    <m/>
    <m/>
    <m/>
    <m/>
    <n v="0"/>
    <n v="0"/>
    <n v="0"/>
    <n v="0"/>
    <n v="0"/>
    <n v="0"/>
    <n v="0"/>
    <n v="0"/>
    <n v="0"/>
    <n v="0"/>
    <n v="0"/>
    <n v="0"/>
    <n v="0"/>
    <n v="0"/>
    <n v="0"/>
    <s v="MMR012CMP090"/>
    <x v="4"/>
    <m/>
  </r>
  <r>
    <n v="63.56666666666667"/>
    <x v="5"/>
    <x v="209"/>
    <x v="24"/>
    <s v="UNHCR"/>
    <x v="0"/>
    <x v="0"/>
    <s v="Ohn Taw Gyi 3"/>
    <m/>
    <m/>
    <m/>
    <m/>
    <m/>
    <m/>
    <m/>
    <n v="50"/>
    <m/>
    <m/>
    <m/>
    <m/>
    <m/>
    <m/>
    <m/>
    <m/>
    <m/>
    <m/>
    <m/>
    <m/>
    <n v="0"/>
    <n v="0"/>
    <n v="0"/>
    <n v="0"/>
    <n v="0"/>
    <n v="0"/>
    <n v="0"/>
    <n v="0"/>
    <n v="0"/>
    <n v="0"/>
    <n v="0"/>
    <n v="0"/>
    <n v="0"/>
    <n v="0"/>
    <n v="0"/>
    <s v="MMR012CMP090"/>
    <x v="4"/>
    <m/>
  </r>
  <r>
    <n v="63.633333333333333"/>
    <x v="5"/>
    <x v="210"/>
    <x v="2"/>
    <m/>
    <x v="0"/>
    <x v="2"/>
    <s v="Ah Htet Nan Yar"/>
    <m/>
    <m/>
    <m/>
    <n v="228"/>
    <m/>
    <n v="456"/>
    <n v="228"/>
    <n v="456"/>
    <n v="228"/>
    <n v="228"/>
    <n v="228"/>
    <m/>
    <n v="456"/>
    <m/>
    <m/>
    <m/>
    <m/>
    <m/>
    <m/>
    <m/>
    <n v="0"/>
    <n v="0"/>
    <n v="0"/>
    <n v="0"/>
    <n v="0"/>
    <n v="0"/>
    <n v="0"/>
    <n v="0"/>
    <n v="0"/>
    <n v="0"/>
    <n v="0"/>
    <n v="0"/>
    <n v="0"/>
    <n v="0"/>
    <n v="0"/>
    <s v=""/>
    <x v="1"/>
    <m/>
  </r>
  <r>
    <n v="63.633333333333333"/>
    <x v="5"/>
    <x v="210"/>
    <x v="2"/>
    <m/>
    <x v="0"/>
    <x v="2"/>
    <s v="Ah Htet Nan Yar"/>
    <m/>
    <m/>
    <m/>
    <m/>
    <n v="228"/>
    <n v="443"/>
    <n v="228"/>
    <n v="0"/>
    <m/>
    <m/>
    <m/>
    <m/>
    <m/>
    <m/>
    <m/>
    <m/>
    <m/>
    <m/>
    <m/>
    <m/>
    <n v="0"/>
    <n v="0"/>
    <n v="0"/>
    <n v="0"/>
    <n v="0"/>
    <n v="0"/>
    <n v="0"/>
    <n v="0"/>
    <n v="0"/>
    <n v="0"/>
    <n v="0"/>
    <n v="0"/>
    <n v="0"/>
    <n v="0"/>
    <n v="0"/>
    <s v=""/>
    <x v="1"/>
    <m/>
  </r>
  <r>
    <n v="63.633333333333333"/>
    <x v="5"/>
    <x v="210"/>
    <x v="2"/>
    <m/>
    <x v="0"/>
    <x v="8"/>
    <s v="Myoma Myauk"/>
    <m/>
    <m/>
    <m/>
    <n v="93"/>
    <m/>
    <n v="186"/>
    <n v="93"/>
    <n v="186"/>
    <n v="93"/>
    <n v="93"/>
    <n v="93"/>
    <m/>
    <n v="186"/>
    <m/>
    <m/>
    <m/>
    <m/>
    <m/>
    <m/>
    <m/>
    <n v="0"/>
    <n v="0"/>
    <n v="0"/>
    <n v="0"/>
    <n v="0"/>
    <n v="0"/>
    <n v="0"/>
    <n v="0"/>
    <n v="0"/>
    <n v="0"/>
    <n v="0"/>
    <n v="0"/>
    <n v="0"/>
    <n v="0"/>
    <n v="0"/>
    <s v=""/>
    <x v="1"/>
    <m/>
  </r>
  <r>
    <n v="63.633333333333333"/>
    <x v="5"/>
    <x v="210"/>
    <x v="2"/>
    <m/>
    <x v="0"/>
    <x v="8"/>
    <s v="Myoma Myauk"/>
    <m/>
    <m/>
    <m/>
    <m/>
    <n v="186"/>
    <n v="186"/>
    <n v="93"/>
    <n v="0"/>
    <m/>
    <m/>
    <m/>
    <m/>
    <m/>
    <m/>
    <m/>
    <m/>
    <m/>
    <m/>
    <m/>
    <m/>
    <n v="0"/>
    <n v="0"/>
    <n v="0"/>
    <n v="0"/>
    <n v="0"/>
    <n v="0"/>
    <n v="0"/>
    <n v="0"/>
    <n v="0"/>
    <n v="0"/>
    <n v="0"/>
    <n v="0"/>
    <n v="0"/>
    <n v="0"/>
    <n v="0"/>
    <s v=""/>
    <x v="1"/>
    <m/>
  </r>
  <r>
    <n v="63.833333333333336"/>
    <x v="5"/>
    <x v="211"/>
    <x v="9"/>
    <s v="CDN"/>
    <x v="0"/>
    <x v="0"/>
    <s v="Basare"/>
    <n v="20"/>
    <m/>
    <m/>
    <m/>
    <m/>
    <m/>
    <m/>
    <m/>
    <m/>
    <m/>
    <m/>
    <m/>
    <m/>
    <m/>
    <m/>
    <m/>
    <m/>
    <m/>
    <m/>
    <m/>
    <n v="0"/>
    <n v="0"/>
    <n v="0"/>
    <n v="0"/>
    <n v="0"/>
    <n v="0"/>
    <n v="0"/>
    <n v="0"/>
    <n v="0"/>
    <n v="0"/>
    <n v="0"/>
    <n v="0"/>
    <n v="0"/>
    <n v="0"/>
    <n v="0"/>
    <s v="MMR012CMP039"/>
    <x v="0"/>
    <m/>
  </r>
  <r>
    <n v="63.833333333333336"/>
    <x v="5"/>
    <x v="211"/>
    <x v="5"/>
    <s v="Solidarities International"/>
    <x v="0"/>
    <x v="0"/>
    <s v="Baw Du Pha"/>
    <n v="4390"/>
    <m/>
    <m/>
    <m/>
    <m/>
    <m/>
    <m/>
    <m/>
    <m/>
    <m/>
    <m/>
    <m/>
    <m/>
    <m/>
    <m/>
    <m/>
    <m/>
    <m/>
    <m/>
    <m/>
    <n v="0"/>
    <n v="0"/>
    <n v="0"/>
    <n v="0"/>
    <n v="0"/>
    <n v="0"/>
    <n v="0"/>
    <n v="0"/>
    <n v="0"/>
    <n v="0"/>
    <n v="0"/>
    <n v="0"/>
    <n v="0"/>
    <n v="0"/>
    <n v="0"/>
    <s v="MMR012CMP040"/>
    <x v="4"/>
    <m/>
  </r>
  <r>
    <n v="63.833333333333336"/>
    <x v="5"/>
    <x v="211"/>
    <x v="5"/>
    <s v="Solidarities International"/>
    <x v="0"/>
    <x v="0"/>
    <s v="Dar Pai"/>
    <n v="3758"/>
    <m/>
    <m/>
    <m/>
    <m/>
    <m/>
    <m/>
    <m/>
    <m/>
    <m/>
    <m/>
    <m/>
    <m/>
    <m/>
    <m/>
    <m/>
    <m/>
    <m/>
    <m/>
    <m/>
    <n v="0"/>
    <n v="0"/>
    <n v="0"/>
    <n v="0"/>
    <n v="0"/>
    <n v="0"/>
    <n v="0"/>
    <n v="0"/>
    <n v="0"/>
    <n v="0"/>
    <n v="0"/>
    <n v="0"/>
    <n v="0"/>
    <n v="0"/>
    <n v="0"/>
    <s v="MMR012CMP041"/>
    <x v="0"/>
    <m/>
  </r>
  <r>
    <n v="63.833333333333336"/>
    <x v="5"/>
    <x v="211"/>
    <x v="9"/>
    <s v="CDN"/>
    <x v="0"/>
    <x v="0"/>
    <s v="Khaung Doke Khar "/>
    <n v="722"/>
    <m/>
    <m/>
    <m/>
    <m/>
    <m/>
    <m/>
    <m/>
    <m/>
    <m/>
    <m/>
    <m/>
    <m/>
    <m/>
    <m/>
    <m/>
    <m/>
    <m/>
    <m/>
    <m/>
    <n v="0"/>
    <n v="0"/>
    <n v="0"/>
    <n v="0"/>
    <n v="0"/>
    <n v="0"/>
    <n v="0"/>
    <n v="0"/>
    <n v="0"/>
    <n v="0"/>
    <n v="0"/>
    <n v="0"/>
    <n v="0"/>
    <n v="0"/>
    <n v="0"/>
    <s v="MMR012CMP042"/>
    <x v="0"/>
    <m/>
  </r>
  <r>
    <n v="63.833333333333336"/>
    <x v="5"/>
    <x v="211"/>
    <x v="25"/>
    <s v="ABCD"/>
    <x v="0"/>
    <x v="0"/>
    <s v="Mingan"/>
    <n v="80"/>
    <m/>
    <m/>
    <m/>
    <m/>
    <m/>
    <m/>
    <m/>
    <m/>
    <m/>
    <m/>
    <m/>
    <m/>
    <m/>
    <m/>
    <m/>
    <m/>
    <m/>
    <m/>
    <m/>
    <n v="0"/>
    <n v="0"/>
    <n v="0"/>
    <n v="0"/>
    <n v="0"/>
    <n v="0"/>
    <n v="0"/>
    <n v="0"/>
    <n v="0"/>
    <n v="0"/>
    <n v="0"/>
    <n v="0"/>
    <n v="0"/>
    <n v="0"/>
    <n v="0"/>
    <s v="MMR012CMP093"/>
    <x v="2"/>
    <m/>
  </r>
  <r>
    <n v="63.833333333333336"/>
    <x v="5"/>
    <x v="211"/>
    <x v="25"/>
    <s v="ABCD"/>
    <x v="0"/>
    <x v="6"/>
    <s v="Myat Buddha Mandine Monastery"/>
    <n v="50"/>
    <m/>
    <m/>
    <m/>
    <m/>
    <m/>
    <m/>
    <m/>
    <m/>
    <m/>
    <m/>
    <m/>
    <m/>
    <m/>
    <m/>
    <m/>
    <m/>
    <m/>
    <m/>
    <m/>
    <n v="0"/>
    <n v="0"/>
    <n v="0"/>
    <n v="0"/>
    <n v="0"/>
    <n v="0"/>
    <n v="0"/>
    <n v="0"/>
    <n v="0"/>
    <n v="0"/>
    <n v="0"/>
    <n v="0"/>
    <n v="0"/>
    <n v="0"/>
    <n v="0"/>
    <s v="MMR012CMP011"/>
    <x v="4"/>
    <m/>
  </r>
  <r>
    <n v="63.833333333333336"/>
    <x v="5"/>
    <x v="211"/>
    <x v="25"/>
    <s v="ABCD"/>
    <x v="0"/>
    <x v="0"/>
    <s v="Set Yone Su"/>
    <n v="220"/>
    <m/>
    <m/>
    <m/>
    <m/>
    <m/>
    <m/>
    <m/>
    <m/>
    <m/>
    <m/>
    <m/>
    <m/>
    <m/>
    <m/>
    <m/>
    <m/>
    <m/>
    <m/>
    <m/>
    <n v="0"/>
    <n v="0"/>
    <n v="0"/>
    <n v="0"/>
    <n v="0"/>
    <n v="0"/>
    <n v="0"/>
    <n v="0"/>
    <n v="0"/>
    <n v="0"/>
    <n v="0"/>
    <n v="0"/>
    <n v="0"/>
    <n v="0"/>
    <n v="0"/>
    <s v="MMR012CMP056"/>
    <x v="2"/>
    <m/>
  </r>
  <r>
    <n v="63.833333333333336"/>
    <x v="5"/>
    <x v="211"/>
    <x v="5"/>
    <s v="Solidarities International"/>
    <x v="0"/>
    <x v="0"/>
    <s v="Set Yone Su"/>
    <n v="220"/>
    <m/>
    <m/>
    <m/>
    <m/>
    <m/>
    <m/>
    <m/>
    <m/>
    <m/>
    <m/>
    <m/>
    <m/>
    <m/>
    <m/>
    <m/>
    <m/>
    <m/>
    <m/>
    <m/>
    <n v="0"/>
    <n v="0"/>
    <n v="0"/>
    <n v="0"/>
    <n v="0"/>
    <n v="0"/>
    <n v="0"/>
    <n v="0"/>
    <n v="0"/>
    <n v="0"/>
    <n v="0"/>
    <n v="0"/>
    <n v="0"/>
    <n v="0"/>
    <n v="0"/>
    <s v="MMR012CMP056"/>
    <x v="2"/>
    <m/>
  </r>
  <r>
    <n v="63.833333333333336"/>
    <x v="5"/>
    <x v="211"/>
    <x v="5"/>
    <s v="Solidarities International"/>
    <x v="0"/>
    <x v="0"/>
    <s v="Thae Chaung"/>
    <n v="2939"/>
    <m/>
    <m/>
    <m/>
    <m/>
    <m/>
    <m/>
    <m/>
    <m/>
    <m/>
    <m/>
    <m/>
    <m/>
    <m/>
    <m/>
    <m/>
    <m/>
    <m/>
    <m/>
    <m/>
    <n v="0"/>
    <n v="0"/>
    <n v="0"/>
    <n v="0"/>
    <n v="0"/>
    <n v="0"/>
    <n v="0"/>
    <n v="0"/>
    <n v="0"/>
    <n v="0"/>
    <n v="0"/>
    <n v="0"/>
    <n v="0"/>
    <n v="0"/>
    <n v="0"/>
    <s v="MMR012CMP046"/>
    <x v="0"/>
    <m/>
  </r>
  <r>
    <n v="64.099999999999994"/>
    <x v="6"/>
    <x v="212"/>
    <x v="2"/>
    <m/>
    <x v="0"/>
    <x v="1"/>
    <s v="Ah Nauk Ywe"/>
    <m/>
    <m/>
    <m/>
    <m/>
    <m/>
    <m/>
    <n v="758"/>
    <m/>
    <m/>
    <m/>
    <m/>
    <m/>
    <m/>
    <m/>
    <m/>
    <m/>
    <m/>
    <m/>
    <m/>
    <m/>
    <n v="0"/>
    <n v="0"/>
    <n v="0"/>
    <n v="0"/>
    <n v="0"/>
    <n v="0"/>
    <n v="0"/>
    <n v="0"/>
    <n v="0"/>
    <n v="0"/>
    <n v="0"/>
    <n v="0"/>
    <n v="0"/>
    <n v="0"/>
    <n v="0"/>
    <s v="MMR012CMP016"/>
    <x v="0"/>
    <m/>
  </r>
  <r>
    <n v="64.099999999999994"/>
    <x v="6"/>
    <x v="212"/>
    <x v="2"/>
    <m/>
    <x v="0"/>
    <x v="1"/>
    <s v="Nget Chaung"/>
    <m/>
    <m/>
    <m/>
    <m/>
    <m/>
    <m/>
    <n v="1306"/>
    <m/>
    <m/>
    <m/>
    <m/>
    <m/>
    <m/>
    <m/>
    <m/>
    <m/>
    <m/>
    <m/>
    <m/>
    <m/>
    <n v="0"/>
    <n v="0"/>
    <n v="0"/>
    <n v="0"/>
    <n v="0"/>
    <n v="0"/>
    <n v="0"/>
    <n v="0"/>
    <n v="0"/>
    <n v="0"/>
    <n v="0"/>
    <n v="0"/>
    <n v="0"/>
    <n v="0"/>
    <n v="0"/>
    <s v=""/>
    <x v="1"/>
    <m/>
  </r>
  <r>
    <n v="64.099999999999994"/>
    <x v="6"/>
    <x v="212"/>
    <x v="2"/>
    <m/>
    <x v="0"/>
    <x v="1"/>
    <s v="Sin Tet Maw"/>
    <m/>
    <m/>
    <m/>
    <m/>
    <m/>
    <m/>
    <n v="796"/>
    <m/>
    <m/>
    <m/>
    <m/>
    <m/>
    <m/>
    <m/>
    <m/>
    <m/>
    <m/>
    <m/>
    <m/>
    <m/>
    <n v="0"/>
    <n v="0"/>
    <n v="0"/>
    <n v="0"/>
    <n v="0"/>
    <n v="0"/>
    <n v="0"/>
    <n v="0"/>
    <n v="0"/>
    <n v="0"/>
    <n v="0"/>
    <n v="0"/>
    <n v="0"/>
    <n v="0"/>
    <n v="0"/>
    <s v="MMR012CMP019"/>
    <x v="0"/>
    <m/>
  </r>
  <r>
    <n v="64.13333333333334"/>
    <x v="6"/>
    <x v="213"/>
    <x v="2"/>
    <m/>
    <x v="0"/>
    <x v="8"/>
    <m/>
    <m/>
    <m/>
    <m/>
    <m/>
    <n v="3000"/>
    <m/>
    <m/>
    <m/>
    <m/>
    <m/>
    <m/>
    <m/>
    <m/>
    <m/>
    <m/>
    <m/>
    <m/>
    <m/>
    <m/>
    <m/>
    <n v="0"/>
    <n v="0"/>
    <n v="0"/>
    <n v="0"/>
    <n v="0"/>
    <n v="0"/>
    <n v="0"/>
    <n v="0"/>
    <n v="0"/>
    <n v="0"/>
    <n v="0"/>
    <n v="0"/>
    <n v="0"/>
    <n v="0"/>
    <n v="0"/>
    <s v=""/>
    <x v="1"/>
    <m/>
  </r>
  <r>
    <n v="64.13333333333334"/>
    <x v="6"/>
    <x v="213"/>
    <x v="2"/>
    <m/>
    <x v="0"/>
    <x v="8"/>
    <m/>
    <m/>
    <m/>
    <m/>
    <m/>
    <m/>
    <m/>
    <n v="1180"/>
    <m/>
    <m/>
    <m/>
    <m/>
    <m/>
    <m/>
    <m/>
    <m/>
    <m/>
    <m/>
    <m/>
    <m/>
    <m/>
    <n v="0"/>
    <n v="0"/>
    <n v="0"/>
    <n v="0"/>
    <n v="0"/>
    <n v="0"/>
    <n v="0"/>
    <n v="0"/>
    <n v="0"/>
    <n v="0"/>
    <n v="0"/>
    <n v="0"/>
    <n v="0"/>
    <n v="0"/>
    <n v="0"/>
    <s v=""/>
    <x v="1"/>
    <m/>
  </r>
  <r>
    <n v="64.3"/>
    <x v="6"/>
    <x v="214"/>
    <x v="2"/>
    <m/>
    <x v="0"/>
    <x v="3"/>
    <s v="Nidin"/>
    <m/>
    <m/>
    <m/>
    <m/>
    <m/>
    <n v="160"/>
    <n v="80"/>
    <n v="160"/>
    <n v="80"/>
    <n v="80"/>
    <m/>
    <m/>
    <m/>
    <m/>
    <m/>
    <m/>
    <m/>
    <m/>
    <m/>
    <m/>
    <n v="0"/>
    <n v="0"/>
    <n v="0"/>
    <n v="0"/>
    <n v="0"/>
    <n v="0"/>
    <n v="0"/>
    <n v="0"/>
    <n v="0"/>
    <n v="0"/>
    <n v="0"/>
    <n v="0"/>
    <n v="0"/>
    <n v="0"/>
    <n v="0"/>
    <s v="MMR012CMP023"/>
    <x v="0"/>
    <m/>
  </r>
  <r>
    <n v="64.3"/>
    <x v="6"/>
    <x v="214"/>
    <x v="2"/>
    <m/>
    <x v="0"/>
    <x v="3"/>
    <s v="Taung Bwe"/>
    <m/>
    <m/>
    <m/>
    <m/>
    <m/>
    <n v="174"/>
    <m/>
    <n v="174"/>
    <m/>
    <m/>
    <m/>
    <m/>
    <m/>
    <m/>
    <m/>
    <m/>
    <m/>
    <m/>
    <m/>
    <m/>
    <n v="0"/>
    <n v="0"/>
    <n v="0"/>
    <n v="0"/>
    <n v="0"/>
    <n v="0"/>
    <n v="0"/>
    <n v="0"/>
    <n v="0"/>
    <n v="0"/>
    <n v="0"/>
    <n v="0"/>
    <n v="0"/>
    <n v="0"/>
    <n v="0"/>
    <s v="MMR012CMP021"/>
    <x v="3"/>
    <m/>
  </r>
  <r>
    <n v="64.333333333333329"/>
    <x v="6"/>
    <x v="215"/>
    <x v="2"/>
    <m/>
    <x v="0"/>
    <x v="4"/>
    <s v="Taung Paw "/>
    <m/>
    <m/>
    <m/>
    <m/>
    <m/>
    <n v="632"/>
    <m/>
    <n v="632"/>
    <m/>
    <m/>
    <m/>
    <m/>
    <m/>
    <m/>
    <m/>
    <m/>
    <m/>
    <m/>
    <m/>
    <m/>
    <n v="0"/>
    <n v="0"/>
    <n v="0"/>
    <n v="0"/>
    <n v="0"/>
    <n v="0"/>
    <n v="0"/>
    <n v="0"/>
    <n v="0"/>
    <n v="0"/>
    <n v="0"/>
    <n v="0"/>
    <n v="0"/>
    <n v="0"/>
    <n v="0"/>
    <s v="MMR012CMP014"/>
    <x v="0"/>
    <m/>
  </r>
  <r>
    <n v="64.333333333333329"/>
    <x v="6"/>
    <x v="215"/>
    <x v="2"/>
    <m/>
    <x v="0"/>
    <x v="6"/>
    <s v="Tha Dar"/>
    <m/>
    <m/>
    <m/>
    <m/>
    <m/>
    <n v="406"/>
    <m/>
    <m/>
    <m/>
    <m/>
    <m/>
    <m/>
    <m/>
    <m/>
    <m/>
    <m/>
    <m/>
    <m/>
    <m/>
    <m/>
    <n v="0"/>
    <n v="0"/>
    <n v="0"/>
    <n v="0"/>
    <n v="0"/>
    <n v="0"/>
    <n v="0"/>
    <n v="0"/>
    <n v="0"/>
    <n v="0"/>
    <n v="0"/>
    <n v="0"/>
    <n v="0"/>
    <n v="0"/>
    <n v="0"/>
    <s v="MMR012CMP002"/>
    <x v="3"/>
    <m/>
  </r>
  <r>
    <n v="64.36666666666666"/>
    <x v="6"/>
    <x v="216"/>
    <x v="24"/>
    <s v="UNHCR"/>
    <x v="0"/>
    <x v="0"/>
    <s v="Hmanzi Junction"/>
    <m/>
    <m/>
    <m/>
    <m/>
    <m/>
    <m/>
    <m/>
    <n v="49"/>
    <m/>
    <m/>
    <m/>
    <m/>
    <m/>
    <m/>
    <m/>
    <m/>
    <m/>
    <m/>
    <m/>
    <m/>
    <n v="0"/>
    <n v="0"/>
    <n v="0"/>
    <n v="0"/>
    <n v="0"/>
    <n v="0"/>
    <n v="0"/>
    <n v="0"/>
    <n v="0"/>
    <n v="0"/>
    <n v="0"/>
    <n v="0"/>
    <n v="0"/>
    <n v="0"/>
    <n v="0"/>
    <s v="MMR012CMP049"/>
    <x v="4"/>
    <m/>
  </r>
  <r>
    <n v="64.36666666666666"/>
    <x v="6"/>
    <x v="216"/>
    <x v="24"/>
    <s v="UNHCR"/>
    <x v="0"/>
    <x v="0"/>
    <s v="Hmanzi Junction"/>
    <m/>
    <m/>
    <m/>
    <m/>
    <m/>
    <m/>
    <m/>
    <n v="11"/>
    <m/>
    <m/>
    <m/>
    <m/>
    <m/>
    <m/>
    <m/>
    <m/>
    <m/>
    <m/>
    <m/>
    <m/>
    <n v="0"/>
    <n v="0"/>
    <n v="0"/>
    <n v="0"/>
    <n v="0"/>
    <n v="0"/>
    <n v="0"/>
    <n v="0"/>
    <n v="0"/>
    <n v="0"/>
    <n v="0"/>
    <n v="0"/>
    <n v="0"/>
    <n v="0"/>
    <n v="0"/>
    <s v="MMR012CMP049"/>
    <x v="4"/>
    <m/>
  </r>
  <r>
    <n v="64.400000000000006"/>
    <x v="6"/>
    <x v="217"/>
    <x v="2"/>
    <m/>
    <x v="0"/>
    <x v="6"/>
    <s v="Aung Taing"/>
    <m/>
    <m/>
    <m/>
    <m/>
    <m/>
    <n v="172"/>
    <m/>
    <m/>
    <m/>
    <m/>
    <m/>
    <m/>
    <m/>
    <m/>
    <m/>
    <m/>
    <m/>
    <m/>
    <m/>
    <m/>
    <n v="0"/>
    <n v="0"/>
    <n v="0"/>
    <n v="0"/>
    <n v="0"/>
    <n v="0"/>
    <n v="0"/>
    <n v="0"/>
    <n v="0"/>
    <n v="0"/>
    <n v="0"/>
    <n v="0"/>
    <n v="0"/>
    <n v="0"/>
    <n v="0"/>
    <s v="MMR012CMP006"/>
    <x v="3"/>
    <m/>
  </r>
  <r>
    <n v="64.400000000000006"/>
    <x v="6"/>
    <x v="217"/>
    <x v="2"/>
    <m/>
    <x v="0"/>
    <x v="6"/>
    <s v="Nagara Pauktaw"/>
    <m/>
    <m/>
    <m/>
    <m/>
    <m/>
    <m/>
    <m/>
    <n v="156"/>
    <m/>
    <m/>
    <m/>
    <m/>
    <m/>
    <m/>
    <m/>
    <m/>
    <m/>
    <m/>
    <m/>
    <m/>
    <n v="0"/>
    <n v="0"/>
    <n v="0"/>
    <n v="0"/>
    <n v="0"/>
    <n v="0"/>
    <n v="0"/>
    <n v="0"/>
    <n v="0"/>
    <n v="0"/>
    <n v="0"/>
    <n v="0"/>
    <n v="0"/>
    <n v="0"/>
    <n v="0"/>
    <s v="MMR012CMP004"/>
    <x v="4"/>
    <m/>
  </r>
  <r>
    <n v="64.400000000000006"/>
    <x v="6"/>
    <x v="217"/>
    <x v="2"/>
    <m/>
    <x v="0"/>
    <x v="7"/>
    <s v="Pa Rein"/>
    <m/>
    <m/>
    <m/>
    <m/>
    <m/>
    <n v="240"/>
    <m/>
    <m/>
    <m/>
    <m/>
    <m/>
    <m/>
    <m/>
    <m/>
    <m/>
    <m/>
    <m/>
    <m/>
    <m/>
    <m/>
    <n v="0"/>
    <n v="0"/>
    <n v="0"/>
    <n v="0"/>
    <n v="0"/>
    <n v="0"/>
    <n v="0"/>
    <n v="0"/>
    <n v="0"/>
    <n v="0"/>
    <n v="0"/>
    <n v="0"/>
    <n v="0"/>
    <n v="0"/>
    <n v="0"/>
    <s v="MMR012CMP009"/>
    <x v="3"/>
    <m/>
  </r>
  <r>
    <n v="64.400000000000006"/>
    <x v="6"/>
    <x v="217"/>
    <x v="2"/>
    <m/>
    <x v="0"/>
    <x v="6"/>
    <s v="Sam Ba Le"/>
    <m/>
    <m/>
    <m/>
    <m/>
    <m/>
    <n v="200"/>
    <m/>
    <m/>
    <m/>
    <m/>
    <m/>
    <m/>
    <m/>
    <m/>
    <m/>
    <m/>
    <m/>
    <m/>
    <m/>
    <m/>
    <n v="0"/>
    <n v="0"/>
    <n v="0"/>
    <n v="0"/>
    <n v="0"/>
    <n v="0"/>
    <n v="0"/>
    <n v="0"/>
    <n v="0"/>
    <n v="0"/>
    <n v="0"/>
    <n v="0"/>
    <n v="0"/>
    <n v="0"/>
    <n v="0"/>
    <s v="MMR012CMP008"/>
    <x v="3"/>
    <m/>
  </r>
  <r>
    <n v="64.400000000000006"/>
    <x v="6"/>
    <x v="217"/>
    <x v="2"/>
    <m/>
    <x v="0"/>
    <x v="6"/>
    <s v="San Htoe Tan"/>
    <m/>
    <m/>
    <m/>
    <m/>
    <m/>
    <m/>
    <m/>
    <m/>
    <n v="86"/>
    <m/>
    <m/>
    <m/>
    <m/>
    <m/>
    <m/>
    <m/>
    <m/>
    <m/>
    <m/>
    <m/>
    <n v="0"/>
    <n v="0"/>
    <n v="0"/>
    <n v="0"/>
    <n v="0"/>
    <n v="0"/>
    <n v="0"/>
    <n v="0"/>
    <n v="0"/>
    <n v="0"/>
    <n v="0"/>
    <n v="0"/>
    <n v="0"/>
    <n v="0"/>
    <n v="0"/>
    <s v="MMR012CMP003"/>
    <x v="3"/>
    <m/>
  </r>
  <r>
    <n v="64.400000000000006"/>
    <x v="6"/>
    <x v="217"/>
    <x v="2"/>
    <m/>
    <x v="0"/>
    <x v="6"/>
    <s v="Tha Dar"/>
    <m/>
    <m/>
    <m/>
    <m/>
    <m/>
    <m/>
    <m/>
    <n v="406"/>
    <m/>
    <m/>
    <m/>
    <m/>
    <m/>
    <m/>
    <m/>
    <m/>
    <m/>
    <m/>
    <m/>
    <m/>
    <n v="0"/>
    <n v="0"/>
    <n v="0"/>
    <n v="0"/>
    <n v="0"/>
    <n v="0"/>
    <n v="0"/>
    <n v="0"/>
    <n v="0"/>
    <n v="0"/>
    <n v="0"/>
    <n v="0"/>
    <n v="0"/>
    <n v="0"/>
    <n v="0"/>
    <s v="MMR012CMP002"/>
    <x v="3"/>
    <m/>
  </r>
  <r>
    <n v="64.433333333333337"/>
    <x v="6"/>
    <x v="218"/>
    <x v="24"/>
    <s v="UNHCR"/>
    <x v="0"/>
    <x v="0"/>
    <s v="Hmanzi Junction"/>
    <m/>
    <m/>
    <m/>
    <m/>
    <m/>
    <m/>
    <m/>
    <n v="55"/>
    <m/>
    <m/>
    <m/>
    <m/>
    <m/>
    <m/>
    <m/>
    <m/>
    <m/>
    <m/>
    <m/>
    <m/>
    <n v="0"/>
    <n v="0"/>
    <n v="0"/>
    <n v="0"/>
    <n v="0"/>
    <n v="0"/>
    <n v="0"/>
    <n v="0"/>
    <n v="0"/>
    <n v="0"/>
    <n v="0"/>
    <n v="0"/>
    <n v="0"/>
    <n v="0"/>
    <n v="0"/>
    <s v="MMR012CMP049"/>
    <x v="4"/>
    <m/>
  </r>
  <r>
    <n v="64.466666666666669"/>
    <x v="6"/>
    <x v="219"/>
    <x v="2"/>
    <m/>
    <x v="0"/>
    <x v="3"/>
    <s v="Ah Lel Kyun"/>
    <m/>
    <m/>
    <m/>
    <m/>
    <m/>
    <n v="180"/>
    <m/>
    <n v="180"/>
    <n v="90"/>
    <m/>
    <m/>
    <m/>
    <m/>
    <m/>
    <m/>
    <m/>
    <m/>
    <m/>
    <m/>
    <m/>
    <n v="0"/>
    <n v="0"/>
    <n v="0"/>
    <n v="0"/>
    <n v="0"/>
    <n v="0"/>
    <n v="0"/>
    <n v="0"/>
    <n v="0"/>
    <n v="0"/>
    <n v="0"/>
    <n v="0"/>
    <n v="0"/>
    <n v="0"/>
    <n v="0"/>
    <s v="MMR012CMP025"/>
    <x v="3"/>
    <m/>
  </r>
  <r>
    <n v="64.466666666666669"/>
    <x v="6"/>
    <x v="219"/>
    <x v="2"/>
    <m/>
    <x v="0"/>
    <x v="3"/>
    <s v="Ah Pauk Wa "/>
    <m/>
    <m/>
    <m/>
    <m/>
    <m/>
    <m/>
    <m/>
    <m/>
    <m/>
    <n v="90"/>
    <m/>
    <m/>
    <m/>
    <m/>
    <m/>
    <m/>
    <m/>
    <m/>
    <m/>
    <m/>
    <n v="0"/>
    <n v="0"/>
    <n v="0"/>
    <n v="0"/>
    <n v="0"/>
    <n v="0"/>
    <n v="0"/>
    <n v="0"/>
    <n v="0"/>
    <n v="0"/>
    <n v="0"/>
    <n v="0"/>
    <n v="0"/>
    <n v="0"/>
    <n v="0"/>
    <s v="MMR012CMP024"/>
    <x v="3"/>
    <m/>
  </r>
  <r>
    <n v="64.466666666666669"/>
    <x v="6"/>
    <x v="219"/>
    <x v="2"/>
    <m/>
    <x v="0"/>
    <x v="0"/>
    <s v="Basare"/>
    <m/>
    <m/>
    <m/>
    <m/>
    <n v="302"/>
    <m/>
    <m/>
    <m/>
    <m/>
    <m/>
    <m/>
    <m/>
    <m/>
    <m/>
    <m/>
    <m/>
    <m/>
    <m/>
    <m/>
    <m/>
    <n v="0"/>
    <n v="0"/>
    <n v="0"/>
    <n v="0"/>
    <n v="0"/>
    <n v="0"/>
    <n v="0"/>
    <n v="0"/>
    <n v="0"/>
    <n v="0"/>
    <n v="0"/>
    <n v="0"/>
    <n v="0"/>
    <n v="0"/>
    <n v="0"/>
    <s v="MMR012CMP039"/>
    <x v="0"/>
    <m/>
  </r>
  <r>
    <n v="64.466666666666669"/>
    <x v="6"/>
    <x v="219"/>
    <x v="2"/>
    <m/>
    <x v="0"/>
    <x v="0"/>
    <s v="Baw Du Pha"/>
    <m/>
    <m/>
    <m/>
    <m/>
    <n v="2142"/>
    <m/>
    <m/>
    <m/>
    <m/>
    <m/>
    <m/>
    <m/>
    <m/>
    <m/>
    <m/>
    <m/>
    <m/>
    <m/>
    <m/>
    <m/>
    <n v="0"/>
    <n v="0"/>
    <n v="0"/>
    <n v="0"/>
    <n v="0"/>
    <n v="0"/>
    <n v="0"/>
    <n v="0"/>
    <n v="0"/>
    <n v="0"/>
    <n v="0"/>
    <n v="0"/>
    <n v="0"/>
    <n v="0"/>
    <n v="0"/>
    <s v="MMR012CMP040"/>
    <x v="4"/>
    <m/>
  </r>
  <r>
    <n v="64.466666666666669"/>
    <x v="6"/>
    <x v="219"/>
    <x v="2"/>
    <m/>
    <x v="0"/>
    <x v="0"/>
    <s v="Dar Pai"/>
    <m/>
    <m/>
    <m/>
    <m/>
    <n v="1707"/>
    <m/>
    <m/>
    <m/>
    <m/>
    <m/>
    <m/>
    <m/>
    <m/>
    <m/>
    <m/>
    <m/>
    <m/>
    <m/>
    <m/>
    <m/>
    <n v="0"/>
    <n v="0"/>
    <n v="0"/>
    <n v="0"/>
    <n v="0"/>
    <n v="0"/>
    <n v="0"/>
    <n v="0"/>
    <n v="0"/>
    <n v="0"/>
    <n v="0"/>
    <n v="0"/>
    <n v="0"/>
    <n v="0"/>
    <n v="0"/>
    <s v="MMR012CMP041"/>
    <x v="0"/>
    <m/>
  </r>
  <r>
    <n v="64.466666666666669"/>
    <x v="6"/>
    <x v="219"/>
    <x v="2"/>
    <m/>
    <x v="0"/>
    <x v="3"/>
    <s v="Goke Pi Htaunt"/>
    <m/>
    <m/>
    <m/>
    <m/>
    <m/>
    <n v="232"/>
    <m/>
    <n v="232"/>
    <n v="105"/>
    <n v="116"/>
    <m/>
    <m/>
    <m/>
    <m/>
    <m/>
    <m/>
    <m/>
    <m/>
    <m/>
    <m/>
    <n v="0"/>
    <n v="0"/>
    <n v="0"/>
    <n v="0"/>
    <n v="0"/>
    <n v="0"/>
    <n v="0"/>
    <n v="0"/>
    <n v="0"/>
    <n v="0"/>
    <n v="0"/>
    <n v="0"/>
    <n v="0"/>
    <n v="0"/>
    <n v="0"/>
    <s v="MMR012CMP027"/>
    <x v="3"/>
    <m/>
  </r>
  <r>
    <n v="64.466666666666669"/>
    <x v="6"/>
    <x v="219"/>
    <x v="2"/>
    <m/>
    <x v="0"/>
    <x v="3"/>
    <s v="In Bar Yi"/>
    <m/>
    <m/>
    <m/>
    <m/>
    <m/>
    <n v="460"/>
    <m/>
    <n v="460"/>
    <n v="145"/>
    <m/>
    <m/>
    <m/>
    <m/>
    <m/>
    <m/>
    <m/>
    <m/>
    <m/>
    <m/>
    <m/>
    <n v="0"/>
    <n v="0"/>
    <n v="0"/>
    <n v="0"/>
    <n v="0"/>
    <n v="0"/>
    <n v="0"/>
    <n v="0"/>
    <n v="0"/>
    <n v="0"/>
    <n v="0"/>
    <n v="0"/>
    <n v="0"/>
    <n v="0"/>
    <n v="0"/>
    <s v="MMR012CMP026"/>
    <x v="3"/>
    <m/>
  </r>
  <r>
    <n v="64.466666666666669"/>
    <x v="6"/>
    <x v="219"/>
    <x v="2"/>
    <m/>
    <x v="0"/>
    <x v="0"/>
    <s v="Khaung Doke Khar "/>
    <m/>
    <m/>
    <m/>
    <m/>
    <n v="310"/>
    <m/>
    <m/>
    <m/>
    <m/>
    <m/>
    <m/>
    <m/>
    <m/>
    <m/>
    <m/>
    <m/>
    <m/>
    <m/>
    <m/>
    <m/>
    <n v="0"/>
    <n v="0"/>
    <n v="0"/>
    <n v="0"/>
    <n v="0"/>
    <n v="0"/>
    <n v="0"/>
    <n v="0"/>
    <n v="0"/>
    <n v="0"/>
    <n v="0"/>
    <n v="0"/>
    <n v="0"/>
    <n v="0"/>
    <n v="0"/>
    <s v="MMR012CMP042"/>
    <x v="0"/>
    <m/>
  </r>
  <r>
    <n v="64.466666666666669"/>
    <x v="6"/>
    <x v="219"/>
    <x v="2"/>
    <m/>
    <x v="0"/>
    <x v="3"/>
    <s v="Let Saung Kauk"/>
    <m/>
    <m/>
    <m/>
    <m/>
    <m/>
    <n v="36"/>
    <m/>
    <n v="36"/>
    <n v="18"/>
    <n v="18"/>
    <m/>
    <m/>
    <m/>
    <m/>
    <m/>
    <m/>
    <m/>
    <m/>
    <m/>
    <m/>
    <n v="0"/>
    <n v="0"/>
    <n v="0"/>
    <n v="0"/>
    <n v="0"/>
    <n v="0"/>
    <n v="0"/>
    <n v="0"/>
    <n v="0"/>
    <n v="0"/>
    <n v="0"/>
    <n v="0"/>
    <n v="0"/>
    <n v="0"/>
    <n v="0"/>
    <s v="MMR012CMP020"/>
    <x v="3"/>
    <m/>
  </r>
  <r>
    <n v="64.466666666666669"/>
    <x v="6"/>
    <x v="219"/>
    <x v="2"/>
    <m/>
    <x v="0"/>
    <x v="0"/>
    <s v="Ohn Taw Gyi 1"/>
    <m/>
    <m/>
    <m/>
    <m/>
    <n v="65"/>
    <m/>
    <m/>
    <m/>
    <m/>
    <m/>
    <m/>
    <m/>
    <m/>
    <m/>
    <m/>
    <m/>
    <m/>
    <m/>
    <m/>
    <m/>
    <n v="0"/>
    <n v="0"/>
    <n v="0"/>
    <n v="0"/>
    <n v="0"/>
    <n v="0"/>
    <n v="0"/>
    <n v="0"/>
    <n v="0"/>
    <n v="0"/>
    <n v="0"/>
    <n v="0"/>
    <n v="0"/>
    <n v="0"/>
    <n v="0"/>
    <s v="MMR012CMP043"/>
    <x v="4"/>
    <m/>
  </r>
  <r>
    <n v="64.466666666666669"/>
    <x v="6"/>
    <x v="219"/>
    <x v="2"/>
    <m/>
    <x v="0"/>
    <x v="6"/>
    <s v="Paik Thay"/>
    <m/>
    <m/>
    <m/>
    <m/>
    <m/>
    <n v="38"/>
    <m/>
    <n v="38"/>
    <n v="19"/>
    <m/>
    <m/>
    <m/>
    <m/>
    <m/>
    <m/>
    <m/>
    <m/>
    <m/>
    <m/>
    <m/>
    <n v="0"/>
    <n v="0"/>
    <n v="0"/>
    <n v="0"/>
    <n v="0"/>
    <n v="0"/>
    <n v="0"/>
    <n v="0"/>
    <n v="0"/>
    <n v="0"/>
    <n v="0"/>
    <n v="0"/>
    <n v="0"/>
    <n v="0"/>
    <n v="0"/>
    <s v="MMR012CMP001"/>
    <x v="3"/>
    <m/>
  </r>
  <r>
    <n v="64.466666666666669"/>
    <x v="6"/>
    <x v="219"/>
    <x v="2"/>
    <m/>
    <x v="0"/>
    <x v="0"/>
    <s v="Phwe Yar Kone"/>
    <m/>
    <m/>
    <m/>
    <m/>
    <n v="374"/>
    <m/>
    <m/>
    <m/>
    <m/>
    <m/>
    <m/>
    <m/>
    <m/>
    <m/>
    <m/>
    <m/>
    <m/>
    <m/>
    <m/>
    <m/>
    <n v="0"/>
    <n v="0"/>
    <n v="0"/>
    <n v="0"/>
    <n v="0"/>
    <n v="0"/>
    <n v="0"/>
    <n v="0"/>
    <n v="0"/>
    <n v="0"/>
    <n v="0"/>
    <n v="0"/>
    <n v="0"/>
    <n v="0"/>
    <n v="0"/>
    <s v="MMR012CMP044"/>
    <x v="4"/>
    <m/>
  </r>
  <r>
    <n v="64.466666666666669"/>
    <x v="6"/>
    <x v="219"/>
    <x v="2"/>
    <m/>
    <x v="0"/>
    <x v="0"/>
    <s v="Say Tha Mar Gyi"/>
    <m/>
    <m/>
    <m/>
    <m/>
    <n v="1460"/>
    <m/>
    <m/>
    <m/>
    <m/>
    <m/>
    <m/>
    <m/>
    <m/>
    <m/>
    <m/>
    <m/>
    <m/>
    <m/>
    <m/>
    <m/>
    <n v="0"/>
    <n v="0"/>
    <n v="0"/>
    <n v="0"/>
    <n v="0"/>
    <n v="0"/>
    <n v="0"/>
    <n v="0"/>
    <n v="0"/>
    <n v="0"/>
    <n v="0"/>
    <n v="0"/>
    <n v="0"/>
    <n v="0"/>
    <n v="0"/>
    <s v="MMR012CMP045"/>
    <x v="0"/>
    <m/>
  </r>
  <r>
    <n v="64.466666666666669"/>
    <x v="6"/>
    <x v="219"/>
    <x v="2"/>
    <m/>
    <x v="0"/>
    <x v="3"/>
    <s v="Shwe Hlaing"/>
    <m/>
    <m/>
    <m/>
    <m/>
    <m/>
    <n v="290"/>
    <m/>
    <m/>
    <m/>
    <m/>
    <m/>
    <m/>
    <m/>
    <m/>
    <m/>
    <m/>
    <m/>
    <m/>
    <m/>
    <m/>
    <n v="0"/>
    <n v="0"/>
    <n v="0"/>
    <n v="0"/>
    <n v="0"/>
    <n v="0"/>
    <n v="0"/>
    <n v="0"/>
    <n v="0"/>
    <n v="0"/>
    <n v="0"/>
    <n v="0"/>
    <n v="0"/>
    <n v="0"/>
    <n v="0"/>
    <s v="MMR012CMP029"/>
    <x v="3"/>
    <m/>
  </r>
  <r>
    <n v="64.466666666666669"/>
    <x v="6"/>
    <x v="219"/>
    <x v="2"/>
    <m/>
    <x v="0"/>
    <x v="3"/>
    <s v="Taung Bwe"/>
    <m/>
    <m/>
    <m/>
    <m/>
    <m/>
    <m/>
    <m/>
    <m/>
    <n v="87"/>
    <m/>
    <m/>
    <m/>
    <m/>
    <m/>
    <m/>
    <m/>
    <m/>
    <m/>
    <m/>
    <m/>
    <n v="0"/>
    <n v="0"/>
    <n v="0"/>
    <n v="0"/>
    <n v="0"/>
    <n v="0"/>
    <n v="0"/>
    <n v="0"/>
    <n v="0"/>
    <n v="0"/>
    <n v="0"/>
    <n v="0"/>
    <n v="0"/>
    <n v="0"/>
    <n v="0"/>
    <s v="MMR012CMP021"/>
    <x v="3"/>
    <m/>
  </r>
  <r>
    <n v="64.466666666666669"/>
    <x v="6"/>
    <x v="219"/>
    <x v="2"/>
    <m/>
    <x v="0"/>
    <x v="6"/>
    <s v="Tha Dar"/>
    <m/>
    <m/>
    <m/>
    <m/>
    <m/>
    <m/>
    <m/>
    <m/>
    <n v="203"/>
    <m/>
    <m/>
    <m/>
    <m/>
    <m/>
    <m/>
    <m/>
    <m/>
    <m/>
    <m/>
    <m/>
    <n v="0"/>
    <n v="0"/>
    <n v="0"/>
    <n v="0"/>
    <n v="0"/>
    <n v="0"/>
    <n v="0"/>
    <n v="0"/>
    <n v="0"/>
    <n v="0"/>
    <n v="0"/>
    <n v="0"/>
    <n v="0"/>
    <n v="0"/>
    <n v="0"/>
    <s v="MMR012CMP002"/>
    <x v="3"/>
    <m/>
  </r>
  <r>
    <n v="64.466666666666669"/>
    <x v="6"/>
    <x v="219"/>
    <x v="2"/>
    <m/>
    <x v="0"/>
    <x v="0"/>
    <s v="Thae Chaung"/>
    <m/>
    <m/>
    <m/>
    <m/>
    <n v="2813"/>
    <m/>
    <m/>
    <m/>
    <m/>
    <m/>
    <m/>
    <m/>
    <m/>
    <m/>
    <m/>
    <m/>
    <m/>
    <m/>
    <m/>
    <m/>
    <n v="0"/>
    <n v="0"/>
    <n v="0"/>
    <n v="0"/>
    <n v="0"/>
    <n v="0"/>
    <n v="0"/>
    <n v="0"/>
    <n v="0"/>
    <n v="0"/>
    <n v="0"/>
    <n v="0"/>
    <n v="0"/>
    <n v="0"/>
    <n v="0"/>
    <s v="MMR012CMP046"/>
    <x v="0"/>
    <m/>
  </r>
  <r>
    <n v="64.466666666666669"/>
    <x v="6"/>
    <x v="219"/>
    <x v="2"/>
    <m/>
    <x v="0"/>
    <x v="0"/>
    <s v="Thet Kae Pyin "/>
    <m/>
    <m/>
    <m/>
    <m/>
    <n v="1900"/>
    <m/>
    <m/>
    <m/>
    <m/>
    <m/>
    <m/>
    <m/>
    <m/>
    <m/>
    <m/>
    <m/>
    <m/>
    <m/>
    <m/>
    <m/>
    <n v="0"/>
    <n v="0"/>
    <n v="0"/>
    <n v="0"/>
    <n v="0"/>
    <n v="0"/>
    <n v="0"/>
    <n v="0"/>
    <n v="0"/>
    <n v="0"/>
    <n v="0"/>
    <n v="0"/>
    <n v="0"/>
    <n v="0"/>
    <n v="0"/>
    <s v="MMR012CMP048"/>
    <x v="0"/>
    <m/>
  </r>
  <r>
    <n v="64.466666666666669"/>
    <x v="6"/>
    <x v="219"/>
    <x v="2"/>
    <m/>
    <x v="0"/>
    <x v="3"/>
    <s v="Yun Nyar"/>
    <m/>
    <m/>
    <m/>
    <m/>
    <m/>
    <n v="214"/>
    <m/>
    <n v="214"/>
    <n v="107"/>
    <n v="107"/>
    <m/>
    <m/>
    <m/>
    <m/>
    <m/>
    <m/>
    <m/>
    <m/>
    <m/>
    <m/>
    <n v="0"/>
    <n v="0"/>
    <n v="0"/>
    <n v="0"/>
    <n v="0"/>
    <n v="0"/>
    <n v="0"/>
    <n v="0"/>
    <n v="0"/>
    <n v="0"/>
    <n v="0"/>
    <n v="0"/>
    <n v="0"/>
    <n v="0"/>
    <n v="0"/>
    <s v="MMR012CMP028"/>
    <x v="3"/>
    <m/>
  </r>
  <r>
    <n v="64.5"/>
    <x v="6"/>
    <x v="220"/>
    <x v="24"/>
    <s v="UNHCR"/>
    <x v="0"/>
    <x v="0"/>
    <s v="Hmanzi Junction"/>
    <m/>
    <m/>
    <m/>
    <m/>
    <m/>
    <m/>
    <m/>
    <n v="50"/>
    <m/>
    <m/>
    <m/>
    <m/>
    <m/>
    <m/>
    <m/>
    <m/>
    <m/>
    <m/>
    <m/>
    <m/>
    <n v="0"/>
    <n v="0"/>
    <n v="0"/>
    <n v="0"/>
    <n v="0"/>
    <n v="0"/>
    <n v="0"/>
    <n v="0"/>
    <n v="0"/>
    <n v="0"/>
    <n v="0"/>
    <n v="0"/>
    <n v="0"/>
    <n v="0"/>
    <n v="0"/>
    <s v="MMR012CMP049"/>
    <x v="4"/>
    <m/>
  </r>
  <r>
    <n v="64.5"/>
    <x v="6"/>
    <x v="220"/>
    <x v="2"/>
    <m/>
    <x v="0"/>
    <x v="0"/>
    <s v="Ma Gyi Myaing"/>
    <m/>
    <m/>
    <m/>
    <m/>
    <n v="85"/>
    <m/>
    <m/>
    <m/>
    <m/>
    <m/>
    <m/>
    <m/>
    <m/>
    <m/>
    <m/>
    <m/>
    <m/>
    <m/>
    <m/>
    <m/>
    <n v="0"/>
    <n v="0"/>
    <n v="0"/>
    <n v="0"/>
    <n v="0"/>
    <n v="0"/>
    <n v="0"/>
    <n v="0"/>
    <n v="0"/>
    <n v="0"/>
    <n v="0"/>
    <n v="0"/>
    <n v="0"/>
    <n v="0"/>
    <n v="0"/>
    <s v="MMR012CMP053"/>
    <x v="4"/>
    <m/>
  </r>
  <r>
    <n v="64.5"/>
    <x v="6"/>
    <x v="220"/>
    <x v="2"/>
    <m/>
    <x v="0"/>
    <x v="0"/>
    <s v="Mingan"/>
    <m/>
    <m/>
    <m/>
    <m/>
    <n v="53"/>
    <m/>
    <m/>
    <m/>
    <m/>
    <m/>
    <m/>
    <m/>
    <m/>
    <m/>
    <m/>
    <m/>
    <m/>
    <m/>
    <m/>
    <m/>
    <n v="0"/>
    <n v="0"/>
    <n v="0"/>
    <n v="0"/>
    <n v="0"/>
    <n v="0"/>
    <n v="0"/>
    <n v="0"/>
    <n v="0"/>
    <n v="0"/>
    <n v="0"/>
    <n v="0"/>
    <n v="0"/>
    <n v="0"/>
    <n v="0"/>
    <s v="MMR012CMP093"/>
    <x v="2"/>
    <m/>
  </r>
  <r>
    <n v="64.5"/>
    <x v="6"/>
    <x v="220"/>
    <x v="2"/>
    <m/>
    <x v="0"/>
    <x v="0"/>
    <s v="Set Yone Su"/>
    <m/>
    <m/>
    <m/>
    <m/>
    <n v="195"/>
    <m/>
    <m/>
    <m/>
    <m/>
    <m/>
    <m/>
    <m/>
    <m/>
    <m/>
    <m/>
    <m/>
    <m/>
    <m/>
    <m/>
    <m/>
    <n v="0"/>
    <n v="0"/>
    <n v="0"/>
    <n v="0"/>
    <n v="0"/>
    <n v="0"/>
    <n v="0"/>
    <n v="0"/>
    <n v="0"/>
    <n v="0"/>
    <n v="0"/>
    <n v="0"/>
    <n v="0"/>
    <n v="0"/>
    <n v="0"/>
    <s v="MMR012CMP056"/>
    <x v="2"/>
    <m/>
  </r>
  <r>
    <n v="64.566666666666663"/>
    <x v="6"/>
    <x v="221"/>
    <x v="2"/>
    <m/>
    <x v="0"/>
    <x v="5"/>
    <s v="Ka Nyin Taw"/>
    <m/>
    <m/>
    <m/>
    <m/>
    <m/>
    <n v="170"/>
    <n v="85"/>
    <n v="170"/>
    <n v="85"/>
    <m/>
    <m/>
    <m/>
    <m/>
    <m/>
    <m/>
    <m/>
    <m/>
    <m/>
    <m/>
    <m/>
    <n v="0"/>
    <n v="0"/>
    <n v="0"/>
    <n v="0"/>
    <n v="0"/>
    <n v="0"/>
    <n v="0"/>
    <n v="0"/>
    <n v="0"/>
    <n v="0"/>
    <n v="0"/>
    <n v="0"/>
    <n v="0"/>
    <n v="0"/>
    <n v="0"/>
    <s v="MMR012CMP036"/>
    <x v="2"/>
    <m/>
  </r>
  <r>
    <n v="64.566666666666663"/>
    <x v="6"/>
    <x v="221"/>
    <x v="2"/>
    <m/>
    <x v="0"/>
    <x v="5"/>
    <s v="Kyauk Ta Lone"/>
    <m/>
    <m/>
    <m/>
    <m/>
    <m/>
    <n v="826"/>
    <n v="213"/>
    <n v="826"/>
    <n v="413"/>
    <m/>
    <m/>
    <m/>
    <m/>
    <m/>
    <m/>
    <m/>
    <m/>
    <m/>
    <m/>
    <m/>
    <n v="0"/>
    <n v="0"/>
    <n v="0"/>
    <n v="0"/>
    <n v="0"/>
    <n v="0"/>
    <n v="0"/>
    <n v="0"/>
    <n v="0"/>
    <n v="0"/>
    <n v="0"/>
    <n v="0"/>
    <n v="0"/>
    <n v="0"/>
    <n v="0"/>
    <s v="MMR012CMP035"/>
    <x v="0"/>
    <m/>
  </r>
  <r>
    <n v="64.733333333333334"/>
    <x v="6"/>
    <x v="222"/>
    <x v="24"/>
    <s v="UNHCR"/>
    <x v="0"/>
    <x v="0"/>
    <s v="Hmanzi Junction"/>
    <m/>
    <m/>
    <m/>
    <m/>
    <m/>
    <m/>
    <m/>
    <n v="50"/>
    <m/>
    <m/>
    <m/>
    <m/>
    <m/>
    <m/>
    <m/>
    <m/>
    <m/>
    <m/>
    <m/>
    <m/>
    <n v="0"/>
    <n v="0"/>
    <n v="0"/>
    <n v="0"/>
    <n v="0"/>
    <n v="0"/>
    <n v="0"/>
    <n v="0"/>
    <n v="0"/>
    <n v="0"/>
    <n v="0"/>
    <n v="0"/>
    <n v="0"/>
    <n v="0"/>
    <n v="0"/>
    <s v="MMR012CMP049"/>
    <x v="4"/>
    <m/>
  </r>
  <r>
    <n v="64.8"/>
    <x v="6"/>
    <x v="223"/>
    <x v="24"/>
    <s v="UNHCR"/>
    <x v="0"/>
    <x v="0"/>
    <s v="Thet Kae Pyin "/>
    <m/>
    <m/>
    <m/>
    <m/>
    <m/>
    <m/>
    <m/>
    <n v="92"/>
    <m/>
    <m/>
    <m/>
    <m/>
    <m/>
    <m/>
    <m/>
    <m/>
    <m/>
    <m/>
    <m/>
    <m/>
    <n v="0"/>
    <n v="0"/>
    <n v="0"/>
    <n v="0"/>
    <n v="0"/>
    <n v="0"/>
    <n v="0"/>
    <n v="0"/>
    <n v="0"/>
    <n v="0"/>
    <n v="0"/>
    <n v="0"/>
    <n v="0"/>
    <n v="0"/>
    <n v="0"/>
    <s v="MMR012CMP048"/>
    <x v="0"/>
    <m/>
  </r>
  <r>
    <n v="64.900000000000006"/>
    <x v="6"/>
    <x v="224"/>
    <x v="2"/>
    <m/>
    <x v="0"/>
    <x v="6"/>
    <s v="Aung Taing"/>
    <m/>
    <m/>
    <m/>
    <m/>
    <m/>
    <m/>
    <m/>
    <n v="172"/>
    <n v="46"/>
    <m/>
    <m/>
    <m/>
    <m/>
    <m/>
    <m/>
    <m/>
    <m/>
    <m/>
    <m/>
    <m/>
    <n v="0"/>
    <n v="0"/>
    <n v="0"/>
    <n v="0"/>
    <n v="0"/>
    <n v="0"/>
    <n v="0"/>
    <n v="0"/>
    <n v="0"/>
    <n v="0"/>
    <n v="0"/>
    <n v="0"/>
    <n v="0"/>
    <n v="0"/>
    <n v="0"/>
    <s v="MMR012CMP006"/>
    <x v="3"/>
    <m/>
  </r>
  <r>
    <n v="64.900000000000006"/>
    <x v="6"/>
    <x v="224"/>
    <x v="2"/>
    <m/>
    <x v="0"/>
    <x v="0"/>
    <s v="Bu May Ohn Taw"/>
    <m/>
    <m/>
    <m/>
    <m/>
    <m/>
    <m/>
    <n v="130"/>
    <m/>
    <m/>
    <m/>
    <m/>
    <m/>
    <m/>
    <m/>
    <m/>
    <m/>
    <m/>
    <m/>
    <m/>
    <m/>
    <n v="0"/>
    <n v="0"/>
    <n v="0"/>
    <n v="0"/>
    <n v="0"/>
    <n v="0"/>
    <n v="0"/>
    <n v="0"/>
    <n v="0"/>
    <n v="0"/>
    <n v="0"/>
    <n v="0"/>
    <n v="0"/>
    <n v="0"/>
    <n v="0"/>
    <s v="MMR012CMP051"/>
    <x v="4"/>
    <m/>
  </r>
  <r>
    <n v="64.900000000000006"/>
    <x v="6"/>
    <x v="224"/>
    <x v="2"/>
    <m/>
    <x v="0"/>
    <x v="0"/>
    <s v="Bu May Ohn Taw"/>
    <m/>
    <m/>
    <m/>
    <m/>
    <m/>
    <m/>
    <n v="314"/>
    <m/>
    <m/>
    <m/>
    <m/>
    <m/>
    <m/>
    <m/>
    <m/>
    <m/>
    <m/>
    <m/>
    <m/>
    <m/>
    <n v="0"/>
    <n v="0"/>
    <n v="0"/>
    <n v="0"/>
    <n v="0"/>
    <n v="0"/>
    <n v="0"/>
    <n v="0"/>
    <n v="0"/>
    <n v="0"/>
    <n v="0"/>
    <n v="0"/>
    <n v="0"/>
    <n v="0"/>
    <n v="0"/>
    <s v="MMR012CMP051"/>
    <x v="4"/>
    <m/>
  </r>
  <r>
    <n v="64.900000000000006"/>
    <x v="6"/>
    <x v="224"/>
    <x v="2"/>
    <m/>
    <x v="0"/>
    <x v="4"/>
    <s v="Kan Thar Htwat Wa"/>
    <m/>
    <m/>
    <m/>
    <m/>
    <m/>
    <n v="88"/>
    <n v="44"/>
    <n v="88"/>
    <n v="44"/>
    <n v="44"/>
    <m/>
    <m/>
    <m/>
    <m/>
    <m/>
    <m/>
    <m/>
    <m/>
    <m/>
    <m/>
    <n v="0"/>
    <n v="0"/>
    <n v="0"/>
    <n v="0"/>
    <n v="0"/>
    <n v="0"/>
    <n v="0"/>
    <n v="0"/>
    <n v="0"/>
    <n v="0"/>
    <n v="0"/>
    <n v="0"/>
    <n v="0"/>
    <n v="0"/>
    <n v="0"/>
    <s v="MMR012CMP013"/>
    <x v="2"/>
    <m/>
  </r>
  <r>
    <n v="64.900000000000006"/>
    <x v="6"/>
    <x v="224"/>
    <x v="2"/>
    <m/>
    <x v="0"/>
    <x v="0"/>
    <s v="Pa Lin Pyin Ywar Thit"/>
    <m/>
    <m/>
    <m/>
    <m/>
    <m/>
    <m/>
    <n v="822"/>
    <m/>
    <m/>
    <m/>
    <m/>
    <m/>
    <m/>
    <m/>
    <m/>
    <m/>
    <m/>
    <m/>
    <m/>
    <m/>
    <n v="0"/>
    <n v="0"/>
    <n v="0"/>
    <n v="0"/>
    <n v="0"/>
    <n v="0"/>
    <n v="0"/>
    <n v="0"/>
    <n v="0"/>
    <n v="0"/>
    <n v="0"/>
    <n v="0"/>
    <n v="0"/>
    <n v="0"/>
    <n v="0"/>
    <s v="MMR012CMP050"/>
    <x v="4"/>
    <m/>
  </r>
  <r>
    <n v="64.900000000000006"/>
    <x v="6"/>
    <x v="224"/>
    <x v="2"/>
    <m/>
    <x v="0"/>
    <x v="4"/>
    <s v="Taung Paw "/>
    <m/>
    <m/>
    <m/>
    <m/>
    <m/>
    <m/>
    <m/>
    <m/>
    <m/>
    <n v="705"/>
    <m/>
    <m/>
    <m/>
    <m/>
    <m/>
    <m/>
    <m/>
    <m/>
    <m/>
    <m/>
    <n v="0"/>
    <n v="0"/>
    <n v="0"/>
    <n v="0"/>
    <n v="0"/>
    <n v="0"/>
    <n v="0"/>
    <n v="0"/>
    <n v="0"/>
    <n v="0"/>
    <n v="0"/>
    <n v="0"/>
    <n v="0"/>
    <n v="0"/>
    <n v="0"/>
    <s v="MMR012CMP014"/>
    <x v="0"/>
    <m/>
  </r>
  <r>
    <n v="64.900000000000006"/>
    <x v="6"/>
    <x v="224"/>
    <x v="24"/>
    <s v="UNHCR"/>
    <x v="0"/>
    <x v="0"/>
    <s v="Thet Kae Pyin "/>
    <m/>
    <m/>
    <m/>
    <m/>
    <m/>
    <m/>
    <m/>
    <n v="100"/>
    <m/>
    <m/>
    <m/>
    <m/>
    <m/>
    <m/>
    <m/>
    <m/>
    <m/>
    <m/>
    <m/>
    <m/>
    <n v="0"/>
    <n v="0"/>
    <n v="0"/>
    <n v="0"/>
    <n v="0"/>
    <n v="0"/>
    <n v="0"/>
    <n v="0"/>
    <n v="0"/>
    <n v="0"/>
    <n v="0"/>
    <n v="0"/>
    <n v="0"/>
    <n v="0"/>
    <n v="0"/>
    <s v="MMR012CMP048"/>
    <x v="0"/>
    <m/>
  </r>
  <r>
    <n v="65.2"/>
    <x v="6"/>
    <x v="225"/>
    <x v="2"/>
    <m/>
    <x v="0"/>
    <x v="6"/>
    <s v="Nagara Pauktaw"/>
    <m/>
    <m/>
    <m/>
    <m/>
    <m/>
    <m/>
    <n v="129"/>
    <m/>
    <m/>
    <m/>
    <m/>
    <m/>
    <m/>
    <m/>
    <m/>
    <m/>
    <m/>
    <m/>
    <m/>
    <m/>
    <n v="0"/>
    <n v="0"/>
    <n v="0"/>
    <n v="0"/>
    <n v="0"/>
    <n v="0"/>
    <n v="0"/>
    <n v="0"/>
    <n v="0"/>
    <n v="0"/>
    <n v="0"/>
    <n v="0"/>
    <n v="0"/>
    <n v="0"/>
    <n v="0"/>
    <s v="MMR012CMP004"/>
    <x v="4"/>
    <m/>
  </r>
  <r>
    <n v="65.2"/>
    <x v="6"/>
    <x v="225"/>
    <x v="2"/>
    <m/>
    <x v="0"/>
    <x v="7"/>
    <s v="Pa Rein"/>
    <m/>
    <m/>
    <m/>
    <m/>
    <m/>
    <m/>
    <n v="140"/>
    <m/>
    <m/>
    <m/>
    <m/>
    <m/>
    <m/>
    <m/>
    <m/>
    <m/>
    <m/>
    <m/>
    <m/>
    <m/>
    <n v="0"/>
    <n v="0"/>
    <n v="0"/>
    <n v="0"/>
    <n v="0"/>
    <n v="0"/>
    <n v="0"/>
    <n v="0"/>
    <n v="0"/>
    <n v="0"/>
    <n v="0"/>
    <n v="0"/>
    <n v="0"/>
    <n v="0"/>
    <n v="0"/>
    <s v="MMR012CMP009"/>
    <x v="3"/>
    <m/>
  </r>
  <r>
    <n v="65.2"/>
    <x v="6"/>
    <x v="225"/>
    <x v="2"/>
    <m/>
    <x v="0"/>
    <x v="6"/>
    <s v="Sam Ba Le"/>
    <m/>
    <m/>
    <m/>
    <m/>
    <m/>
    <n v="27"/>
    <n v="2"/>
    <m/>
    <m/>
    <m/>
    <m/>
    <m/>
    <m/>
    <m/>
    <m/>
    <m/>
    <m/>
    <m/>
    <m/>
    <m/>
    <n v="0"/>
    <n v="0"/>
    <n v="0"/>
    <n v="0"/>
    <n v="0"/>
    <n v="0"/>
    <n v="0"/>
    <n v="0"/>
    <n v="0"/>
    <n v="0"/>
    <n v="0"/>
    <n v="0"/>
    <n v="0"/>
    <n v="0"/>
    <n v="0"/>
    <s v="MMR012CMP008"/>
    <x v="3"/>
    <m/>
  </r>
  <r>
    <n v="65.2"/>
    <x v="6"/>
    <x v="225"/>
    <x v="2"/>
    <m/>
    <x v="0"/>
    <x v="6"/>
    <s v="San Htoe Tan"/>
    <m/>
    <m/>
    <m/>
    <m/>
    <m/>
    <n v="172"/>
    <n v="10"/>
    <n v="172"/>
    <m/>
    <m/>
    <m/>
    <m/>
    <m/>
    <m/>
    <m/>
    <m/>
    <m/>
    <m/>
    <m/>
    <m/>
    <n v="0"/>
    <n v="0"/>
    <n v="0"/>
    <n v="0"/>
    <n v="0"/>
    <n v="0"/>
    <n v="0"/>
    <n v="0"/>
    <n v="0"/>
    <n v="0"/>
    <n v="0"/>
    <n v="0"/>
    <n v="0"/>
    <n v="0"/>
    <n v="0"/>
    <s v="MMR012CMP003"/>
    <x v="3"/>
    <m/>
  </r>
  <r>
    <n v="65.2"/>
    <x v="6"/>
    <x v="225"/>
    <x v="2"/>
    <m/>
    <x v="0"/>
    <x v="6"/>
    <s v="Tha Dar"/>
    <m/>
    <m/>
    <m/>
    <m/>
    <m/>
    <m/>
    <n v="145"/>
    <m/>
    <m/>
    <m/>
    <m/>
    <m/>
    <m/>
    <m/>
    <m/>
    <m/>
    <m/>
    <m/>
    <m/>
    <m/>
    <n v="0"/>
    <n v="0"/>
    <n v="0"/>
    <n v="0"/>
    <n v="0"/>
    <n v="0"/>
    <n v="0"/>
    <n v="0"/>
    <n v="0"/>
    <n v="0"/>
    <n v="0"/>
    <n v="0"/>
    <n v="0"/>
    <n v="0"/>
    <n v="0"/>
    <s v="MMR012CMP002"/>
    <x v="3"/>
    <m/>
  </r>
  <r>
    <n v="65.2"/>
    <x v="6"/>
    <x v="225"/>
    <x v="2"/>
    <m/>
    <x v="0"/>
    <x v="7"/>
    <s v="Yai Thei-Muslim"/>
    <m/>
    <m/>
    <m/>
    <m/>
    <m/>
    <m/>
    <n v="83"/>
    <m/>
    <m/>
    <m/>
    <m/>
    <m/>
    <m/>
    <m/>
    <m/>
    <m/>
    <m/>
    <m/>
    <m/>
    <m/>
    <n v="0"/>
    <n v="0"/>
    <n v="0"/>
    <n v="0"/>
    <n v="0"/>
    <n v="0"/>
    <n v="0"/>
    <n v="0"/>
    <n v="0"/>
    <n v="0"/>
    <n v="0"/>
    <n v="0"/>
    <n v="0"/>
    <n v="0"/>
    <n v="0"/>
    <s v="MMR012CMP010"/>
    <x v="3"/>
    <m/>
  </r>
  <r>
    <n v="65.266666666666666"/>
    <x v="6"/>
    <x v="226"/>
    <x v="2"/>
    <m/>
    <x v="0"/>
    <x v="1"/>
    <s v="Ah Nauk Ywe"/>
    <m/>
    <m/>
    <m/>
    <m/>
    <m/>
    <m/>
    <n v="458"/>
    <n v="148"/>
    <m/>
    <m/>
    <m/>
    <m/>
    <m/>
    <m/>
    <m/>
    <m/>
    <m/>
    <m/>
    <m/>
    <m/>
    <n v="0"/>
    <n v="0"/>
    <n v="0"/>
    <n v="0"/>
    <n v="0"/>
    <n v="0"/>
    <n v="0"/>
    <n v="0"/>
    <n v="0"/>
    <n v="0"/>
    <n v="0"/>
    <n v="0"/>
    <n v="0"/>
    <n v="0"/>
    <n v="0"/>
    <s v="MMR012CMP016"/>
    <x v="0"/>
    <m/>
  </r>
  <r>
    <n v="65.266666666666666"/>
    <x v="6"/>
    <x v="226"/>
    <x v="2"/>
    <m/>
    <x v="0"/>
    <x v="1"/>
    <s v="Kyein Ni Pyin"/>
    <m/>
    <m/>
    <m/>
    <m/>
    <m/>
    <n v="769"/>
    <n v="369"/>
    <n v="1538"/>
    <n v="769"/>
    <m/>
    <m/>
    <m/>
    <m/>
    <m/>
    <m/>
    <m/>
    <m/>
    <m/>
    <m/>
    <m/>
    <n v="0"/>
    <n v="0"/>
    <n v="0"/>
    <n v="0"/>
    <n v="0"/>
    <n v="0"/>
    <n v="0"/>
    <n v="0"/>
    <n v="0"/>
    <n v="0"/>
    <n v="0"/>
    <n v="0"/>
    <n v="0"/>
    <n v="0"/>
    <n v="0"/>
    <s v="MMR012CMP018"/>
    <x v="0"/>
    <m/>
  </r>
  <r>
    <n v="65.266666666666666"/>
    <x v="6"/>
    <x v="226"/>
    <x v="2"/>
    <m/>
    <x v="0"/>
    <x v="1"/>
    <s v="Nget Chaung"/>
    <m/>
    <m/>
    <m/>
    <m/>
    <m/>
    <n v="1306"/>
    <n v="506"/>
    <n v="1306"/>
    <n v="1306"/>
    <m/>
    <m/>
    <m/>
    <m/>
    <m/>
    <m/>
    <m/>
    <m/>
    <m/>
    <m/>
    <m/>
    <n v="0"/>
    <n v="0"/>
    <n v="0"/>
    <n v="0"/>
    <n v="0"/>
    <n v="0"/>
    <n v="0"/>
    <n v="0"/>
    <n v="0"/>
    <n v="0"/>
    <n v="0"/>
    <n v="0"/>
    <n v="0"/>
    <n v="0"/>
    <n v="0"/>
    <s v=""/>
    <x v="1"/>
    <m/>
  </r>
  <r>
    <n v="65.266666666666666"/>
    <x v="6"/>
    <x v="226"/>
    <x v="2"/>
    <m/>
    <x v="0"/>
    <x v="9"/>
    <s v="Ramree Town"/>
    <m/>
    <m/>
    <m/>
    <m/>
    <m/>
    <n v="26"/>
    <n v="13"/>
    <n v="26"/>
    <n v="13"/>
    <m/>
    <m/>
    <m/>
    <m/>
    <m/>
    <m/>
    <m/>
    <m/>
    <m/>
    <m/>
    <m/>
    <n v="0"/>
    <n v="0"/>
    <n v="0"/>
    <n v="0"/>
    <n v="0"/>
    <n v="0"/>
    <n v="0"/>
    <n v="0"/>
    <n v="0"/>
    <n v="0"/>
    <n v="0"/>
    <n v="0"/>
    <n v="0"/>
    <n v="0"/>
    <n v="0"/>
    <s v="MMR012CMP038"/>
    <x v="4"/>
    <m/>
  </r>
  <r>
    <n v="65.266666666666666"/>
    <x v="6"/>
    <x v="226"/>
    <x v="2"/>
    <m/>
    <x v="0"/>
    <x v="9"/>
    <s v="Ramree Ward 6"/>
    <m/>
    <m/>
    <m/>
    <m/>
    <m/>
    <n v="194"/>
    <n v="97"/>
    <n v="194"/>
    <n v="97"/>
    <m/>
    <m/>
    <m/>
    <m/>
    <m/>
    <m/>
    <m/>
    <m/>
    <m/>
    <m/>
    <m/>
    <n v="0"/>
    <n v="0"/>
    <n v="0"/>
    <n v="0"/>
    <n v="0"/>
    <n v="0"/>
    <n v="0"/>
    <n v="0"/>
    <n v="0"/>
    <n v="0"/>
    <n v="0"/>
    <n v="0"/>
    <n v="0"/>
    <n v="0"/>
    <n v="0"/>
    <s v="MMR012CMP037"/>
    <x v="4"/>
    <m/>
  </r>
  <r>
    <n v="65.266666666666666"/>
    <x v="6"/>
    <x v="226"/>
    <x v="2"/>
    <m/>
    <x v="0"/>
    <x v="1"/>
    <s v="Sin Tet Maw"/>
    <m/>
    <m/>
    <m/>
    <m/>
    <m/>
    <m/>
    <n v="362"/>
    <m/>
    <m/>
    <m/>
    <m/>
    <m/>
    <m/>
    <m/>
    <m/>
    <m/>
    <m/>
    <m/>
    <m/>
    <m/>
    <n v="0"/>
    <n v="0"/>
    <n v="0"/>
    <n v="0"/>
    <n v="0"/>
    <n v="0"/>
    <n v="0"/>
    <n v="0"/>
    <n v="0"/>
    <n v="0"/>
    <n v="0"/>
    <n v="0"/>
    <n v="0"/>
    <n v="0"/>
    <n v="0"/>
    <s v="MMR012CMP019"/>
    <x v="0"/>
    <m/>
  </r>
  <r>
    <n v="65.8"/>
    <x v="6"/>
    <x v="227"/>
    <x v="2"/>
    <m/>
    <x v="0"/>
    <x v="1"/>
    <s v="Sin Tet Maw"/>
    <m/>
    <m/>
    <m/>
    <m/>
    <m/>
    <n v="862"/>
    <n v="500"/>
    <n v="862"/>
    <n v="862"/>
    <m/>
    <m/>
    <m/>
    <m/>
    <m/>
    <m/>
    <m/>
    <m/>
    <m/>
    <m/>
    <m/>
    <n v="0"/>
    <n v="0"/>
    <n v="0"/>
    <n v="0"/>
    <n v="0"/>
    <n v="0"/>
    <n v="0"/>
    <n v="0"/>
    <n v="0"/>
    <n v="0"/>
    <n v="0"/>
    <n v="0"/>
    <n v="0"/>
    <n v="0"/>
    <n v="0"/>
    <s v="MMR012CMP019"/>
    <x v="0"/>
    <m/>
  </r>
  <r>
    <n v="65.833333333333329"/>
    <x v="6"/>
    <x v="228"/>
    <x v="2"/>
    <m/>
    <x v="0"/>
    <x v="3"/>
    <s v="Ah Lel Kyun"/>
    <m/>
    <m/>
    <m/>
    <m/>
    <m/>
    <m/>
    <n v="85"/>
    <m/>
    <m/>
    <m/>
    <m/>
    <m/>
    <m/>
    <m/>
    <m/>
    <m/>
    <m/>
    <m/>
    <m/>
    <m/>
    <n v="0"/>
    <n v="0"/>
    <n v="0"/>
    <n v="0"/>
    <n v="0"/>
    <n v="0"/>
    <n v="0"/>
    <n v="0"/>
    <n v="0"/>
    <n v="0"/>
    <n v="0"/>
    <n v="0"/>
    <n v="0"/>
    <n v="0"/>
    <n v="0"/>
    <s v="MMR012CMP025"/>
    <x v="3"/>
    <m/>
  </r>
  <r>
    <n v="65.86666666666666"/>
    <x v="6"/>
    <x v="229"/>
    <x v="2"/>
    <m/>
    <x v="0"/>
    <x v="4"/>
    <s v="Taung Paw "/>
    <m/>
    <m/>
    <m/>
    <m/>
    <m/>
    <m/>
    <n v="146"/>
    <m/>
    <n v="146"/>
    <m/>
    <m/>
    <m/>
    <m/>
    <m/>
    <m/>
    <m/>
    <m/>
    <m/>
    <m/>
    <m/>
    <n v="0"/>
    <n v="0"/>
    <n v="0"/>
    <n v="0"/>
    <n v="0"/>
    <n v="0"/>
    <n v="0"/>
    <n v="0"/>
    <n v="0"/>
    <n v="0"/>
    <n v="0"/>
    <n v="0"/>
    <n v="0"/>
    <n v="0"/>
    <n v="0"/>
    <s v="MMR012CMP014"/>
    <x v="0"/>
    <m/>
  </r>
  <r>
    <n v="65.900000000000006"/>
    <x v="6"/>
    <x v="230"/>
    <x v="2"/>
    <m/>
    <x v="0"/>
    <x v="6"/>
    <s v="Aung Taing"/>
    <m/>
    <m/>
    <m/>
    <m/>
    <m/>
    <m/>
    <n v="40"/>
    <m/>
    <m/>
    <m/>
    <m/>
    <m/>
    <m/>
    <m/>
    <m/>
    <m/>
    <m/>
    <m/>
    <m/>
    <m/>
    <n v="0"/>
    <n v="0"/>
    <n v="0"/>
    <n v="0"/>
    <n v="0"/>
    <n v="0"/>
    <n v="0"/>
    <n v="0"/>
    <n v="0"/>
    <n v="0"/>
    <n v="0"/>
    <n v="0"/>
    <n v="0"/>
    <n v="0"/>
    <n v="0"/>
    <s v="MMR012CMP006"/>
    <x v="3"/>
    <m/>
  </r>
  <r>
    <n v="65.900000000000006"/>
    <x v="6"/>
    <x v="230"/>
    <x v="2"/>
    <m/>
    <x v="0"/>
    <x v="6"/>
    <s v="Nagara Pauktaw"/>
    <m/>
    <m/>
    <m/>
    <m/>
    <m/>
    <m/>
    <n v="100"/>
    <m/>
    <m/>
    <m/>
    <m/>
    <m/>
    <m/>
    <m/>
    <m/>
    <m/>
    <m/>
    <m/>
    <m/>
    <m/>
    <n v="0"/>
    <n v="0"/>
    <n v="0"/>
    <n v="0"/>
    <n v="0"/>
    <n v="0"/>
    <n v="0"/>
    <n v="0"/>
    <n v="0"/>
    <n v="0"/>
    <n v="0"/>
    <n v="0"/>
    <n v="0"/>
    <n v="0"/>
    <n v="0"/>
    <s v="MMR012CMP004"/>
    <x v="4"/>
    <m/>
  </r>
  <r>
    <n v="65.900000000000006"/>
    <x v="6"/>
    <x v="230"/>
    <x v="2"/>
    <m/>
    <x v="0"/>
    <x v="7"/>
    <s v="Pa Rein"/>
    <m/>
    <m/>
    <m/>
    <m/>
    <m/>
    <m/>
    <n v="100"/>
    <m/>
    <m/>
    <m/>
    <m/>
    <m/>
    <m/>
    <m/>
    <m/>
    <m/>
    <m/>
    <m/>
    <m/>
    <m/>
    <n v="0"/>
    <n v="0"/>
    <n v="0"/>
    <n v="0"/>
    <n v="0"/>
    <n v="0"/>
    <n v="0"/>
    <n v="0"/>
    <n v="0"/>
    <n v="0"/>
    <n v="0"/>
    <n v="0"/>
    <n v="0"/>
    <n v="0"/>
    <n v="0"/>
    <s v="MMR012CMP009"/>
    <x v="3"/>
    <m/>
  </r>
  <r>
    <n v="66.7"/>
    <x v="6"/>
    <x v="231"/>
    <x v="2"/>
    <m/>
    <x v="0"/>
    <x v="3"/>
    <s v="Ah Pauk Wa "/>
    <m/>
    <m/>
    <m/>
    <m/>
    <m/>
    <m/>
    <n v="90"/>
    <m/>
    <m/>
    <m/>
    <m/>
    <m/>
    <m/>
    <m/>
    <m/>
    <m/>
    <m/>
    <m/>
    <m/>
    <m/>
    <n v="0"/>
    <n v="0"/>
    <n v="0"/>
    <n v="0"/>
    <n v="0"/>
    <n v="0"/>
    <n v="0"/>
    <n v="0"/>
    <n v="0"/>
    <n v="0"/>
    <n v="0"/>
    <n v="0"/>
    <n v="0"/>
    <n v="0"/>
    <n v="0"/>
    <s v="MMR012CMP024"/>
    <x v="3"/>
    <m/>
  </r>
  <r>
    <n v="66.7"/>
    <x v="6"/>
    <x v="231"/>
    <x v="2"/>
    <m/>
    <x v="0"/>
    <x v="3"/>
    <s v="San Gar Taung"/>
    <m/>
    <m/>
    <m/>
    <m/>
    <m/>
    <m/>
    <n v="97"/>
    <m/>
    <m/>
    <m/>
    <m/>
    <m/>
    <m/>
    <m/>
    <m/>
    <m/>
    <m/>
    <m/>
    <m/>
    <m/>
    <n v="0"/>
    <n v="0"/>
    <n v="0"/>
    <n v="0"/>
    <n v="0"/>
    <n v="0"/>
    <n v="0"/>
    <n v="0"/>
    <n v="0"/>
    <n v="0"/>
    <n v="0"/>
    <n v="0"/>
    <n v="0"/>
    <n v="0"/>
    <n v="0"/>
    <s v=""/>
    <x v="1"/>
    <m/>
  </r>
  <r>
    <n v="66.733333333333334"/>
    <x v="6"/>
    <x v="232"/>
    <x v="2"/>
    <m/>
    <x v="0"/>
    <x v="0"/>
    <s v="Thet Kay Pyin School"/>
    <m/>
    <m/>
    <m/>
    <m/>
    <m/>
    <m/>
    <n v="100"/>
    <m/>
    <m/>
    <m/>
    <m/>
    <m/>
    <m/>
    <m/>
    <m/>
    <m/>
    <m/>
    <m/>
    <m/>
    <m/>
    <n v="0"/>
    <n v="0"/>
    <n v="0"/>
    <n v="0"/>
    <n v="0"/>
    <n v="0"/>
    <n v="0"/>
    <n v="0"/>
    <n v="0"/>
    <n v="0"/>
    <n v="0"/>
    <n v="0"/>
    <n v="0"/>
    <n v="0"/>
    <n v="0"/>
    <s v=""/>
    <x v="1"/>
    <m/>
  </r>
  <r>
    <n v="67.7"/>
    <x v="6"/>
    <x v="233"/>
    <x v="2"/>
    <m/>
    <x v="0"/>
    <x v="0"/>
    <s v="Baw Du Pha"/>
    <m/>
    <m/>
    <m/>
    <m/>
    <m/>
    <m/>
    <n v="55"/>
    <m/>
    <m/>
    <m/>
    <m/>
    <m/>
    <m/>
    <m/>
    <m/>
    <m/>
    <m/>
    <m/>
    <m/>
    <m/>
    <n v="0"/>
    <n v="0"/>
    <n v="0"/>
    <n v="0"/>
    <n v="0"/>
    <n v="0"/>
    <n v="0"/>
    <n v="0"/>
    <n v="0"/>
    <n v="0"/>
    <n v="0"/>
    <n v="0"/>
    <n v="0"/>
    <n v="0"/>
    <n v="0"/>
    <s v="MMR012CMP040"/>
    <x v="4"/>
    <m/>
  </r>
  <r>
    <n v="67.766666666666666"/>
    <x v="6"/>
    <x v="234"/>
    <x v="2"/>
    <m/>
    <x v="0"/>
    <x v="0"/>
    <s v="Baw Du Pha"/>
    <m/>
    <m/>
    <m/>
    <m/>
    <m/>
    <m/>
    <m/>
    <n v="65"/>
    <m/>
    <m/>
    <m/>
    <m/>
    <m/>
    <m/>
    <m/>
    <m/>
    <m/>
    <m/>
    <m/>
    <m/>
    <n v="0"/>
    <n v="0"/>
    <n v="0"/>
    <n v="0"/>
    <n v="0"/>
    <n v="0"/>
    <n v="0"/>
    <n v="0"/>
    <n v="0"/>
    <n v="0"/>
    <n v="0"/>
    <n v="0"/>
    <n v="0"/>
    <n v="0"/>
    <n v="0"/>
    <s v="MMR012CMP040"/>
    <x v="4"/>
    <m/>
  </r>
  <r>
    <n v="67.900000000000006"/>
    <x v="6"/>
    <x v="235"/>
    <x v="24"/>
    <s v="UNHCR"/>
    <x v="0"/>
    <x v="0"/>
    <s v="Ohn Taw Gyi 1"/>
    <m/>
    <m/>
    <m/>
    <m/>
    <m/>
    <m/>
    <m/>
    <n v="60"/>
    <m/>
    <m/>
    <m/>
    <m/>
    <m/>
    <m/>
    <m/>
    <m/>
    <m/>
    <m/>
    <m/>
    <m/>
    <n v="0"/>
    <n v="0"/>
    <n v="0"/>
    <n v="0"/>
    <n v="0"/>
    <n v="0"/>
    <n v="0"/>
    <n v="0"/>
    <n v="0"/>
    <n v="0"/>
    <n v="0"/>
    <n v="0"/>
    <n v="0"/>
    <n v="0"/>
    <n v="0"/>
    <s v="MMR012CMP043"/>
    <x v="4"/>
    <m/>
  </r>
  <r>
    <n v="68.13333333333334"/>
    <x v="6"/>
    <x v="236"/>
    <x v="2"/>
    <m/>
    <x v="0"/>
    <x v="3"/>
    <s v="Goke Pi Htaunt"/>
    <m/>
    <m/>
    <m/>
    <m/>
    <m/>
    <m/>
    <n v="114"/>
    <m/>
    <m/>
    <m/>
    <m/>
    <m/>
    <m/>
    <m/>
    <m/>
    <m/>
    <m/>
    <m/>
    <m/>
    <m/>
    <n v="0"/>
    <n v="0"/>
    <n v="0"/>
    <n v="0"/>
    <n v="0"/>
    <n v="0"/>
    <n v="0"/>
    <n v="0"/>
    <n v="0"/>
    <n v="0"/>
    <n v="0"/>
    <n v="0"/>
    <n v="0"/>
    <n v="0"/>
    <n v="0"/>
    <s v="MMR012CMP027"/>
    <x v="3"/>
    <m/>
  </r>
  <r>
    <n v="68.13333333333334"/>
    <x v="6"/>
    <x v="236"/>
    <x v="2"/>
    <m/>
    <x v="0"/>
    <x v="3"/>
    <s v="In Bar Yi"/>
    <m/>
    <m/>
    <m/>
    <m/>
    <m/>
    <m/>
    <n v="230"/>
    <m/>
    <m/>
    <n v="230"/>
    <m/>
    <m/>
    <m/>
    <m/>
    <m/>
    <m/>
    <m/>
    <m/>
    <m/>
    <m/>
    <n v="0"/>
    <n v="0"/>
    <n v="0"/>
    <n v="0"/>
    <n v="0"/>
    <n v="0"/>
    <n v="0"/>
    <n v="0"/>
    <n v="0"/>
    <n v="0"/>
    <n v="0"/>
    <n v="0"/>
    <n v="0"/>
    <n v="0"/>
    <n v="0"/>
    <s v="MMR012CMP026"/>
    <x v="3"/>
    <m/>
  </r>
  <r>
    <n v="68.13333333333334"/>
    <x v="6"/>
    <x v="236"/>
    <x v="2"/>
    <m/>
    <x v="0"/>
    <x v="3"/>
    <s v="Shwe Hlaing"/>
    <m/>
    <m/>
    <m/>
    <m/>
    <m/>
    <m/>
    <n v="144"/>
    <n v="290"/>
    <n v="40"/>
    <m/>
    <m/>
    <m/>
    <m/>
    <m/>
    <m/>
    <m/>
    <m/>
    <m/>
    <m/>
    <m/>
    <n v="0"/>
    <n v="0"/>
    <n v="0"/>
    <n v="0"/>
    <n v="0"/>
    <n v="0"/>
    <n v="0"/>
    <n v="0"/>
    <n v="0"/>
    <n v="0"/>
    <n v="0"/>
    <n v="0"/>
    <n v="0"/>
    <n v="0"/>
    <n v="0"/>
    <s v="MMR012CMP029"/>
    <x v="3"/>
    <m/>
  </r>
  <r>
    <n v="68.13333333333334"/>
    <x v="6"/>
    <x v="236"/>
    <x v="2"/>
    <m/>
    <x v="0"/>
    <x v="3"/>
    <s v="Yun Nyar"/>
    <m/>
    <m/>
    <m/>
    <m/>
    <m/>
    <m/>
    <n v="107"/>
    <m/>
    <m/>
    <m/>
    <m/>
    <m/>
    <m/>
    <m/>
    <m/>
    <m/>
    <m/>
    <m/>
    <m/>
    <m/>
    <n v="0"/>
    <n v="0"/>
    <n v="0"/>
    <n v="0"/>
    <n v="0"/>
    <n v="0"/>
    <n v="0"/>
    <n v="0"/>
    <n v="0"/>
    <n v="0"/>
    <n v="0"/>
    <n v="0"/>
    <n v="0"/>
    <n v="0"/>
    <n v="0"/>
    <s v="MMR012CMP028"/>
    <x v="3"/>
    <m/>
  </r>
  <r>
    <n v="68.2"/>
    <x v="6"/>
    <x v="237"/>
    <x v="2"/>
    <m/>
    <x v="0"/>
    <x v="0"/>
    <s v="Dar Pai"/>
    <m/>
    <m/>
    <m/>
    <m/>
    <m/>
    <m/>
    <n v="805"/>
    <m/>
    <m/>
    <m/>
    <m/>
    <m/>
    <m/>
    <m/>
    <m/>
    <m/>
    <m/>
    <m/>
    <m/>
    <m/>
    <n v="0"/>
    <n v="0"/>
    <n v="0"/>
    <n v="0"/>
    <n v="0"/>
    <n v="0"/>
    <n v="0"/>
    <n v="0"/>
    <n v="0"/>
    <n v="0"/>
    <n v="0"/>
    <n v="0"/>
    <n v="0"/>
    <n v="0"/>
    <n v="0"/>
    <s v="MMR012CMP041"/>
    <x v="0"/>
    <m/>
  </r>
  <r>
    <n v="68.8"/>
    <x v="6"/>
    <x v="238"/>
    <x v="2"/>
    <m/>
    <x v="0"/>
    <x v="0"/>
    <s v="Thet Kae Pyin "/>
    <m/>
    <m/>
    <m/>
    <m/>
    <m/>
    <m/>
    <n v="98"/>
    <m/>
    <m/>
    <m/>
    <m/>
    <m/>
    <m/>
    <m/>
    <m/>
    <m/>
    <m/>
    <m/>
    <m/>
    <m/>
    <n v="0"/>
    <n v="0"/>
    <n v="0"/>
    <n v="0"/>
    <n v="0"/>
    <n v="0"/>
    <n v="0"/>
    <n v="0"/>
    <n v="0"/>
    <n v="0"/>
    <n v="0"/>
    <n v="0"/>
    <n v="0"/>
    <n v="0"/>
    <n v="0"/>
    <s v="MMR012CMP048"/>
    <x v="0"/>
    <m/>
  </r>
  <r>
    <n v="69"/>
    <x v="6"/>
    <x v="239"/>
    <x v="2"/>
    <m/>
    <x v="0"/>
    <x v="0"/>
    <s v="Say Tha Mar Gyi"/>
    <m/>
    <m/>
    <m/>
    <m/>
    <m/>
    <m/>
    <n v="461"/>
    <m/>
    <m/>
    <m/>
    <m/>
    <m/>
    <m/>
    <m/>
    <m/>
    <m/>
    <m/>
    <m/>
    <m/>
    <m/>
    <n v="0"/>
    <n v="0"/>
    <n v="0"/>
    <n v="0"/>
    <n v="0"/>
    <n v="0"/>
    <n v="0"/>
    <n v="0"/>
    <n v="0"/>
    <n v="0"/>
    <n v="0"/>
    <n v="0"/>
    <n v="0"/>
    <n v="0"/>
    <n v="0"/>
    <s v="MMR012CMP045"/>
    <x v="0"/>
    <m/>
  </r>
  <r>
    <n v="69"/>
    <x v="6"/>
    <x v="239"/>
    <x v="2"/>
    <m/>
    <x v="0"/>
    <x v="0"/>
    <s v="Thet Kae Pyin "/>
    <m/>
    <m/>
    <m/>
    <m/>
    <m/>
    <m/>
    <n v="11"/>
    <m/>
    <m/>
    <m/>
    <m/>
    <m/>
    <m/>
    <m/>
    <m/>
    <m/>
    <m/>
    <m/>
    <m/>
    <m/>
    <n v="0"/>
    <n v="0"/>
    <n v="0"/>
    <n v="0"/>
    <n v="0"/>
    <n v="0"/>
    <n v="0"/>
    <n v="0"/>
    <n v="0"/>
    <n v="0"/>
    <n v="0"/>
    <n v="0"/>
    <n v="0"/>
    <n v="0"/>
    <n v="0"/>
    <s v="MMR012CMP048"/>
    <x v="0"/>
    <m/>
  </r>
  <r>
    <n v="69.033333333333331"/>
    <x v="6"/>
    <x v="240"/>
    <x v="2"/>
    <m/>
    <x v="0"/>
    <x v="0"/>
    <s v="Khaung Doke Khar "/>
    <m/>
    <m/>
    <m/>
    <m/>
    <m/>
    <m/>
    <n v="22"/>
    <m/>
    <m/>
    <m/>
    <m/>
    <m/>
    <m/>
    <m/>
    <m/>
    <m/>
    <m/>
    <m/>
    <m/>
    <m/>
    <n v="0"/>
    <n v="0"/>
    <n v="0"/>
    <n v="0"/>
    <n v="0"/>
    <n v="0"/>
    <n v="0"/>
    <n v="0"/>
    <n v="0"/>
    <n v="0"/>
    <n v="0"/>
    <n v="0"/>
    <n v="0"/>
    <n v="0"/>
    <n v="0"/>
    <s v="MMR012CMP042"/>
    <x v="0"/>
    <m/>
  </r>
  <r>
    <n v="69.033333333333331"/>
    <x v="6"/>
    <x v="240"/>
    <x v="2"/>
    <m/>
    <x v="0"/>
    <x v="0"/>
    <s v="Say Tha Mar Gyi"/>
    <m/>
    <m/>
    <m/>
    <m/>
    <m/>
    <m/>
    <n v="456"/>
    <m/>
    <m/>
    <m/>
    <m/>
    <m/>
    <m/>
    <m/>
    <m/>
    <m/>
    <m/>
    <m/>
    <m/>
    <m/>
    <n v="0"/>
    <n v="0"/>
    <n v="0"/>
    <n v="0"/>
    <n v="0"/>
    <n v="0"/>
    <n v="0"/>
    <n v="0"/>
    <n v="0"/>
    <n v="0"/>
    <n v="0"/>
    <n v="0"/>
    <n v="0"/>
    <n v="0"/>
    <n v="0"/>
    <s v="MMR012CMP045"/>
    <x v="0"/>
    <m/>
  </r>
  <r>
    <n v="69.3"/>
    <x v="6"/>
    <x v="241"/>
    <x v="2"/>
    <m/>
    <x v="0"/>
    <x v="0"/>
    <s v="Say Tha Mar Gyi"/>
    <m/>
    <m/>
    <m/>
    <m/>
    <m/>
    <m/>
    <n v="117"/>
    <m/>
    <m/>
    <m/>
    <m/>
    <m/>
    <m/>
    <m/>
    <m/>
    <m/>
    <m/>
    <m/>
    <m/>
    <m/>
    <n v="0"/>
    <n v="0"/>
    <n v="0"/>
    <n v="0"/>
    <n v="0"/>
    <n v="0"/>
    <n v="0"/>
    <n v="0"/>
    <n v="0"/>
    <n v="0"/>
    <n v="0"/>
    <n v="0"/>
    <n v="0"/>
    <n v="0"/>
    <n v="0"/>
    <s v="MMR012CMP045"/>
    <x v="0"/>
    <m/>
  </r>
  <r>
    <n v="69.333333333333329"/>
    <x v="6"/>
    <x v="242"/>
    <x v="2"/>
    <m/>
    <x v="0"/>
    <x v="0"/>
    <s v="Basare"/>
    <m/>
    <m/>
    <m/>
    <m/>
    <m/>
    <m/>
    <n v="383"/>
    <m/>
    <m/>
    <m/>
    <m/>
    <m/>
    <m/>
    <m/>
    <m/>
    <m/>
    <m/>
    <m/>
    <m/>
    <m/>
    <n v="0"/>
    <n v="0"/>
    <n v="0"/>
    <n v="0"/>
    <n v="0"/>
    <n v="0"/>
    <n v="0"/>
    <n v="0"/>
    <n v="0"/>
    <n v="0"/>
    <n v="0"/>
    <n v="0"/>
    <n v="0"/>
    <n v="0"/>
    <n v="0"/>
    <s v="MMR012CMP039"/>
    <x v="0"/>
    <m/>
  </r>
  <r>
    <n v="69.36666666666666"/>
    <x v="6"/>
    <x v="243"/>
    <x v="2"/>
    <m/>
    <x v="0"/>
    <x v="0"/>
    <s v="Thet Kae Pyin "/>
    <m/>
    <m/>
    <m/>
    <m/>
    <m/>
    <m/>
    <n v="572"/>
    <m/>
    <m/>
    <m/>
    <m/>
    <m/>
    <m/>
    <m/>
    <m/>
    <m/>
    <m/>
    <m/>
    <m/>
    <m/>
    <n v="0"/>
    <n v="0"/>
    <n v="0"/>
    <n v="0"/>
    <n v="0"/>
    <n v="0"/>
    <n v="0"/>
    <n v="0"/>
    <n v="0"/>
    <n v="0"/>
    <n v="0"/>
    <n v="0"/>
    <n v="0"/>
    <n v="0"/>
    <n v="0"/>
    <s v="MMR012CMP048"/>
    <x v="0"/>
    <m/>
  </r>
  <r>
    <n v="69.400000000000006"/>
    <x v="6"/>
    <x v="244"/>
    <x v="2"/>
    <m/>
    <x v="0"/>
    <x v="0"/>
    <s v="Baw Du Pha"/>
    <m/>
    <m/>
    <m/>
    <m/>
    <m/>
    <m/>
    <n v="248"/>
    <m/>
    <m/>
    <m/>
    <m/>
    <m/>
    <m/>
    <m/>
    <m/>
    <m/>
    <m/>
    <m/>
    <m/>
    <m/>
    <n v="0"/>
    <n v="0"/>
    <n v="0"/>
    <n v="0"/>
    <n v="0"/>
    <n v="0"/>
    <n v="0"/>
    <n v="0"/>
    <n v="0"/>
    <n v="0"/>
    <n v="0"/>
    <n v="0"/>
    <n v="0"/>
    <n v="0"/>
    <n v="0"/>
    <s v="MMR012CMP040"/>
    <x v="4"/>
    <m/>
  </r>
  <r>
    <n v="69.400000000000006"/>
    <x v="6"/>
    <x v="244"/>
    <x v="2"/>
    <m/>
    <x v="0"/>
    <x v="0"/>
    <s v="Khaung Doke Khar "/>
    <m/>
    <m/>
    <m/>
    <m/>
    <m/>
    <m/>
    <n v="121"/>
    <m/>
    <m/>
    <m/>
    <m/>
    <m/>
    <m/>
    <m/>
    <m/>
    <m/>
    <m/>
    <m/>
    <m/>
    <m/>
    <n v="0"/>
    <n v="0"/>
    <n v="0"/>
    <n v="0"/>
    <n v="0"/>
    <n v="0"/>
    <n v="0"/>
    <n v="0"/>
    <n v="0"/>
    <n v="0"/>
    <n v="0"/>
    <n v="0"/>
    <n v="0"/>
    <n v="0"/>
    <n v="0"/>
    <s v="MMR012CMP042"/>
    <x v="0"/>
    <m/>
  </r>
  <r>
    <n v="69.433333333333337"/>
    <x v="6"/>
    <x v="245"/>
    <x v="2"/>
    <m/>
    <x v="0"/>
    <x v="0"/>
    <s v="Baw Du Pha"/>
    <m/>
    <m/>
    <m/>
    <m/>
    <m/>
    <m/>
    <n v="630"/>
    <m/>
    <m/>
    <m/>
    <m/>
    <m/>
    <m/>
    <m/>
    <m/>
    <m/>
    <m/>
    <m/>
    <m/>
    <m/>
    <n v="0"/>
    <n v="0"/>
    <n v="0"/>
    <n v="0"/>
    <n v="0"/>
    <n v="0"/>
    <n v="0"/>
    <n v="0"/>
    <n v="0"/>
    <n v="0"/>
    <n v="0"/>
    <n v="0"/>
    <n v="0"/>
    <n v="0"/>
    <n v="0"/>
    <s v="MMR012CMP040"/>
    <x v="4"/>
    <m/>
  </r>
  <r>
    <n v="69.466666666666669"/>
    <x v="6"/>
    <x v="246"/>
    <x v="2"/>
    <m/>
    <x v="0"/>
    <x v="0"/>
    <s v="Baw Du Pha"/>
    <m/>
    <m/>
    <m/>
    <m/>
    <m/>
    <m/>
    <n v="120"/>
    <m/>
    <m/>
    <m/>
    <m/>
    <m/>
    <m/>
    <m/>
    <m/>
    <m/>
    <m/>
    <m/>
    <m/>
    <m/>
    <n v="0"/>
    <n v="0"/>
    <n v="0"/>
    <n v="0"/>
    <n v="0"/>
    <n v="0"/>
    <n v="0"/>
    <n v="0"/>
    <n v="0"/>
    <n v="0"/>
    <n v="0"/>
    <n v="0"/>
    <n v="0"/>
    <n v="0"/>
    <n v="0"/>
    <s v="MMR012CMP040"/>
    <x v="4"/>
    <m/>
  </r>
  <r>
    <n v="69.5"/>
    <x v="6"/>
    <x v="247"/>
    <x v="2"/>
    <m/>
    <x v="0"/>
    <x v="0"/>
    <s v="Baw Du Pha"/>
    <m/>
    <m/>
    <m/>
    <m/>
    <m/>
    <m/>
    <n v="150"/>
    <m/>
    <m/>
    <m/>
    <m/>
    <m/>
    <m/>
    <m/>
    <m/>
    <m/>
    <m/>
    <m/>
    <m/>
    <m/>
    <n v="0"/>
    <n v="0"/>
    <n v="0"/>
    <n v="0"/>
    <n v="0"/>
    <n v="0"/>
    <n v="0"/>
    <n v="0"/>
    <n v="0"/>
    <n v="0"/>
    <n v="0"/>
    <n v="0"/>
    <n v="0"/>
    <n v="0"/>
    <n v="0"/>
    <s v="MMR012CMP040"/>
    <x v="4"/>
    <m/>
  </r>
  <r>
    <n v="69.5"/>
    <x v="6"/>
    <x v="247"/>
    <x v="2"/>
    <m/>
    <x v="0"/>
    <x v="0"/>
    <s v="Thet Kae Pyin "/>
    <m/>
    <m/>
    <m/>
    <m/>
    <m/>
    <m/>
    <n v="200"/>
    <m/>
    <m/>
    <m/>
    <m/>
    <m/>
    <m/>
    <m/>
    <m/>
    <m/>
    <m/>
    <m/>
    <m/>
    <m/>
    <n v="0"/>
    <n v="0"/>
    <n v="0"/>
    <n v="0"/>
    <n v="0"/>
    <n v="0"/>
    <n v="0"/>
    <n v="0"/>
    <n v="0"/>
    <n v="0"/>
    <n v="0"/>
    <n v="0"/>
    <n v="0"/>
    <n v="0"/>
    <n v="0"/>
    <s v="MMR012CMP048"/>
    <x v="0"/>
    <m/>
  </r>
  <r>
    <n v="69.599999999999994"/>
    <x v="6"/>
    <x v="248"/>
    <x v="2"/>
    <m/>
    <x v="0"/>
    <x v="0"/>
    <s v="Khaymarmandine"/>
    <m/>
    <m/>
    <m/>
    <m/>
    <m/>
    <m/>
    <n v="4"/>
    <m/>
    <m/>
    <m/>
    <m/>
    <m/>
    <m/>
    <m/>
    <m/>
    <m/>
    <m/>
    <m/>
    <m/>
    <m/>
    <n v="0"/>
    <n v="0"/>
    <n v="0"/>
    <n v="0"/>
    <n v="0"/>
    <n v="0"/>
    <n v="0"/>
    <n v="0"/>
    <n v="0"/>
    <n v="0"/>
    <n v="0"/>
    <n v="0"/>
    <n v="0"/>
    <n v="0"/>
    <n v="0"/>
    <s v=""/>
    <x v="1"/>
    <m/>
  </r>
  <r>
    <n v="69.63333333333334"/>
    <x v="6"/>
    <x v="249"/>
    <x v="2"/>
    <m/>
    <x v="0"/>
    <x v="0"/>
    <s v="MinnGanHighSchool"/>
    <m/>
    <m/>
    <m/>
    <m/>
    <m/>
    <m/>
    <n v="492"/>
    <m/>
    <m/>
    <m/>
    <m/>
    <m/>
    <m/>
    <m/>
    <m/>
    <m/>
    <m/>
    <m/>
    <m/>
    <m/>
    <n v="0"/>
    <n v="0"/>
    <n v="0"/>
    <n v="0"/>
    <n v="0"/>
    <n v="0"/>
    <n v="0"/>
    <n v="0"/>
    <n v="0"/>
    <n v="0"/>
    <n v="0"/>
    <n v="0"/>
    <n v="0"/>
    <n v="0"/>
    <n v="0"/>
    <s v=""/>
    <x v="1"/>
    <m/>
  </r>
  <r>
    <n v="69.666666666666671"/>
    <x v="6"/>
    <x v="250"/>
    <x v="2"/>
    <m/>
    <x v="0"/>
    <x v="0"/>
    <s v="DamaYeikThar"/>
    <m/>
    <m/>
    <m/>
    <m/>
    <m/>
    <m/>
    <n v="32"/>
    <m/>
    <m/>
    <m/>
    <m/>
    <m/>
    <m/>
    <m/>
    <m/>
    <m/>
    <m/>
    <m/>
    <m/>
    <m/>
    <n v="0"/>
    <n v="0"/>
    <n v="0"/>
    <n v="0"/>
    <n v="0"/>
    <n v="0"/>
    <n v="0"/>
    <n v="0"/>
    <n v="0"/>
    <n v="0"/>
    <n v="0"/>
    <n v="0"/>
    <n v="0"/>
    <n v="0"/>
    <n v="0"/>
    <s v=""/>
    <x v="1"/>
    <m/>
  </r>
  <r>
    <n v="69.666666666666671"/>
    <x v="6"/>
    <x v="250"/>
    <x v="2"/>
    <m/>
    <x v="0"/>
    <x v="0"/>
    <s v="MyaTheinTan"/>
    <m/>
    <m/>
    <m/>
    <m/>
    <m/>
    <m/>
    <n v="5"/>
    <m/>
    <m/>
    <m/>
    <m/>
    <m/>
    <m/>
    <m/>
    <m/>
    <m/>
    <m/>
    <m/>
    <m/>
    <m/>
    <n v="0"/>
    <n v="0"/>
    <n v="0"/>
    <n v="0"/>
    <n v="0"/>
    <n v="0"/>
    <n v="0"/>
    <n v="0"/>
    <n v="0"/>
    <n v="0"/>
    <n v="0"/>
    <n v="0"/>
    <n v="0"/>
    <n v="0"/>
    <n v="0"/>
    <s v=""/>
    <x v="1"/>
    <m/>
  </r>
  <r>
    <n v="69.666666666666671"/>
    <x v="6"/>
    <x v="250"/>
    <x v="2"/>
    <m/>
    <x v="0"/>
    <x v="0"/>
    <s v="OhnTaPin"/>
    <m/>
    <m/>
    <m/>
    <m/>
    <m/>
    <m/>
    <n v="16"/>
    <m/>
    <m/>
    <m/>
    <m/>
    <m/>
    <m/>
    <m/>
    <m/>
    <m/>
    <m/>
    <m/>
    <m/>
    <m/>
    <n v="0"/>
    <n v="0"/>
    <n v="0"/>
    <n v="0"/>
    <n v="0"/>
    <n v="0"/>
    <n v="0"/>
    <n v="0"/>
    <n v="0"/>
    <n v="0"/>
    <n v="0"/>
    <n v="0"/>
    <n v="0"/>
    <n v="0"/>
    <n v="0"/>
    <s v=""/>
    <x v="1"/>
    <m/>
  </r>
  <r>
    <n v="69.666666666666671"/>
    <x v="6"/>
    <x v="250"/>
    <x v="2"/>
    <m/>
    <x v="0"/>
    <x v="0"/>
    <s v="Tayzindayama"/>
    <m/>
    <m/>
    <m/>
    <m/>
    <m/>
    <m/>
    <n v="11"/>
    <m/>
    <m/>
    <m/>
    <m/>
    <m/>
    <m/>
    <m/>
    <m/>
    <m/>
    <m/>
    <m/>
    <m/>
    <m/>
    <n v="0"/>
    <n v="0"/>
    <n v="0"/>
    <n v="0"/>
    <n v="0"/>
    <n v="0"/>
    <n v="0"/>
    <n v="0"/>
    <n v="0"/>
    <n v="0"/>
    <n v="0"/>
    <n v="0"/>
    <n v="0"/>
    <n v="0"/>
    <n v="0"/>
    <s v=""/>
    <x v="1"/>
    <m/>
  </r>
  <r>
    <n v="69.666666666666671"/>
    <x v="6"/>
    <x v="250"/>
    <x v="2"/>
    <m/>
    <x v="0"/>
    <x v="0"/>
    <s v="Weikzar Thaikdi Monastery"/>
    <m/>
    <m/>
    <m/>
    <m/>
    <m/>
    <m/>
    <n v="20"/>
    <m/>
    <m/>
    <m/>
    <m/>
    <m/>
    <m/>
    <m/>
    <m/>
    <m/>
    <m/>
    <m/>
    <m/>
    <m/>
    <n v="0"/>
    <n v="0"/>
    <n v="0"/>
    <n v="0"/>
    <n v="0"/>
    <n v="0"/>
    <n v="0"/>
    <n v="0"/>
    <n v="0"/>
    <n v="0"/>
    <n v="0"/>
    <n v="0"/>
    <n v="0"/>
    <n v="0"/>
    <n v="0"/>
    <s v="MMR012CMP075"/>
    <x v="4"/>
    <m/>
  </r>
  <r>
    <n v="69.666666666666671"/>
    <x v="6"/>
    <x v="250"/>
    <x v="2"/>
    <m/>
    <x v="0"/>
    <x v="0"/>
    <s v="YadaNarMinDaing"/>
    <m/>
    <m/>
    <m/>
    <m/>
    <m/>
    <m/>
    <n v="2"/>
    <m/>
    <m/>
    <m/>
    <m/>
    <m/>
    <m/>
    <m/>
    <m/>
    <m/>
    <m/>
    <m/>
    <m/>
    <m/>
    <n v="0"/>
    <n v="0"/>
    <n v="0"/>
    <n v="0"/>
    <n v="0"/>
    <n v="0"/>
    <n v="0"/>
    <n v="0"/>
    <n v="0"/>
    <n v="0"/>
    <n v="0"/>
    <n v="0"/>
    <n v="0"/>
    <n v="0"/>
    <n v="0"/>
    <s v=""/>
    <x v="1"/>
    <m/>
  </r>
  <r>
    <n v="69.7"/>
    <x v="6"/>
    <x v="251"/>
    <x v="2"/>
    <m/>
    <x v="0"/>
    <x v="0"/>
    <s v="Bamgalar A Wa Kune"/>
    <m/>
    <m/>
    <m/>
    <m/>
    <m/>
    <m/>
    <n v="5"/>
    <m/>
    <m/>
    <m/>
    <m/>
    <m/>
    <m/>
    <m/>
    <m/>
    <m/>
    <m/>
    <m/>
    <m/>
    <m/>
    <n v="0"/>
    <n v="0"/>
    <n v="0"/>
    <n v="0"/>
    <n v="0"/>
    <n v="0"/>
    <n v="0"/>
    <n v="0"/>
    <n v="0"/>
    <n v="0"/>
    <n v="0"/>
    <n v="0"/>
    <n v="0"/>
    <n v="0"/>
    <n v="0"/>
    <s v=""/>
    <x v="1"/>
    <m/>
  </r>
  <r>
    <n v="69.7"/>
    <x v="6"/>
    <x v="251"/>
    <x v="2"/>
    <m/>
    <x v="0"/>
    <x v="0"/>
    <s v="Dama Yar Ma"/>
    <m/>
    <m/>
    <m/>
    <m/>
    <m/>
    <m/>
    <n v="10"/>
    <m/>
    <m/>
    <m/>
    <m/>
    <m/>
    <m/>
    <m/>
    <m/>
    <m/>
    <m/>
    <m/>
    <m/>
    <m/>
    <n v="0"/>
    <n v="0"/>
    <n v="0"/>
    <n v="0"/>
    <n v="0"/>
    <n v="0"/>
    <n v="0"/>
    <n v="0"/>
    <n v="0"/>
    <n v="0"/>
    <n v="0"/>
    <n v="0"/>
    <n v="0"/>
    <n v="0"/>
    <n v="0"/>
    <s v=""/>
    <x v="1"/>
    <m/>
  </r>
  <r>
    <n v="69.7"/>
    <x v="6"/>
    <x v="251"/>
    <x v="2"/>
    <m/>
    <x v="0"/>
    <x v="0"/>
    <s v="Ka Yu Chaung"/>
    <m/>
    <m/>
    <m/>
    <m/>
    <m/>
    <m/>
    <n v="26"/>
    <m/>
    <m/>
    <m/>
    <m/>
    <m/>
    <m/>
    <m/>
    <m/>
    <m/>
    <m/>
    <m/>
    <m/>
    <m/>
    <n v="0"/>
    <n v="0"/>
    <n v="0"/>
    <n v="0"/>
    <n v="0"/>
    <n v="0"/>
    <n v="0"/>
    <n v="0"/>
    <n v="0"/>
    <n v="0"/>
    <n v="0"/>
    <n v="0"/>
    <n v="0"/>
    <n v="0"/>
    <n v="0"/>
    <s v=""/>
    <x v="1"/>
    <m/>
  </r>
  <r>
    <n v="69.7"/>
    <x v="6"/>
    <x v="251"/>
    <x v="2"/>
    <m/>
    <x v="0"/>
    <x v="0"/>
    <s v="Kha Maung Taw"/>
    <m/>
    <m/>
    <m/>
    <m/>
    <m/>
    <m/>
    <n v="12"/>
    <m/>
    <m/>
    <m/>
    <m/>
    <m/>
    <m/>
    <m/>
    <m/>
    <m/>
    <m/>
    <m/>
    <m/>
    <m/>
    <n v="0"/>
    <n v="0"/>
    <n v="0"/>
    <n v="0"/>
    <n v="0"/>
    <n v="0"/>
    <n v="0"/>
    <n v="0"/>
    <n v="0"/>
    <n v="0"/>
    <n v="0"/>
    <n v="0"/>
    <n v="0"/>
    <n v="0"/>
    <n v="0"/>
    <s v=""/>
    <x v="1"/>
    <m/>
  </r>
  <r>
    <n v="69.7"/>
    <x v="6"/>
    <x v="251"/>
    <x v="2"/>
    <m/>
    <x v="0"/>
    <x v="0"/>
    <s v="KyaungGyiLan"/>
    <m/>
    <m/>
    <m/>
    <m/>
    <m/>
    <m/>
    <n v="23"/>
    <m/>
    <m/>
    <m/>
    <m/>
    <m/>
    <m/>
    <m/>
    <m/>
    <m/>
    <m/>
    <m/>
    <m/>
    <m/>
    <n v="0"/>
    <n v="0"/>
    <n v="0"/>
    <n v="0"/>
    <n v="0"/>
    <n v="0"/>
    <n v="0"/>
    <n v="0"/>
    <n v="0"/>
    <n v="0"/>
    <n v="0"/>
    <n v="0"/>
    <n v="0"/>
    <n v="0"/>
    <n v="0"/>
    <s v=""/>
    <x v="1"/>
    <m/>
  </r>
  <r>
    <n v="69.7"/>
    <x v="6"/>
    <x v="251"/>
    <x v="2"/>
    <m/>
    <x v="0"/>
    <x v="0"/>
    <s v="MaYarMaGyi-old"/>
    <m/>
    <m/>
    <m/>
    <m/>
    <m/>
    <m/>
    <n v="36"/>
    <m/>
    <m/>
    <m/>
    <m/>
    <m/>
    <m/>
    <m/>
    <m/>
    <m/>
    <m/>
    <m/>
    <m/>
    <m/>
    <n v="0"/>
    <n v="0"/>
    <n v="0"/>
    <n v="0"/>
    <n v="0"/>
    <n v="0"/>
    <n v="0"/>
    <n v="0"/>
    <n v="0"/>
    <n v="0"/>
    <n v="0"/>
    <n v="0"/>
    <n v="0"/>
    <n v="0"/>
    <n v="0"/>
    <s v=""/>
    <x v="1"/>
    <m/>
  </r>
  <r>
    <n v="69.7"/>
    <x v="6"/>
    <x v="251"/>
    <x v="2"/>
    <m/>
    <x v="0"/>
    <x v="0"/>
    <s v="PyinNyarLinkarya"/>
    <m/>
    <m/>
    <m/>
    <m/>
    <m/>
    <m/>
    <n v="33"/>
    <m/>
    <m/>
    <m/>
    <m/>
    <m/>
    <m/>
    <m/>
    <m/>
    <m/>
    <m/>
    <m/>
    <m/>
    <m/>
    <n v="0"/>
    <n v="0"/>
    <n v="0"/>
    <n v="0"/>
    <n v="0"/>
    <n v="0"/>
    <n v="0"/>
    <n v="0"/>
    <n v="0"/>
    <n v="0"/>
    <n v="0"/>
    <n v="0"/>
    <n v="0"/>
    <n v="0"/>
    <n v="0"/>
    <s v=""/>
    <x v="1"/>
    <m/>
  </r>
  <r>
    <n v="69.7"/>
    <x v="6"/>
    <x v="251"/>
    <x v="2"/>
    <m/>
    <x v="0"/>
    <x v="0"/>
    <s v="Shwe Pyar"/>
    <m/>
    <m/>
    <m/>
    <m/>
    <m/>
    <m/>
    <n v="3"/>
    <m/>
    <m/>
    <m/>
    <m/>
    <m/>
    <m/>
    <m/>
    <m/>
    <m/>
    <m/>
    <m/>
    <m/>
    <m/>
    <n v="0"/>
    <n v="0"/>
    <n v="0"/>
    <n v="0"/>
    <n v="0"/>
    <n v="0"/>
    <n v="0"/>
    <n v="0"/>
    <n v="0"/>
    <n v="0"/>
    <n v="0"/>
    <n v="0"/>
    <n v="0"/>
    <n v="0"/>
    <n v="0"/>
    <s v=""/>
    <x v="1"/>
    <m/>
  </r>
  <r>
    <n v="69.7"/>
    <x v="6"/>
    <x v="251"/>
    <x v="2"/>
    <m/>
    <x v="0"/>
    <x v="0"/>
    <s v="Theit Di Kar Yone Monastery"/>
    <m/>
    <m/>
    <m/>
    <m/>
    <m/>
    <m/>
    <n v="27"/>
    <m/>
    <m/>
    <m/>
    <m/>
    <m/>
    <m/>
    <m/>
    <m/>
    <m/>
    <m/>
    <m/>
    <m/>
    <m/>
    <n v="0"/>
    <n v="0"/>
    <n v="0"/>
    <n v="0"/>
    <n v="0"/>
    <n v="0"/>
    <n v="0"/>
    <n v="0"/>
    <n v="0"/>
    <n v="0"/>
    <n v="0"/>
    <n v="0"/>
    <n v="0"/>
    <n v="0"/>
    <n v="0"/>
    <s v="MMR012CMP067"/>
    <x v="4"/>
    <m/>
  </r>
  <r>
    <n v="69.7"/>
    <x v="6"/>
    <x v="251"/>
    <x v="2"/>
    <m/>
    <x v="0"/>
    <x v="0"/>
    <s v="Uwa Ya Ma"/>
    <m/>
    <m/>
    <m/>
    <m/>
    <m/>
    <m/>
    <n v="19"/>
    <m/>
    <m/>
    <m/>
    <m/>
    <m/>
    <m/>
    <m/>
    <m/>
    <m/>
    <m/>
    <m/>
    <m/>
    <m/>
    <n v="0"/>
    <n v="0"/>
    <n v="0"/>
    <n v="0"/>
    <n v="0"/>
    <n v="0"/>
    <n v="0"/>
    <n v="0"/>
    <n v="0"/>
    <n v="0"/>
    <n v="0"/>
    <n v="0"/>
    <n v="0"/>
    <n v="0"/>
    <n v="0"/>
    <s v=""/>
    <x v="1"/>
    <m/>
  </r>
  <r>
    <n v="69.766666666666666"/>
    <x v="6"/>
    <x v="252"/>
    <x v="2"/>
    <m/>
    <x v="0"/>
    <x v="0"/>
    <s v="Kyar Yoke"/>
    <m/>
    <m/>
    <m/>
    <m/>
    <m/>
    <m/>
    <n v="33"/>
    <m/>
    <m/>
    <m/>
    <m/>
    <m/>
    <m/>
    <m/>
    <m/>
    <m/>
    <m/>
    <m/>
    <m/>
    <m/>
    <n v="0"/>
    <n v="0"/>
    <n v="0"/>
    <n v="0"/>
    <n v="0"/>
    <n v="0"/>
    <n v="0"/>
    <n v="0"/>
    <n v="0"/>
    <n v="0"/>
    <n v="0"/>
    <n v="0"/>
    <n v="0"/>
    <n v="0"/>
    <n v="0"/>
    <s v=""/>
    <x v="1"/>
    <m/>
  </r>
  <r>
    <n v="69.766666666666666"/>
    <x v="6"/>
    <x v="252"/>
    <x v="2"/>
    <m/>
    <x v="0"/>
    <x v="0"/>
    <s v="Layaungwin Monastery"/>
    <m/>
    <m/>
    <m/>
    <m/>
    <m/>
    <m/>
    <n v="9"/>
    <m/>
    <m/>
    <m/>
    <m/>
    <m/>
    <m/>
    <m/>
    <m/>
    <m/>
    <m/>
    <m/>
    <m/>
    <m/>
    <n v="0"/>
    <n v="0"/>
    <n v="0"/>
    <n v="0"/>
    <n v="0"/>
    <n v="0"/>
    <n v="0"/>
    <n v="0"/>
    <n v="0"/>
    <n v="0"/>
    <n v="0"/>
    <n v="0"/>
    <n v="0"/>
    <n v="0"/>
    <n v="0"/>
    <s v="MMR012CMP062"/>
    <x v="4"/>
    <m/>
  </r>
  <r>
    <n v="69.766666666666666"/>
    <x v="6"/>
    <x v="252"/>
    <x v="2"/>
    <m/>
    <x v="0"/>
    <x v="0"/>
    <s v="Shwe Zay Ti Monastery"/>
    <m/>
    <m/>
    <m/>
    <m/>
    <m/>
    <m/>
    <n v="201"/>
    <m/>
    <m/>
    <m/>
    <m/>
    <m/>
    <m/>
    <m/>
    <m/>
    <m/>
    <m/>
    <m/>
    <m/>
    <m/>
    <n v="0"/>
    <n v="0"/>
    <n v="0"/>
    <n v="0"/>
    <n v="0"/>
    <n v="0"/>
    <n v="0"/>
    <n v="0"/>
    <n v="0"/>
    <n v="0"/>
    <n v="0"/>
    <n v="0"/>
    <n v="0"/>
    <n v="0"/>
    <n v="0"/>
    <s v="MMR012CMP065"/>
    <x v="4"/>
    <m/>
  </r>
  <r>
    <n v="69.766666666666666"/>
    <x v="6"/>
    <x v="252"/>
    <x v="2"/>
    <m/>
    <x v="0"/>
    <x v="0"/>
    <s v="Ya Tayar Monastery"/>
    <m/>
    <m/>
    <m/>
    <m/>
    <m/>
    <m/>
    <n v="52"/>
    <m/>
    <m/>
    <m/>
    <m/>
    <m/>
    <m/>
    <m/>
    <m/>
    <m/>
    <m/>
    <m/>
    <m/>
    <m/>
    <n v="0"/>
    <n v="0"/>
    <n v="0"/>
    <n v="0"/>
    <n v="0"/>
    <n v="0"/>
    <n v="0"/>
    <n v="0"/>
    <n v="0"/>
    <n v="0"/>
    <n v="0"/>
    <n v="0"/>
    <n v="0"/>
    <n v="0"/>
    <n v="0"/>
    <s v="MMR012CMP074"/>
    <x v="4"/>
    <m/>
  </r>
  <r>
    <n v="69.833333333333329"/>
    <x v="6"/>
    <x v="253"/>
    <x v="2"/>
    <m/>
    <x v="0"/>
    <x v="0"/>
    <s v="Ar Thaw Ka Yone Monastery"/>
    <m/>
    <m/>
    <m/>
    <m/>
    <m/>
    <m/>
    <n v="43"/>
    <m/>
    <m/>
    <m/>
    <m/>
    <m/>
    <m/>
    <m/>
    <m/>
    <m/>
    <m/>
    <m/>
    <m/>
    <m/>
    <n v="0"/>
    <n v="0"/>
    <n v="0"/>
    <n v="0"/>
    <n v="0"/>
    <n v="0"/>
    <n v="0"/>
    <n v="0"/>
    <n v="0"/>
    <n v="0"/>
    <n v="0"/>
    <n v="0"/>
    <n v="0"/>
    <n v="0"/>
    <n v="0"/>
    <s v="MMR012CMP069"/>
    <x v="4"/>
    <m/>
  </r>
  <r>
    <n v="69.833333333333329"/>
    <x v="6"/>
    <x v="253"/>
    <x v="2"/>
    <m/>
    <x v="0"/>
    <x v="0"/>
    <s v="Boke Daw Maw"/>
    <m/>
    <m/>
    <m/>
    <m/>
    <m/>
    <m/>
    <n v="171"/>
    <m/>
    <m/>
    <m/>
    <m/>
    <m/>
    <m/>
    <m/>
    <m/>
    <m/>
    <m/>
    <m/>
    <m/>
    <m/>
    <n v="0"/>
    <n v="0"/>
    <n v="0"/>
    <n v="0"/>
    <n v="0"/>
    <n v="0"/>
    <n v="0"/>
    <n v="0"/>
    <n v="0"/>
    <n v="0"/>
    <n v="0"/>
    <n v="0"/>
    <n v="0"/>
    <n v="0"/>
    <n v="0"/>
    <s v=""/>
    <x v="1"/>
    <m/>
  </r>
  <r>
    <n v="69.833333333333329"/>
    <x v="6"/>
    <x v="253"/>
    <x v="2"/>
    <m/>
    <x v="0"/>
    <x v="0"/>
    <s v="Dar Pai"/>
    <m/>
    <m/>
    <m/>
    <m/>
    <m/>
    <m/>
    <n v="18"/>
    <m/>
    <m/>
    <m/>
    <m/>
    <m/>
    <m/>
    <m/>
    <m/>
    <m/>
    <m/>
    <m/>
    <m/>
    <m/>
    <n v="0"/>
    <n v="0"/>
    <n v="0"/>
    <n v="0"/>
    <n v="0"/>
    <n v="0"/>
    <n v="0"/>
    <n v="0"/>
    <n v="0"/>
    <n v="0"/>
    <n v="0"/>
    <n v="0"/>
    <n v="0"/>
    <n v="0"/>
    <n v="0"/>
    <s v="MMR012CMP041"/>
    <x v="0"/>
    <m/>
  </r>
  <r>
    <n v="69.833333333333329"/>
    <x v="6"/>
    <x v="253"/>
    <x v="2"/>
    <m/>
    <x v="0"/>
    <x v="0"/>
    <s v="Gyit Bak Monastery"/>
    <m/>
    <m/>
    <m/>
    <m/>
    <m/>
    <m/>
    <n v="36"/>
    <m/>
    <m/>
    <m/>
    <m/>
    <m/>
    <m/>
    <m/>
    <m/>
    <m/>
    <m/>
    <m/>
    <m/>
    <m/>
    <n v="0"/>
    <n v="0"/>
    <n v="0"/>
    <n v="0"/>
    <n v="0"/>
    <n v="0"/>
    <n v="0"/>
    <n v="0"/>
    <n v="0"/>
    <n v="0"/>
    <n v="0"/>
    <n v="0"/>
    <n v="0"/>
    <n v="0"/>
    <n v="0"/>
    <s v="MMR012CMP073"/>
    <x v="4"/>
    <m/>
  </r>
  <r>
    <n v="69.833333333333329"/>
    <x v="6"/>
    <x v="253"/>
    <x v="2"/>
    <m/>
    <x v="0"/>
    <x v="0"/>
    <s v="Gyit Chay Monastery"/>
    <m/>
    <m/>
    <m/>
    <m/>
    <m/>
    <m/>
    <n v="69"/>
    <m/>
    <m/>
    <m/>
    <m/>
    <m/>
    <m/>
    <m/>
    <m/>
    <m/>
    <m/>
    <m/>
    <m/>
    <m/>
    <n v="0"/>
    <n v="0"/>
    <n v="0"/>
    <n v="0"/>
    <n v="0"/>
    <n v="0"/>
    <n v="0"/>
    <n v="0"/>
    <n v="0"/>
    <n v="0"/>
    <n v="0"/>
    <n v="0"/>
    <n v="0"/>
    <n v="0"/>
    <n v="0"/>
    <s v="MMR012CMP061"/>
    <x v="4"/>
    <m/>
  </r>
  <r>
    <n v="69.833333333333329"/>
    <x v="6"/>
    <x v="253"/>
    <x v="2"/>
    <m/>
    <x v="0"/>
    <x v="0"/>
    <s v="Khaung Doke Khar "/>
    <m/>
    <m/>
    <m/>
    <m/>
    <m/>
    <m/>
    <n v="132"/>
    <m/>
    <m/>
    <m/>
    <m/>
    <m/>
    <m/>
    <m/>
    <m/>
    <m/>
    <m/>
    <m/>
    <m/>
    <m/>
    <n v="0"/>
    <n v="0"/>
    <n v="0"/>
    <n v="0"/>
    <n v="0"/>
    <n v="0"/>
    <n v="0"/>
    <n v="0"/>
    <n v="0"/>
    <n v="0"/>
    <n v="0"/>
    <n v="0"/>
    <n v="0"/>
    <n v="0"/>
    <n v="0"/>
    <s v="MMR012CMP042"/>
    <x v="0"/>
    <m/>
  </r>
  <r>
    <n v="69.833333333333329"/>
    <x v="6"/>
    <x v="253"/>
    <x v="2"/>
    <m/>
    <x v="0"/>
    <x v="0"/>
    <s v="Su Taung Pyae Monastery"/>
    <m/>
    <m/>
    <m/>
    <m/>
    <m/>
    <m/>
    <n v="280"/>
    <m/>
    <m/>
    <m/>
    <m/>
    <m/>
    <m/>
    <m/>
    <m/>
    <m/>
    <m/>
    <m/>
    <m/>
    <m/>
    <n v="0"/>
    <n v="0"/>
    <n v="0"/>
    <n v="0"/>
    <n v="0"/>
    <n v="0"/>
    <n v="0"/>
    <n v="0"/>
    <n v="0"/>
    <n v="0"/>
    <n v="0"/>
    <n v="0"/>
    <n v="0"/>
    <n v="0"/>
    <n v="0"/>
    <s v="MMR012CMP066"/>
    <x v="4"/>
    <m/>
  </r>
  <r>
    <n v="70"/>
    <x v="6"/>
    <x v="254"/>
    <x v="2"/>
    <m/>
    <x v="0"/>
    <x v="0"/>
    <s v="Danyawaddy Baw Lone Kwin"/>
    <m/>
    <m/>
    <m/>
    <m/>
    <m/>
    <m/>
    <n v="103"/>
    <m/>
    <m/>
    <m/>
    <m/>
    <m/>
    <m/>
    <m/>
    <m/>
    <m/>
    <m/>
    <m/>
    <m/>
    <m/>
    <n v="0"/>
    <n v="0"/>
    <n v="0"/>
    <n v="0"/>
    <n v="0"/>
    <n v="0"/>
    <n v="0"/>
    <n v="0"/>
    <n v="0"/>
    <n v="0"/>
    <n v="0"/>
    <n v="0"/>
    <n v="0"/>
    <n v="0"/>
    <n v="0"/>
    <s v="MMR012CMP055"/>
    <x v="4"/>
    <m/>
  </r>
  <r>
    <n v="70"/>
    <x v="6"/>
    <x v="254"/>
    <x v="2"/>
    <m/>
    <x v="0"/>
    <x v="0"/>
    <s v="Khaung Laung"/>
    <m/>
    <m/>
    <m/>
    <m/>
    <m/>
    <m/>
    <n v="36"/>
    <m/>
    <m/>
    <m/>
    <m/>
    <m/>
    <m/>
    <m/>
    <m/>
    <m/>
    <m/>
    <m/>
    <m/>
    <m/>
    <n v="0"/>
    <n v="0"/>
    <n v="0"/>
    <n v="0"/>
    <n v="0"/>
    <n v="0"/>
    <n v="0"/>
    <n v="0"/>
    <n v="0"/>
    <n v="0"/>
    <n v="0"/>
    <n v="0"/>
    <n v="0"/>
    <n v="0"/>
    <n v="0"/>
    <s v=""/>
    <x v="1"/>
    <m/>
  </r>
  <r>
    <n v="70"/>
    <x v="6"/>
    <x v="254"/>
    <x v="2"/>
    <m/>
    <x v="0"/>
    <x v="0"/>
    <s v="Nyar Ni Kar Ya Ma"/>
    <m/>
    <m/>
    <m/>
    <m/>
    <m/>
    <m/>
    <n v="36"/>
    <m/>
    <m/>
    <m/>
    <m/>
    <m/>
    <m/>
    <m/>
    <m/>
    <m/>
    <m/>
    <m/>
    <m/>
    <m/>
    <n v="0"/>
    <n v="0"/>
    <n v="0"/>
    <n v="0"/>
    <n v="0"/>
    <n v="0"/>
    <n v="0"/>
    <n v="0"/>
    <n v="0"/>
    <n v="0"/>
    <n v="0"/>
    <n v="0"/>
    <n v="0"/>
    <n v="0"/>
    <n v="0"/>
    <s v=""/>
    <x v="1"/>
    <m/>
  </r>
  <r>
    <n v="70"/>
    <x v="6"/>
    <x v="254"/>
    <x v="2"/>
    <m/>
    <x v="0"/>
    <x v="0"/>
    <s v="Pyin Nyar Mandine Monastery"/>
    <m/>
    <m/>
    <m/>
    <m/>
    <m/>
    <m/>
    <n v="9"/>
    <m/>
    <m/>
    <m/>
    <m/>
    <m/>
    <m/>
    <m/>
    <m/>
    <m/>
    <m/>
    <m/>
    <m/>
    <m/>
    <n v="0"/>
    <n v="0"/>
    <n v="0"/>
    <n v="0"/>
    <n v="0"/>
    <n v="0"/>
    <n v="0"/>
    <n v="0"/>
    <n v="0"/>
    <n v="0"/>
    <n v="0"/>
    <n v="0"/>
    <n v="0"/>
    <n v="0"/>
    <n v="0"/>
    <s v="MMR012CMP064"/>
    <x v="4"/>
    <m/>
  </r>
  <r>
    <n v="70"/>
    <x v="6"/>
    <x v="254"/>
    <x v="2"/>
    <m/>
    <x v="0"/>
    <x v="0"/>
    <s v="TanTan"/>
    <m/>
    <m/>
    <m/>
    <m/>
    <m/>
    <m/>
    <n v="20"/>
    <m/>
    <m/>
    <m/>
    <m/>
    <m/>
    <m/>
    <m/>
    <m/>
    <m/>
    <m/>
    <m/>
    <m/>
    <m/>
    <n v="0"/>
    <n v="0"/>
    <n v="0"/>
    <n v="0"/>
    <n v="0"/>
    <n v="0"/>
    <n v="0"/>
    <n v="0"/>
    <n v="0"/>
    <n v="0"/>
    <n v="0"/>
    <n v="0"/>
    <n v="0"/>
    <n v="0"/>
    <n v="0"/>
    <s v=""/>
    <x v="1"/>
    <m/>
  </r>
  <r>
    <n v="70"/>
    <x v="6"/>
    <x v="254"/>
    <x v="2"/>
    <m/>
    <x v="0"/>
    <x v="0"/>
    <s v="Tha Ma Da ZTK"/>
    <m/>
    <m/>
    <m/>
    <m/>
    <m/>
    <m/>
    <n v="35"/>
    <m/>
    <m/>
    <m/>
    <m/>
    <m/>
    <m/>
    <m/>
    <m/>
    <m/>
    <m/>
    <m/>
    <m/>
    <m/>
    <n v="0"/>
    <n v="0"/>
    <n v="0"/>
    <n v="0"/>
    <n v="0"/>
    <n v="0"/>
    <n v="0"/>
    <n v="0"/>
    <n v="0"/>
    <n v="0"/>
    <n v="0"/>
    <n v="0"/>
    <n v="0"/>
    <n v="0"/>
    <n v="0"/>
    <s v=""/>
    <x v="1"/>
    <m/>
  </r>
  <r>
    <n v="70.033333333333331"/>
    <x v="6"/>
    <x v="255"/>
    <x v="2"/>
    <m/>
    <x v="0"/>
    <x v="0"/>
    <s v="Dak Kaung Monastery"/>
    <m/>
    <m/>
    <m/>
    <m/>
    <m/>
    <m/>
    <n v="66"/>
    <m/>
    <m/>
    <m/>
    <m/>
    <m/>
    <m/>
    <m/>
    <m/>
    <m/>
    <m/>
    <m/>
    <m/>
    <m/>
    <n v="0"/>
    <n v="0"/>
    <n v="0"/>
    <n v="0"/>
    <n v="0"/>
    <n v="0"/>
    <n v="0"/>
    <n v="0"/>
    <n v="0"/>
    <n v="0"/>
    <n v="0"/>
    <n v="0"/>
    <n v="0"/>
    <n v="0"/>
    <n v="0"/>
    <s v="MMR012CMP059"/>
    <x v="4"/>
    <m/>
  </r>
  <r>
    <n v="70.033333333333331"/>
    <x v="6"/>
    <x v="255"/>
    <x v="2"/>
    <m/>
    <x v="0"/>
    <x v="0"/>
    <s v="Mahar Zay Ya Theik"/>
    <m/>
    <m/>
    <m/>
    <m/>
    <m/>
    <m/>
    <n v="37"/>
    <m/>
    <m/>
    <m/>
    <m/>
    <m/>
    <m/>
    <m/>
    <m/>
    <m/>
    <m/>
    <m/>
    <m/>
    <m/>
    <n v="0"/>
    <n v="0"/>
    <n v="0"/>
    <n v="0"/>
    <n v="0"/>
    <n v="0"/>
    <n v="0"/>
    <n v="0"/>
    <n v="0"/>
    <n v="0"/>
    <n v="0"/>
    <n v="0"/>
    <n v="0"/>
    <n v="0"/>
    <n v="0"/>
    <s v=""/>
    <x v="1"/>
    <m/>
  </r>
  <r>
    <n v="70.033333333333331"/>
    <x v="6"/>
    <x v="255"/>
    <x v="2"/>
    <m/>
    <x v="0"/>
    <x v="0"/>
    <s v="Myo Ma Monastery"/>
    <m/>
    <m/>
    <m/>
    <m/>
    <m/>
    <m/>
    <n v="66"/>
    <m/>
    <m/>
    <m/>
    <m/>
    <m/>
    <m/>
    <m/>
    <m/>
    <m/>
    <m/>
    <m/>
    <m/>
    <m/>
    <n v="0"/>
    <n v="0"/>
    <n v="0"/>
    <n v="0"/>
    <n v="0"/>
    <n v="0"/>
    <n v="0"/>
    <n v="0"/>
    <n v="0"/>
    <n v="0"/>
    <n v="0"/>
    <n v="0"/>
    <n v="0"/>
    <n v="0"/>
    <n v="0"/>
    <s v="MMR012CMP063"/>
    <x v="4"/>
    <m/>
  </r>
  <r>
    <n v="70.033333333333331"/>
    <x v="6"/>
    <x v="255"/>
    <x v="2"/>
    <m/>
    <x v="0"/>
    <x v="0"/>
    <s v="Sin Ku Lann Monastery"/>
    <m/>
    <m/>
    <m/>
    <m/>
    <m/>
    <m/>
    <n v="62"/>
    <m/>
    <m/>
    <m/>
    <m/>
    <m/>
    <m/>
    <m/>
    <m/>
    <m/>
    <m/>
    <m/>
    <m/>
    <m/>
    <n v="0"/>
    <n v="0"/>
    <n v="0"/>
    <n v="0"/>
    <n v="0"/>
    <n v="0"/>
    <n v="0"/>
    <n v="0"/>
    <n v="0"/>
    <n v="0"/>
    <n v="0"/>
    <n v="0"/>
    <n v="0"/>
    <n v="0"/>
    <n v="0"/>
    <s v="MMR012CMP068"/>
    <x v="4"/>
    <m/>
  </r>
  <r>
    <n v="70.033333333333331"/>
    <x v="6"/>
    <x v="255"/>
    <x v="2"/>
    <m/>
    <x v="0"/>
    <x v="0"/>
    <s v="Thet Kae Pyin "/>
    <m/>
    <m/>
    <m/>
    <m/>
    <m/>
    <m/>
    <n v="200"/>
    <m/>
    <m/>
    <m/>
    <m/>
    <m/>
    <m/>
    <m/>
    <m/>
    <m/>
    <m/>
    <m/>
    <m/>
    <m/>
    <n v="0"/>
    <n v="0"/>
    <n v="0"/>
    <n v="0"/>
    <n v="0"/>
    <n v="0"/>
    <n v="0"/>
    <n v="0"/>
    <n v="0"/>
    <n v="0"/>
    <n v="0"/>
    <n v="0"/>
    <n v="0"/>
    <n v="0"/>
    <n v="0"/>
    <s v="MMR012CMP048"/>
    <x v="0"/>
    <m/>
  </r>
  <r>
    <n v="70.066666666666663"/>
    <x v="6"/>
    <x v="256"/>
    <x v="2"/>
    <m/>
    <x v="0"/>
    <x v="0"/>
    <s v="Da Ma Set Kyar"/>
    <m/>
    <m/>
    <m/>
    <m/>
    <m/>
    <m/>
    <n v="52"/>
    <m/>
    <m/>
    <m/>
    <m/>
    <m/>
    <m/>
    <m/>
    <m/>
    <m/>
    <m/>
    <m/>
    <m/>
    <m/>
    <n v="0"/>
    <n v="0"/>
    <n v="0"/>
    <n v="0"/>
    <n v="0"/>
    <n v="0"/>
    <n v="0"/>
    <n v="0"/>
    <n v="0"/>
    <n v="0"/>
    <n v="0"/>
    <n v="0"/>
    <n v="0"/>
    <n v="0"/>
    <n v="0"/>
    <s v=""/>
    <x v="1"/>
    <m/>
  </r>
  <r>
    <n v="70.066666666666663"/>
    <x v="6"/>
    <x v="256"/>
    <x v="2"/>
    <m/>
    <x v="0"/>
    <x v="0"/>
    <s v="Dar Pai"/>
    <m/>
    <m/>
    <m/>
    <m/>
    <m/>
    <m/>
    <n v="300"/>
    <m/>
    <m/>
    <m/>
    <m/>
    <m/>
    <m/>
    <m/>
    <m/>
    <m/>
    <m/>
    <m/>
    <m/>
    <m/>
    <n v="0"/>
    <n v="0"/>
    <n v="0"/>
    <n v="0"/>
    <n v="0"/>
    <n v="0"/>
    <n v="0"/>
    <n v="0"/>
    <n v="0"/>
    <n v="0"/>
    <n v="0"/>
    <n v="0"/>
    <n v="0"/>
    <n v="0"/>
    <n v="0"/>
    <s v="MMR012CMP041"/>
    <x v="0"/>
    <m/>
  </r>
  <r>
    <n v="70.066666666666663"/>
    <x v="6"/>
    <x v="256"/>
    <x v="2"/>
    <m/>
    <x v="0"/>
    <x v="0"/>
    <s v="Kaw Nyar Na"/>
    <m/>
    <m/>
    <m/>
    <m/>
    <m/>
    <m/>
    <n v="9"/>
    <m/>
    <m/>
    <m/>
    <m/>
    <m/>
    <m/>
    <m/>
    <m/>
    <m/>
    <m/>
    <m/>
    <m/>
    <m/>
    <n v="0"/>
    <n v="0"/>
    <n v="0"/>
    <n v="0"/>
    <n v="0"/>
    <n v="0"/>
    <n v="0"/>
    <n v="0"/>
    <n v="0"/>
    <n v="0"/>
    <n v="0"/>
    <n v="0"/>
    <n v="0"/>
    <n v="0"/>
    <n v="0"/>
    <s v=""/>
    <x v="1"/>
    <m/>
  </r>
  <r>
    <n v="70.066666666666663"/>
    <x v="6"/>
    <x v="256"/>
    <x v="2"/>
    <m/>
    <x v="0"/>
    <x v="0"/>
    <s v="Phyin Nyar Ag Myay"/>
    <m/>
    <m/>
    <m/>
    <m/>
    <m/>
    <m/>
    <n v="11"/>
    <m/>
    <m/>
    <m/>
    <m/>
    <m/>
    <m/>
    <m/>
    <m/>
    <m/>
    <m/>
    <m/>
    <m/>
    <m/>
    <n v="0"/>
    <n v="0"/>
    <n v="0"/>
    <n v="0"/>
    <n v="0"/>
    <n v="0"/>
    <n v="0"/>
    <n v="0"/>
    <n v="0"/>
    <n v="0"/>
    <n v="0"/>
    <n v="0"/>
    <n v="0"/>
    <n v="0"/>
    <n v="0"/>
    <s v=""/>
    <x v="1"/>
    <m/>
  </r>
  <r>
    <n v="70.066666666666663"/>
    <x v="6"/>
    <x v="256"/>
    <x v="2"/>
    <m/>
    <x v="0"/>
    <x v="0"/>
    <s v="Sit Kae Taw Min"/>
    <m/>
    <m/>
    <m/>
    <m/>
    <m/>
    <m/>
    <n v="89"/>
    <m/>
    <m/>
    <m/>
    <m/>
    <m/>
    <m/>
    <m/>
    <m/>
    <m/>
    <m/>
    <m/>
    <m/>
    <m/>
    <n v="0"/>
    <n v="0"/>
    <n v="0"/>
    <n v="0"/>
    <n v="0"/>
    <n v="0"/>
    <n v="0"/>
    <n v="0"/>
    <n v="0"/>
    <n v="0"/>
    <n v="0"/>
    <n v="0"/>
    <n v="0"/>
    <n v="0"/>
    <n v="0"/>
    <s v=""/>
    <x v="1"/>
    <m/>
  </r>
  <r>
    <n v="70.099999999999994"/>
    <x v="6"/>
    <x v="257"/>
    <x v="2"/>
    <m/>
    <x v="0"/>
    <x v="0"/>
    <s v="Ma Ni Yadanar Monastery"/>
    <m/>
    <m/>
    <m/>
    <m/>
    <m/>
    <m/>
    <n v="120"/>
    <m/>
    <m/>
    <m/>
    <m/>
    <m/>
    <m/>
    <m/>
    <m/>
    <m/>
    <m/>
    <m/>
    <m/>
    <m/>
    <n v="0"/>
    <n v="0"/>
    <n v="0"/>
    <n v="0"/>
    <n v="0"/>
    <n v="0"/>
    <n v="0"/>
    <n v="0"/>
    <n v="0"/>
    <n v="0"/>
    <n v="0"/>
    <n v="0"/>
    <n v="0"/>
    <n v="0"/>
    <n v="0"/>
    <s v="MMR012CMP072"/>
    <x v="4"/>
    <m/>
  </r>
  <r>
    <n v="70.099999999999994"/>
    <x v="6"/>
    <x v="257"/>
    <x v="2"/>
    <m/>
    <x v="0"/>
    <x v="0"/>
    <s v="MahaKuthaLa"/>
    <m/>
    <m/>
    <m/>
    <m/>
    <m/>
    <m/>
    <n v="11"/>
    <m/>
    <m/>
    <m/>
    <m/>
    <m/>
    <m/>
    <m/>
    <m/>
    <m/>
    <m/>
    <m/>
    <m/>
    <m/>
    <n v="0"/>
    <n v="0"/>
    <n v="0"/>
    <n v="0"/>
    <n v="0"/>
    <n v="0"/>
    <n v="0"/>
    <n v="0"/>
    <n v="0"/>
    <n v="0"/>
    <n v="0"/>
    <n v="0"/>
    <n v="0"/>
    <n v="0"/>
    <n v="0"/>
    <s v=""/>
    <x v="1"/>
    <m/>
  </r>
  <r>
    <n v="70.099999999999994"/>
    <x v="6"/>
    <x v="257"/>
    <x v="2"/>
    <m/>
    <x v="0"/>
    <x v="0"/>
    <s v="U Ye Kyaw Thu"/>
    <m/>
    <m/>
    <m/>
    <m/>
    <m/>
    <m/>
    <n v="200"/>
    <m/>
    <m/>
    <m/>
    <m/>
    <m/>
    <m/>
    <m/>
    <m/>
    <m/>
    <m/>
    <m/>
    <m/>
    <m/>
    <n v="0"/>
    <n v="0"/>
    <n v="0"/>
    <n v="0"/>
    <n v="0"/>
    <n v="0"/>
    <n v="0"/>
    <n v="0"/>
    <n v="0"/>
    <n v="0"/>
    <n v="0"/>
    <n v="0"/>
    <n v="0"/>
    <n v="0"/>
    <n v="0"/>
    <s v=""/>
    <x v="1"/>
    <m/>
  </r>
  <r>
    <m/>
    <x v="7"/>
    <x v="258"/>
    <x v="26"/>
    <m/>
    <x v="1"/>
    <x v="10"/>
    <m/>
    <m/>
    <m/>
    <m/>
    <m/>
    <m/>
    <m/>
    <m/>
    <m/>
    <m/>
    <m/>
    <m/>
    <m/>
    <m/>
    <m/>
    <m/>
    <m/>
    <m/>
    <m/>
    <m/>
    <m/>
    <m/>
    <m/>
    <m/>
    <m/>
    <m/>
    <m/>
    <m/>
    <m/>
    <m/>
    <m/>
    <m/>
    <n v="0"/>
    <n v="0"/>
    <n v="0"/>
    <n v="0"/>
    <m/>
    <x v="5"/>
    <m/>
  </r>
</pivotCacheRecords>
</file>

<file path=xl/pivotCache/pivotCacheRecords3.xml><?xml version="1.0" encoding="utf-8"?>
<pivotCacheRecords xmlns="http://schemas.openxmlformats.org/spreadsheetml/2006/main" xmlns:r="http://schemas.openxmlformats.org/officeDocument/2006/relationships" count="33">
  <r>
    <s v="LOT 6 - Thazin Gone Young"/>
    <s v="Rakhine"/>
    <s v="Sittwe"/>
    <s v="Basare"/>
    <s v="MMR012CMP039"/>
    <x v="0"/>
    <m/>
    <n v="1"/>
    <x v="0"/>
    <m/>
  </r>
  <r>
    <s v="LOT 6 - Thazin Gone Young"/>
    <s v="Rakhine"/>
    <s v="Sittwe"/>
    <s v="Basare"/>
    <s v="MMR012CMP039"/>
    <x v="1"/>
    <m/>
    <n v="1"/>
    <x v="0"/>
    <m/>
  </r>
  <r>
    <s v="LOT 6 - Thazin Gone Young"/>
    <s v="Rakhine"/>
    <s v="Sittwe"/>
    <s v="Basare"/>
    <s v="MMR012CMP039"/>
    <x v="2"/>
    <m/>
    <n v="1"/>
    <x v="0"/>
    <m/>
  </r>
  <r>
    <s v="LOT 6 - Thazin Gone Young"/>
    <s v="Rakhine"/>
    <s v="Sittwe"/>
    <s v="Basare"/>
    <s v="MMR012CMP039"/>
    <x v="3"/>
    <m/>
    <n v="1"/>
    <x v="0"/>
    <m/>
  </r>
  <r>
    <s v="LOT 6 - Thazin Gone Young"/>
    <s v="Rakhine"/>
    <s v="Sittwe"/>
    <s v="Baw Du Pha 1"/>
    <s v="MMR012CMP113"/>
    <x v="3"/>
    <m/>
    <n v="1"/>
    <x v="1"/>
    <s v="Canceled and converted to Warehouse in SYK"/>
  </r>
  <r>
    <s v="LOT 6 - Thazin Gone Young"/>
    <s v="Rakhine"/>
    <s v="Sittwe"/>
    <s v="Baw Du Pha 1"/>
    <s v="MMR012CMP113"/>
    <x v="2"/>
    <m/>
    <n v="1"/>
    <x v="0"/>
    <s v="Land plots identified and confirmed. Construction yet to start due to unreasonable demands from the contractor by Camp Committees and Village Leaders"/>
  </r>
  <r>
    <s v="LOT 6 - Thazin Gone Young"/>
    <s v="Rakhine"/>
    <s v="Sittwe"/>
    <s v="Baw Du Pha 2"/>
    <s v="MMR012CMP114"/>
    <x v="3"/>
    <m/>
    <n v="1"/>
    <x v="0"/>
    <s v="Land plots identified and confirmed. Construction yet to start due to unreasonable demands from the contractor by Camp Committees and Village Leaders"/>
  </r>
  <r>
    <s v="LOT 6 - Thazin Gone Young"/>
    <s v="Rakhine"/>
    <s v="Sittwe"/>
    <s v="Baw Du Pha 2"/>
    <s v="MMR012CMP114"/>
    <x v="2"/>
    <m/>
    <n v="1"/>
    <x v="0"/>
    <s v="Land plots identified and confirmed. Construction yet to start due to unreasonable demands from the contractor by Camp Committees and Village Leaders"/>
  </r>
  <r>
    <s v="LOT 6 - Thazin Gone Young"/>
    <s v="Rakhine"/>
    <s v="Sittwe"/>
    <s v="Dar Pai"/>
    <s v="MMR012CMP041"/>
    <x v="3"/>
    <m/>
    <n v="1"/>
    <x v="1"/>
    <s v="Canceled and converted to Warehouse in SYK"/>
  </r>
  <r>
    <s v="LOT 6 - Thazin Gone Young"/>
    <s v="Rakhine"/>
    <s v="Sittwe"/>
    <s v="Dar Pai"/>
    <s v="MMR012CMP041"/>
    <x v="2"/>
    <m/>
    <n v="1"/>
    <x v="0"/>
    <s v="Land plots identified and confirmed. Construction yet to start due to unreasonable demands from the contractor by Camp Committees and Village Leaders"/>
  </r>
  <r>
    <s v="LOT 5 - Thazin Gone Young"/>
    <s v="Rakhine"/>
    <s v="Sittwe"/>
    <s v="Khaung Doke Khar "/>
    <s v="MMR012CMP042"/>
    <x v="2"/>
    <m/>
    <n v="1"/>
    <x v="0"/>
    <m/>
  </r>
  <r>
    <s v="LOT 5 - Thazin Gone Young"/>
    <s v="Rakhine"/>
    <s v="Sittwe"/>
    <s v="Khaung Doke Khar "/>
    <s v="MMR012CMP042"/>
    <x v="3"/>
    <s v="(2 units)"/>
    <n v="2"/>
    <x v="0"/>
    <m/>
  </r>
  <r>
    <s v="LOT 5 - Thazin Gone Young"/>
    <s v="Rakhine"/>
    <s v="Sittwe"/>
    <s v="Khaung Doke Khar "/>
    <s v="MMR012CMP042"/>
    <x v="0"/>
    <s v="(2 units)"/>
    <n v="2"/>
    <x v="0"/>
    <m/>
  </r>
  <r>
    <s v="LOT 5 - Thazin Gone Young"/>
    <s v="Rakhine"/>
    <s v="Sittwe"/>
    <s v="Khaung Doke Khar "/>
    <s v="MMR012CMP042"/>
    <x v="1"/>
    <m/>
    <n v="1"/>
    <x v="0"/>
    <m/>
  </r>
  <r>
    <s v="LOT 5 - Thazin Gone Young"/>
    <s v="Rakhine"/>
    <s v="Sittwe"/>
    <s v="Maw Ti Ngar"/>
    <s v="MMR012CMP092"/>
    <x v="3"/>
    <m/>
    <n v="1"/>
    <x v="0"/>
    <s v="Land plots identified and confirmed. Construction yet to start due to unreasonable demands from the contractor by Camp Committees and Village Leaders"/>
  </r>
  <r>
    <s v="LOT 5 - Thazin Gone Young"/>
    <s v="Rakhine"/>
    <s v="Sittwe"/>
    <s v="Maw Ti Ngar"/>
    <s v="MMR012CMP092"/>
    <x v="0"/>
    <m/>
    <n v="1"/>
    <x v="0"/>
    <s v="Land plots identified and confirmed. Construction yet to start due to unreasonable demands from the contractor by Camp Committees and Village Leaders"/>
  </r>
  <r>
    <s v="LOT 5 - Thazin Gone Young"/>
    <s v="Rakhine"/>
    <s v="Sittwe"/>
    <s v="Maw Ti Ngar"/>
    <s v="MMR012CMP092"/>
    <x v="2"/>
    <m/>
    <n v="1"/>
    <x v="0"/>
    <s v="Land plots identified and confirmed. Construction yet to start due to unreasonable demands from the contractor by Camp Committees and Village Leaders"/>
  </r>
  <r>
    <s v="LOT 4 - Thazin Gone Young"/>
    <s v="Rakhine"/>
    <s v="Sittwe"/>
    <s v="Ohn Taw Chay"/>
    <s v="MMR012CMP098"/>
    <x v="1"/>
    <m/>
    <n v="1"/>
    <x v="0"/>
    <m/>
  </r>
  <r>
    <s v="LOT 4 - Thazin Gone Young"/>
    <s v="Rakhine"/>
    <s v="Sittwe"/>
    <s v="Ohn Taw Gyi (North)"/>
    <s v="MMR012CMP115"/>
    <x v="3"/>
    <s v="(2 units)"/>
    <n v="2"/>
    <x v="0"/>
    <m/>
  </r>
  <r>
    <s v="LOT 4 - Thazin Gone Young"/>
    <s v="Rakhine"/>
    <s v="Sittwe"/>
    <s v="Ohn Taw Gyi (North)"/>
    <s v="MMR012CMP115"/>
    <x v="0"/>
    <m/>
    <n v="1"/>
    <x v="0"/>
    <m/>
  </r>
  <r>
    <s v="LOT 4 - Thazin Gone Young"/>
    <s v="Rakhine"/>
    <s v="Sittwe"/>
    <s v="Ohn Taw Gyi (South)"/>
    <s v="MMR012CMP116"/>
    <x v="2"/>
    <m/>
    <n v="1"/>
    <x v="0"/>
    <m/>
  </r>
  <r>
    <s v="LOT 4 - Thazin Gone Young"/>
    <s v="Rakhine"/>
    <s v="Sittwe"/>
    <s v="Ohn Taw Gyi (South)"/>
    <s v="MMR012CMP116"/>
    <x v="3"/>
    <m/>
    <n v="1"/>
    <x v="0"/>
    <m/>
  </r>
  <r>
    <s v="LOT 4 - Thazin Gone Young"/>
    <s v="Rakhine"/>
    <s v="Sittwe"/>
    <s v="Ohn Taw Gyi (South)"/>
    <s v="MMR012CMP116"/>
    <x v="0"/>
    <s v=" (4 units)"/>
    <n v="4"/>
    <x v="0"/>
    <m/>
  </r>
  <r>
    <s v="LOT 4 - Thazin Gone Young"/>
    <s v="Rakhine"/>
    <s v="Sittwe"/>
    <s v="Ohn Taw Gyi (South)"/>
    <s v="MMR012CMP116"/>
    <x v="1"/>
    <s v=" (3 units)"/>
    <n v="3"/>
    <x v="0"/>
    <m/>
  </r>
  <r>
    <s v="LOT 6 - Thazin Gone Young"/>
    <s v="Rakhine"/>
    <s v="Sittwe"/>
    <s v="Sat Roe Kya 1"/>
    <s v="MMR012CMP111"/>
    <x v="2"/>
    <m/>
    <n v="1"/>
    <x v="0"/>
    <m/>
  </r>
  <r>
    <s v="LOT 6 - Thazin Gone Young"/>
    <s v="Rakhine"/>
    <s v="Sittwe"/>
    <s v="Sat Roe Kya 1"/>
    <s v="MMR012CMP111"/>
    <x v="3"/>
    <m/>
    <n v="1"/>
    <x v="0"/>
    <m/>
  </r>
  <r>
    <s v="LOT 6 - Thazin Gone Young"/>
    <s v="Rakhine"/>
    <s v="Sittwe"/>
    <s v="Sat Roe Kya 1"/>
    <s v="MMR012CMP111"/>
    <x v="1"/>
    <m/>
    <n v="1"/>
    <x v="0"/>
    <m/>
  </r>
  <r>
    <s v="LOT 6 - Thazin Gone Young"/>
    <s v="Rakhine"/>
    <s v="Sittwe"/>
    <s v="Sat Roe Kya 2"/>
    <s v="MMR012CMP112"/>
    <x v="1"/>
    <m/>
    <n v="1"/>
    <x v="0"/>
    <m/>
  </r>
  <r>
    <s v="LOT 5 - Thazin Gone Young"/>
    <s v="Rakhine"/>
    <s v="Sittwe"/>
    <s v="Say Tha Mar Gyi"/>
    <s v="MMR012CMP045"/>
    <x v="3"/>
    <m/>
    <n v="1"/>
    <x v="0"/>
    <s v=" (PWG site)"/>
  </r>
  <r>
    <s v="LOT 5 - Thazin Gone Young"/>
    <s v="Rakhine"/>
    <s v="Sittwe"/>
    <s v="Say Tha Mar Gyi"/>
    <s v="MMR012CMP045"/>
    <x v="3"/>
    <m/>
    <n v="1"/>
    <x v="0"/>
    <s v=" (STMG site)"/>
  </r>
  <r>
    <s v="LOT 5 - Thazin Gone Young"/>
    <s v="Rakhine"/>
    <s v="Sittwe"/>
    <s v="Thet Kae Pyin "/>
    <s v="MMR012CMP048"/>
    <x v="2"/>
    <m/>
    <n v="1"/>
    <x v="0"/>
    <m/>
  </r>
  <r>
    <s v="LOT 5 - Thazin Gone Young"/>
    <s v="Rakhine"/>
    <s v="Sittwe"/>
    <s v="Thet Kae Pyin "/>
    <s v="MMR012CMP048"/>
    <x v="3"/>
    <s v=" (2 units)"/>
    <n v="2"/>
    <x v="0"/>
    <m/>
  </r>
  <r>
    <s v="LOT 5 - Thazin Gone Young"/>
    <s v="Rakhine"/>
    <s v="Sittwe"/>
    <s v="Thet Kae Pyin "/>
    <s v="MMR012CMP048"/>
    <x v="0"/>
    <m/>
    <n v="1"/>
    <x v="0"/>
    <m/>
  </r>
</pivotCacheRecords>
</file>

<file path=xl/pivotCache/pivotCacheRecords4.xml><?xml version="1.0" encoding="utf-8"?>
<pivotCacheRecords xmlns="http://schemas.openxmlformats.org/spreadsheetml/2006/main" xmlns:r="http://schemas.openxmlformats.org/officeDocument/2006/relationships" count="216">
  <r>
    <x v="0"/>
    <x v="0"/>
    <s v="MMR012CMP016"/>
    <x v="0"/>
    <x v="0"/>
    <n v="456"/>
  </r>
  <r>
    <x v="0"/>
    <x v="0"/>
    <s v="MMR012CMP016"/>
    <x v="0"/>
    <x v="1"/>
    <n v="528"/>
  </r>
  <r>
    <x v="0"/>
    <x v="0"/>
    <s v="MMR012CMP016"/>
    <x v="1"/>
    <x v="0"/>
    <n v="473"/>
  </r>
  <r>
    <x v="0"/>
    <x v="0"/>
    <s v="MMR012CMP016"/>
    <x v="1"/>
    <x v="1"/>
    <n v="401"/>
  </r>
  <r>
    <x v="0"/>
    <x v="0"/>
    <s v="MMR012CMP016"/>
    <x v="2"/>
    <x v="0"/>
    <n v="260"/>
  </r>
  <r>
    <x v="0"/>
    <x v="0"/>
    <s v="MMR012CMP016"/>
    <x v="2"/>
    <x v="1"/>
    <n v="212"/>
  </r>
  <r>
    <x v="0"/>
    <x v="0"/>
    <s v="MMR012CMP016"/>
    <x v="3"/>
    <x v="0"/>
    <n v="337"/>
  </r>
  <r>
    <x v="0"/>
    <x v="0"/>
    <s v="MMR012CMP016"/>
    <x v="3"/>
    <x v="1"/>
    <n v="528"/>
  </r>
  <r>
    <x v="0"/>
    <x v="0"/>
    <s v="MMR012CMP016"/>
    <x v="4"/>
    <x v="0"/>
    <n v="500"/>
  </r>
  <r>
    <x v="0"/>
    <x v="0"/>
    <s v="MMR012CMP016"/>
    <x v="4"/>
    <x v="1"/>
    <n v="544"/>
  </r>
  <r>
    <x v="0"/>
    <x v="0"/>
    <s v="MMR012CMP016"/>
    <x v="5"/>
    <x v="0"/>
    <n v="70"/>
  </r>
  <r>
    <x v="0"/>
    <x v="0"/>
    <s v="MMR012CMP016"/>
    <x v="5"/>
    <x v="1"/>
    <n v="55"/>
  </r>
  <r>
    <x v="1"/>
    <x v="1"/>
    <s v="MMR012CMP113"/>
    <x v="0"/>
    <x v="0"/>
    <n v="367"/>
  </r>
  <r>
    <x v="1"/>
    <x v="1"/>
    <s v="MMR012CMP113"/>
    <x v="0"/>
    <x v="1"/>
    <n v="413"/>
  </r>
  <r>
    <x v="1"/>
    <x v="1"/>
    <s v="MMR012CMP113"/>
    <x v="1"/>
    <x v="0"/>
    <n v="427"/>
  </r>
  <r>
    <x v="1"/>
    <x v="1"/>
    <s v="MMR012CMP113"/>
    <x v="1"/>
    <x v="1"/>
    <n v="382"/>
  </r>
  <r>
    <x v="1"/>
    <x v="1"/>
    <s v="MMR012CMP113"/>
    <x v="2"/>
    <x v="0"/>
    <n v="410"/>
  </r>
  <r>
    <x v="1"/>
    <x v="1"/>
    <s v="MMR012CMP113"/>
    <x v="2"/>
    <x v="1"/>
    <n v="328"/>
  </r>
  <r>
    <x v="1"/>
    <x v="1"/>
    <s v="MMR012CMP113"/>
    <x v="3"/>
    <x v="0"/>
    <n v="378"/>
  </r>
  <r>
    <x v="1"/>
    <x v="1"/>
    <s v="MMR012CMP113"/>
    <x v="3"/>
    <x v="1"/>
    <n v="453"/>
  </r>
  <r>
    <x v="1"/>
    <x v="1"/>
    <s v="MMR012CMP113"/>
    <x v="4"/>
    <x v="0"/>
    <n v="716"/>
  </r>
  <r>
    <x v="1"/>
    <x v="1"/>
    <s v="MMR012CMP113"/>
    <x v="4"/>
    <x v="1"/>
    <n v="775"/>
  </r>
  <r>
    <x v="1"/>
    <x v="1"/>
    <s v="MMR012CMP113"/>
    <x v="5"/>
    <x v="0"/>
    <n v="99"/>
  </r>
  <r>
    <x v="1"/>
    <x v="1"/>
    <s v="MMR012CMP113"/>
    <x v="5"/>
    <x v="1"/>
    <n v="85"/>
  </r>
  <r>
    <x v="1"/>
    <x v="2"/>
    <s v="MMR012CMP114"/>
    <x v="0"/>
    <x v="0"/>
    <n v="694"/>
  </r>
  <r>
    <x v="1"/>
    <x v="2"/>
    <s v="MMR012CMP114"/>
    <x v="0"/>
    <x v="1"/>
    <n v="689"/>
  </r>
  <r>
    <x v="1"/>
    <x v="2"/>
    <s v="MMR012CMP114"/>
    <x v="1"/>
    <x v="0"/>
    <n v="689"/>
  </r>
  <r>
    <x v="1"/>
    <x v="2"/>
    <s v="MMR012CMP114"/>
    <x v="1"/>
    <x v="1"/>
    <n v="670"/>
  </r>
  <r>
    <x v="1"/>
    <x v="2"/>
    <s v="MMR012CMP114"/>
    <x v="2"/>
    <x v="0"/>
    <n v="579"/>
  </r>
  <r>
    <x v="1"/>
    <x v="2"/>
    <s v="MMR012CMP114"/>
    <x v="2"/>
    <x v="1"/>
    <n v="575"/>
  </r>
  <r>
    <x v="1"/>
    <x v="2"/>
    <s v="MMR012CMP114"/>
    <x v="3"/>
    <x v="0"/>
    <n v="675"/>
  </r>
  <r>
    <x v="1"/>
    <x v="2"/>
    <s v="MMR012CMP114"/>
    <x v="3"/>
    <x v="1"/>
    <n v="820"/>
  </r>
  <r>
    <x v="1"/>
    <x v="2"/>
    <s v="MMR012CMP114"/>
    <x v="4"/>
    <x v="0"/>
    <n v="884"/>
  </r>
  <r>
    <x v="1"/>
    <x v="2"/>
    <s v="MMR012CMP114"/>
    <x v="4"/>
    <x v="1"/>
    <n v="862"/>
  </r>
  <r>
    <x v="1"/>
    <x v="2"/>
    <s v="MMR012CMP114"/>
    <x v="5"/>
    <x v="0"/>
    <n v="120"/>
  </r>
  <r>
    <x v="1"/>
    <x v="2"/>
    <s v="MMR012CMP114"/>
    <x v="5"/>
    <x v="1"/>
    <n v="120"/>
  </r>
  <r>
    <x v="1"/>
    <x v="3"/>
    <s v="MMR012CMP041"/>
    <x v="0"/>
    <x v="0"/>
    <n v="1017.9647974726391"/>
  </r>
  <r>
    <x v="1"/>
    <x v="3"/>
    <s v="MMR012CMP041"/>
    <x v="0"/>
    <x v="1"/>
    <n v="963"/>
  </r>
  <r>
    <x v="1"/>
    <x v="3"/>
    <s v="MMR012CMP041"/>
    <x v="1"/>
    <x v="0"/>
    <n v="1078.2221595396593"/>
  </r>
  <r>
    <x v="1"/>
    <x v="3"/>
    <s v="MMR012CMP041"/>
    <x v="1"/>
    <x v="1"/>
    <n v="1087"/>
  </r>
  <r>
    <x v="1"/>
    <x v="3"/>
    <s v="MMR012CMP041"/>
    <x v="2"/>
    <x v="0"/>
    <n v="926.93771860543836"/>
  </r>
  <r>
    <x v="1"/>
    <x v="3"/>
    <s v="MMR012CMP041"/>
    <x v="2"/>
    <x v="1"/>
    <n v="956"/>
  </r>
  <r>
    <x v="1"/>
    <x v="3"/>
    <s v="MMR012CMP041"/>
    <x v="3"/>
    <x v="0"/>
    <n v="947"/>
  </r>
  <r>
    <x v="1"/>
    <x v="3"/>
    <s v="MMR012CMP041"/>
    <x v="3"/>
    <x v="1"/>
    <n v="1207.7113844070857"/>
  </r>
  <r>
    <x v="1"/>
    <x v="3"/>
    <s v="MMR012CMP041"/>
    <x v="4"/>
    <x v="0"/>
    <n v="1321"/>
  </r>
  <r>
    <x v="1"/>
    <x v="3"/>
    <s v="MMR012CMP041"/>
    <x v="4"/>
    <x v="1"/>
    <n v="1389.765542141487"/>
  </r>
  <r>
    <x v="1"/>
    <x v="3"/>
    <s v="MMR012CMP041"/>
    <x v="5"/>
    <x v="0"/>
    <n v="234"/>
  </r>
  <r>
    <x v="1"/>
    <x v="3"/>
    <s v="MMR012CMP041"/>
    <x v="5"/>
    <x v="1"/>
    <n v="234"/>
  </r>
  <r>
    <x v="1"/>
    <x v="4"/>
    <s v="MMR012CMP042"/>
    <x v="0"/>
    <x v="0"/>
    <n v="434"/>
  </r>
  <r>
    <x v="1"/>
    <x v="4"/>
    <s v="MMR012CMP042"/>
    <x v="0"/>
    <x v="1"/>
    <n v="449"/>
  </r>
  <r>
    <x v="1"/>
    <x v="4"/>
    <s v="MMR012CMP042"/>
    <x v="1"/>
    <x v="0"/>
    <n v="419"/>
  </r>
  <r>
    <x v="1"/>
    <x v="4"/>
    <s v="MMR012CMP042"/>
    <x v="1"/>
    <x v="1"/>
    <n v="392"/>
  </r>
  <r>
    <x v="1"/>
    <x v="4"/>
    <s v="MMR012CMP042"/>
    <x v="2"/>
    <x v="0"/>
    <n v="336"/>
  </r>
  <r>
    <x v="1"/>
    <x v="4"/>
    <s v="MMR012CMP042"/>
    <x v="2"/>
    <x v="1"/>
    <n v="299"/>
  </r>
  <r>
    <x v="1"/>
    <x v="4"/>
    <s v="MMR012CMP042"/>
    <x v="3"/>
    <x v="0"/>
    <n v="313"/>
  </r>
  <r>
    <x v="1"/>
    <x v="4"/>
    <s v="MMR012CMP042"/>
    <x v="3"/>
    <x v="1"/>
    <n v="456"/>
  </r>
  <r>
    <x v="1"/>
    <x v="4"/>
    <s v="MMR012CMP042"/>
    <x v="4"/>
    <x v="0"/>
    <n v="610"/>
  </r>
  <r>
    <x v="1"/>
    <x v="4"/>
    <s v="MMR012CMP042"/>
    <x v="4"/>
    <x v="1"/>
    <n v="630"/>
  </r>
  <r>
    <x v="1"/>
    <x v="4"/>
    <s v="MMR012CMP042"/>
    <x v="5"/>
    <x v="0"/>
    <n v="66"/>
  </r>
  <r>
    <x v="1"/>
    <x v="4"/>
    <s v="MMR012CMP042"/>
    <x v="5"/>
    <x v="1"/>
    <n v="77"/>
  </r>
  <r>
    <x v="0"/>
    <x v="5"/>
    <s v="MMR012CMP018"/>
    <x v="0"/>
    <x v="0"/>
    <n v="737"/>
  </r>
  <r>
    <x v="0"/>
    <x v="5"/>
    <s v="MMR012CMP018"/>
    <x v="0"/>
    <x v="1"/>
    <n v="788"/>
  </r>
  <r>
    <x v="0"/>
    <x v="5"/>
    <s v="MMR012CMP018"/>
    <x v="1"/>
    <x v="0"/>
    <n v="565"/>
  </r>
  <r>
    <x v="0"/>
    <x v="5"/>
    <s v="MMR012CMP018"/>
    <x v="1"/>
    <x v="1"/>
    <n v="541"/>
  </r>
  <r>
    <x v="0"/>
    <x v="5"/>
    <s v="MMR012CMP018"/>
    <x v="2"/>
    <x v="0"/>
    <n v="338"/>
  </r>
  <r>
    <x v="0"/>
    <x v="5"/>
    <s v="MMR012CMP018"/>
    <x v="2"/>
    <x v="1"/>
    <n v="282"/>
  </r>
  <r>
    <x v="0"/>
    <x v="5"/>
    <s v="MMR012CMP018"/>
    <x v="3"/>
    <x v="0"/>
    <n v="500"/>
  </r>
  <r>
    <x v="0"/>
    <x v="5"/>
    <s v="MMR012CMP018"/>
    <x v="3"/>
    <x v="1"/>
    <n v="738"/>
  </r>
  <r>
    <x v="0"/>
    <x v="5"/>
    <s v="MMR012CMP018"/>
    <x v="4"/>
    <x v="0"/>
    <n v="672"/>
  </r>
  <r>
    <x v="0"/>
    <x v="5"/>
    <s v="MMR012CMP018"/>
    <x v="4"/>
    <x v="1"/>
    <n v="575"/>
  </r>
  <r>
    <x v="0"/>
    <x v="5"/>
    <s v="MMR012CMP018"/>
    <x v="5"/>
    <x v="0"/>
    <n v="118"/>
  </r>
  <r>
    <x v="0"/>
    <x v="5"/>
    <s v="MMR012CMP018"/>
    <x v="5"/>
    <x v="1"/>
    <n v="91"/>
  </r>
  <r>
    <x v="1"/>
    <x v="6"/>
    <s v="MMR012CMP092"/>
    <x v="0"/>
    <x v="0"/>
    <n v="305"/>
  </r>
  <r>
    <x v="1"/>
    <x v="6"/>
    <s v="MMR012CMP092"/>
    <x v="0"/>
    <x v="1"/>
    <n v="340"/>
  </r>
  <r>
    <x v="1"/>
    <x v="6"/>
    <s v="MMR012CMP092"/>
    <x v="1"/>
    <x v="0"/>
    <n v="333"/>
  </r>
  <r>
    <x v="1"/>
    <x v="6"/>
    <s v="MMR012CMP092"/>
    <x v="1"/>
    <x v="1"/>
    <n v="291"/>
  </r>
  <r>
    <x v="1"/>
    <x v="6"/>
    <s v="MMR012CMP092"/>
    <x v="2"/>
    <x v="0"/>
    <n v="268"/>
  </r>
  <r>
    <x v="1"/>
    <x v="6"/>
    <s v="MMR012CMP092"/>
    <x v="2"/>
    <x v="1"/>
    <n v="264"/>
  </r>
  <r>
    <x v="1"/>
    <x v="6"/>
    <s v="MMR012CMP092"/>
    <x v="3"/>
    <x v="0"/>
    <n v="276"/>
  </r>
  <r>
    <x v="1"/>
    <x v="6"/>
    <s v="MMR012CMP092"/>
    <x v="3"/>
    <x v="1"/>
    <n v="360"/>
  </r>
  <r>
    <x v="1"/>
    <x v="6"/>
    <s v="MMR012CMP092"/>
    <x v="4"/>
    <x v="0"/>
    <n v="406"/>
  </r>
  <r>
    <x v="1"/>
    <x v="6"/>
    <s v="MMR012CMP092"/>
    <x v="4"/>
    <x v="1"/>
    <n v="454"/>
  </r>
  <r>
    <x v="1"/>
    <x v="6"/>
    <s v="MMR012CMP092"/>
    <x v="5"/>
    <x v="0"/>
    <n v="65"/>
  </r>
  <r>
    <x v="1"/>
    <x v="6"/>
    <s v="MMR012CMP092"/>
    <x v="5"/>
    <x v="1"/>
    <n v="78"/>
  </r>
  <r>
    <x v="0"/>
    <x v="7"/>
    <s v="MMR012CMP017"/>
    <x v="0"/>
    <x v="0"/>
    <n v="581"/>
  </r>
  <r>
    <x v="0"/>
    <x v="7"/>
    <s v="MMR012CMP017"/>
    <x v="0"/>
    <x v="1"/>
    <n v="520"/>
  </r>
  <r>
    <x v="0"/>
    <x v="7"/>
    <s v="MMR012CMP017"/>
    <x v="1"/>
    <x v="0"/>
    <n v="549"/>
  </r>
  <r>
    <x v="0"/>
    <x v="7"/>
    <s v="MMR012CMP017"/>
    <x v="1"/>
    <x v="1"/>
    <n v="535"/>
  </r>
  <r>
    <x v="0"/>
    <x v="7"/>
    <s v="MMR012CMP017"/>
    <x v="2"/>
    <x v="0"/>
    <n v="297"/>
  </r>
  <r>
    <x v="0"/>
    <x v="7"/>
    <s v="MMR012CMP017"/>
    <x v="2"/>
    <x v="1"/>
    <n v="238"/>
  </r>
  <r>
    <x v="0"/>
    <x v="7"/>
    <s v="MMR012CMP017"/>
    <x v="3"/>
    <x v="0"/>
    <n v="244"/>
  </r>
  <r>
    <x v="0"/>
    <x v="7"/>
    <s v="MMR012CMP017"/>
    <x v="3"/>
    <x v="1"/>
    <n v="392"/>
  </r>
  <r>
    <x v="0"/>
    <x v="7"/>
    <s v="MMR012CMP017"/>
    <x v="4"/>
    <x v="0"/>
    <n v="563"/>
  </r>
  <r>
    <x v="0"/>
    <x v="7"/>
    <s v="MMR012CMP017"/>
    <x v="4"/>
    <x v="1"/>
    <n v="540"/>
  </r>
  <r>
    <x v="0"/>
    <x v="7"/>
    <s v="MMR012CMP017"/>
    <x v="5"/>
    <x v="0"/>
    <n v="69"/>
  </r>
  <r>
    <x v="0"/>
    <x v="7"/>
    <s v="MMR012CMP017"/>
    <x v="5"/>
    <x v="1"/>
    <n v="64"/>
  </r>
  <r>
    <x v="0"/>
    <x v="8"/>
    <s v="MMR012CMP017"/>
    <x v="0"/>
    <x v="0"/>
    <n v="583"/>
  </r>
  <r>
    <x v="0"/>
    <x v="8"/>
    <s v="MMR012CMP017"/>
    <x v="0"/>
    <x v="1"/>
    <n v="598"/>
  </r>
  <r>
    <x v="0"/>
    <x v="8"/>
    <s v="MMR012CMP017"/>
    <x v="1"/>
    <x v="0"/>
    <n v="377"/>
  </r>
  <r>
    <x v="0"/>
    <x v="8"/>
    <s v="MMR012CMP017"/>
    <x v="1"/>
    <x v="1"/>
    <n v="334"/>
  </r>
  <r>
    <x v="0"/>
    <x v="8"/>
    <s v="MMR012CMP017"/>
    <x v="2"/>
    <x v="0"/>
    <n v="222"/>
  </r>
  <r>
    <x v="0"/>
    <x v="8"/>
    <s v="MMR012CMP017"/>
    <x v="2"/>
    <x v="1"/>
    <n v="220"/>
  </r>
  <r>
    <x v="0"/>
    <x v="8"/>
    <s v="MMR012CMP017"/>
    <x v="3"/>
    <x v="0"/>
    <n v="336"/>
  </r>
  <r>
    <x v="0"/>
    <x v="8"/>
    <s v="MMR012CMP017"/>
    <x v="3"/>
    <x v="1"/>
    <n v="476"/>
  </r>
  <r>
    <x v="0"/>
    <x v="8"/>
    <s v="MMR012CMP017"/>
    <x v="4"/>
    <x v="0"/>
    <n v="429"/>
  </r>
  <r>
    <x v="0"/>
    <x v="8"/>
    <s v="MMR012CMP017"/>
    <x v="4"/>
    <x v="1"/>
    <n v="349"/>
  </r>
  <r>
    <x v="0"/>
    <x v="8"/>
    <s v="MMR012CMP017"/>
    <x v="5"/>
    <x v="0"/>
    <n v="89"/>
  </r>
  <r>
    <x v="0"/>
    <x v="8"/>
    <s v="MMR012CMP017"/>
    <x v="5"/>
    <x v="1"/>
    <n v="66"/>
  </r>
  <r>
    <x v="1"/>
    <x v="9"/>
    <s v="MMR012CMP098"/>
    <x v="0"/>
    <x v="0"/>
    <n v="460"/>
  </r>
  <r>
    <x v="1"/>
    <x v="9"/>
    <s v="MMR012CMP098"/>
    <x v="0"/>
    <x v="1"/>
    <n v="478"/>
  </r>
  <r>
    <x v="1"/>
    <x v="9"/>
    <s v="MMR012CMP098"/>
    <x v="1"/>
    <x v="0"/>
    <n v="435"/>
  </r>
  <r>
    <x v="1"/>
    <x v="9"/>
    <s v="MMR012CMP098"/>
    <x v="1"/>
    <x v="1"/>
    <n v="359"/>
  </r>
  <r>
    <x v="1"/>
    <x v="9"/>
    <s v="MMR012CMP098"/>
    <x v="2"/>
    <x v="0"/>
    <n v="355"/>
  </r>
  <r>
    <x v="1"/>
    <x v="9"/>
    <s v="MMR012CMP098"/>
    <x v="2"/>
    <x v="1"/>
    <n v="282"/>
  </r>
  <r>
    <x v="1"/>
    <x v="9"/>
    <s v="MMR012CMP098"/>
    <x v="3"/>
    <x v="0"/>
    <n v="340"/>
  </r>
  <r>
    <x v="1"/>
    <x v="9"/>
    <s v="MMR012CMP098"/>
    <x v="3"/>
    <x v="1"/>
    <n v="453"/>
  </r>
  <r>
    <x v="1"/>
    <x v="9"/>
    <s v="MMR012CMP098"/>
    <x v="4"/>
    <x v="0"/>
    <n v="413"/>
  </r>
  <r>
    <x v="1"/>
    <x v="9"/>
    <s v="MMR012CMP098"/>
    <x v="4"/>
    <x v="1"/>
    <n v="348"/>
  </r>
  <r>
    <x v="1"/>
    <x v="9"/>
    <s v="MMR012CMP098"/>
    <x v="5"/>
    <x v="0"/>
    <n v="45"/>
  </r>
  <r>
    <x v="1"/>
    <x v="9"/>
    <s v="MMR012CMP098"/>
    <x v="5"/>
    <x v="1"/>
    <n v="39"/>
  </r>
  <r>
    <x v="1"/>
    <x v="10"/>
    <s v="MMR012CMP115"/>
    <x v="0"/>
    <x v="0"/>
    <n v="1563"/>
  </r>
  <r>
    <x v="1"/>
    <x v="10"/>
    <s v="MMR012CMP115"/>
    <x v="0"/>
    <x v="1"/>
    <n v="1446"/>
  </r>
  <r>
    <x v="1"/>
    <x v="10"/>
    <s v="MMR012CMP115"/>
    <x v="1"/>
    <x v="0"/>
    <n v="1417"/>
  </r>
  <r>
    <x v="1"/>
    <x v="10"/>
    <s v="MMR012CMP115"/>
    <x v="1"/>
    <x v="1"/>
    <n v="1219"/>
  </r>
  <r>
    <x v="1"/>
    <x v="10"/>
    <s v="MMR012CMP115"/>
    <x v="2"/>
    <x v="0"/>
    <n v="985"/>
  </r>
  <r>
    <x v="1"/>
    <x v="10"/>
    <s v="MMR012CMP115"/>
    <x v="2"/>
    <x v="1"/>
    <n v="909"/>
  </r>
  <r>
    <x v="1"/>
    <x v="10"/>
    <s v="MMR012CMP115"/>
    <x v="3"/>
    <x v="0"/>
    <n v="1061"/>
  </r>
  <r>
    <x v="1"/>
    <x v="10"/>
    <s v="MMR012CMP115"/>
    <x v="3"/>
    <x v="1"/>
    <n v="1517"/>
  </r>
  <r>
    <x v="1"/>
    <x v="10"/>
    <s v="MMR012CMP115"/>
    <x v="4"/>
    <x v="0"/>
    <n v="1463"/>
  </r>
  <r>
    <x v="1"/>
    <x v="10"/>
    <s v="MMR012CMP115"/>
    <x v="4"/>
    <x v="1"/>
    <n v="1580"/>
  </r>
  <r>
    <x v="1"/>
    <x v="10"/>
    <s v="MMR012CMP115"/>
    <x v="5"/>
    <x v="0"/>
    <n v="312"/>
  </r>
  <r>
    <x v="1"/>
    <x v="10"/>
    <s v="MMR012CMP115"/>
    <x v="5"/>
    <x v="1"/>
    <n v="322"/>
  </r>
  <r>
    <x v="1"/>
    <x v="11"/>
    <s v="MMR012CMP116"/>
    <x v="0"/>
    <x v="0"/>
    <n v="1075"/>
  </r>
  <r>
    <x v="1"/>
    <x v="11"/>
    <s v="MMR012CMP116"/>
    <x v="0"/>
    <x v="1"/>
    <n v="990"/>
  </r>
  <r>
    <x v="1"/>
    <x v="11"/>
    <s v="MMR012CMP116"/>
    <x v="1"/>
    <x v="0"/>
    <n v="1250"/>
  </r>
  <r>
    <x v="1"/>
    <x v="11"/>
    <s v="MMR012CMP116"/>
    <x v="1"/>
    <x v="1"/>
    <n v="1062"/>
  </r>
  <r>
    <x v="1"/>
    <x v="11"/>
    <s v="MMR012CMP116"/>
    <x v="2"/>
    <x v="0"/>
    <n v="890"/>
  </r>
  <r>
    <x v="1"/>
    <x v="11"/>
    <s v="MMR012CMP116"/>
    <x v="2"/>
    <x v="1"/>
    <n v="854"/>
  </r>
  <r>
    <x v="1"/>
    <x v="11"/>
    <s v="MMR012CMP116"/>
    <x v="3"/>
    <x v="0"/>
    <n v="634"/>
  </r>
  <r>
    <x v="1"/>
    <x v="11"/>
    <s v="MMR012CMP116"/>
    <x v="3"/>
    <x v="1"/>
    <n v="1024"/>
  </r>
  <r>
    <x v="1"/>
    <x v="11"/>
    <s v="MMR012CMP116"/>
    <x v="4"/>
    <x v="0"/>
    <n v="1433"/>
  </r>
  <r>
    <x v="1"/>
    <x v="11"/>
    <s v="MMR012CMP116"/>
    <x v="4"/>
    <x v="1"/>
    <n v="1726"/>
  </r>
  <r>
    <x v="1"/>
    <x v="11"/>
    <s v="MMR012CMP116"/>
    <x v="5"/>
    <x v="0"/>
    <n v="138"/>
  </r>
  <r>
    <x v="1"/>
    <x v="11"/>
    <s v="MMR012CMP116"/>
    <x v="5"/>
    <x v="1"/>
    <n v="158"/>
  </r>
  <r>
    <x v="1"/>
    <x v="12"/>
    <s v="MMR012CMP045"/>
    <x v="0"/>
    <x v="0"/>
    <n v="1305"/>
  </r>
  <r>
    <x v="1"/>
    <x v="12"/>
    <s v="MMR012CMP045"/>
    <x v="0"/>
    <x v="1"/>
    <n v="1363"/>
  </r>
  <r>
    <x v="1"/>
    <x v="12"/>
    <s v="MMR012CMP045"/>
    <x v="1"/>
    <x v="0"/>
    <n v="1444"/>
  </r>
  <r>
    <x v="1"/>
    <x v="12"/>
    <s v="MMR012CMP045"/>
    <x v="1"/>
    <x v="1"/>
    <n v="1341"/>
  </r>
  <r>
    <x v="1"/>
    <x v="12"/>
    <s v="MMR012CMP045"/>
    <x v="2"/>
    <x v="0"/>
    <n v="1047"/>
  </r>
  <r>
    <x v="1"/>
    <x v="12"/>
    <s v="MMR012CMP045"/>
    <x v="2"/>
    <x v="1"/>
    <n v="1059"/>
  </r>
  <r>
    <x v="1"/>
    <x v="12"/>
    <s v="MMR012CMP045"/>
    <x v="3"/>
    <x v="0"/>
    <n v="1076"/>
  </r>
  <r>
    <x v="1"/>
    <x v="12"/>
    <s v="MMR012CMP045"/>
    <x v="3"/>
    <x v="1"/>
    <n v="1535"/>
  </r>
  <r>
    <x v="1"/>
    <x v="12"/>
    <s v="MMR012CMP045"/>
    <x v="4"/>
    <x v="0"/>
    <n v="1526"/>
  </r>
  <r>
    <x v="1"/>
    <x v="12"/>
    <s v="MMR012CMP045"/>
    <x v="4"/>
    <x v="1"/>
    <n v="1545"/>
  </r>
  <r>
    <x v="1"/>
    <x v="12"/>
    <s v="MMR012CMP045"/>
    <x v="5"/>
    <x v="0"/>
    <n v="268"/>
  </r>
  <r>
    <x v="1"/>
    <x v="12"/>
    <s v="MMR012CMP045"/>
    <x v="5"/>
    <x v="1"/>
    <n v="234"/>
  </r>
  <r>
    <x v="0"/>
    <x v="13"/>
    <s v="MMR012CMP019"/>
    <x v="0"/>
    <x v="0"/>
    <n v="220"/>
  </r>
  <r>
    <x v="0"/>
    <x v="13"/>
    <s v="MMR012CMP019"/>
    <x v="0"/>
    <x v="1"/>
    <n v="191"/>
  </r>
  <r>
    <x v="0"/>
    <x v="13"/>
    <s v="MMR012CMP019"/>
    <x v="1"/>
    <x v="0"/>
    <n v="194"/>
  </r>
  <r>
    <x v="0"/>
    <x v="13"/>
    <s v="MMR012CMP019"/>
    <x v="1"/>
    <x v="1"/>
    <n v="169"/>
  </r>
  <r>
    <x v="0"/>
    <x v="13"/>
    <s v="MMR012CMP019"/>
    <x v="2"/>
    <x v="0"/>
    <n v="217"/>
  </r>
  <r>
    <x v="0"/>
    <x v="13"/>
    <s v="MMR012CMP019"/>
    <x v="2"/>
    <x v="1"/>
    <n v="196"/>
  </r>
  <r>
    <x v="0"/>
    <x v="13"/>
    <s v="MMR012CMP019"/>
    <x v="3"/>
    <x v="0"/>
    <n v="304"/>
  </r>
  <r>
    <x v="0"/>
    <x v="13"/>
    <s v="MMR012CMP019"/>
    <x v="3"/>
    <x v="1"/>
    <n v="325"/>
  </r>
  <r>
    <x v="0"/>
    <x v="13"/>
    <s v="MMR012CMP019"/>
    <x v="4"/>
    <x v="0"/>
    <n v="409"/>
  </r>
  <r>
    <x v="0"/>
    <x v="13"/>
    <s v="MMR012CMP019"/>
    <x v="4"/>
    <x v="1"/>
    <n v="443"/>
  </r>
  <r>
    <x v="0"/>
    <x v="13"/>
    <s v="MMR012CMP019"/>
    <x v="5"/>
    <x v="0"/>
    <n v="88"/>
  </r>
  <r>
    <x v="0"/>
    <x v="13"/>
    <s v="MMR012CMP019"/>
    <x v="5"/>
    <x v="1"/>
    <n v="89"/>
  </r>
  <r>
    <x v="2"/>
    <x v="14"/>
    <s v="MMR012CMP014"/>
    <x v="0"/>
    <x v="0"/>
    <n v="233"/>
  </r>
  <r>
    <x v="2"/>
    <x v="14"/>
    <s v="MMR012CMP014"/>
    <x v="0"/>
    <x v="1"/>
    <n v="236"/>
  </r>
  <r>
    <x v="2"/>
    <x v="14"/>
    <s v="MMR012CMP014"/>
    <x v="1"/>
    <x v="0"/>
    <n v="236"/>
  </r>
  <r>
    <x v="2"/>
    <x v="14"/>
    <s v="MMR012CMP014"/>
    <x v="1"/>
    <x v="1"/>
    <n v="241"/>
  </r>
  <r>
    <x v="2"/>
    <x v="14"/>
    <s v="MMR012CMP014"/>
    <x v="2"/>
    <x v="0"/>
    <n v="196"/>
  </r>
  <r>
    <x v="2"/>
    <x v="14"/>
    <s v="MMR012CMP014"/>
    <x v="2"/>
    <x v="1"/>
    <n v="199"/>
  </r>
  <r>
    <x v="2"/>
    <x v="14"/>
    <s v="MMR012CMP014"/>
    <x v="3"/>
    <x v="0"/>
    <n v="158"/>
  </r>
  <r>
    <x v="2"/>
    <x v="14"/>
    <s v="MMR012CMP014"/>
    <x v="3"/>
    <x v="1"/>
    <n v="246"/>
  </r>
  <r>
    <x v="2"/>
    <x v="14"/>
    <s v="MMR012CMP014"/>
    <x v="4"/>
    <x v="0"/>
    <n v="325"/>
  </r>
  <r>
    <x v="2"/>
    <x v="14"/>
    <s v="MMR012CMP014"/>
    <x v="4"/>
    <x v="1"/>
    <n v="427"/>
  </r>
  <r>
    <x v="2"/>
    <x v="14"/>
    <s v="MMR012CMP014"/>
    <x v="5"/>
    <x v="0"/>
    <n v="56"/>
  </r>
  <r>
    <x v="2"/>
    <x v="14"/>
    <s v="MMR012CMP014"/>
    <x v="5"/>
    <x v="1"/>
    <n v="53"/>
  </r>
  <r>
    <x v="1"/>
    <x v="15"/>
    <s v="MMR012CMP046"/>
    <x v="0"/>
    <x v="0"/>
    <n v="984"/>
  </r>
  <r>
    <x v="1"/>
    <x v="15"/>
    <s v="MMR012CMP046"/>
    <x v="0"/>
    <x v="1"/>
    <n v="1097"/>
  </r>
  <r>
    <x v="1"/>
    <x v="15"/>
    <s v="MMR012CMP046"/>
    <x v="1"/>
    <x v="0"/>
    <n v="1070"/>
  </r>
  <r>
    <x v="1"/>
    <x v="15"/>
    <s v="MMR012CMP046"/>
    <x v="1"/>
    <x v="1"/>
    <n v="1104"/>
  </r>
  <r>
    <x v="1"/>
    <x v="15"/>
    <s v="MMR012CMP046"/>
    <x v="2"/>
    <x v="0"/>
    <n v="1043"/>
  </r>
  <r>
    <x v="1"/>
    <x v="15"/>
    <s v="MMR012CMP046"/>
    <x v="2"/>
    <x v="1"/>
    <n v="1023"/>
  </r>
  <r>
    <x v="1"/>
    <x v="15"/>
    <s v="MMR012CMP046"/>
    <x v="3"/>
    <x v="0"/>
    <n v="1110"/>
  </r>
  <r>
    <x v="1"/>
    <x v="15"/>
    <s v="MMR012CMP046"/>
    <x v="3"/>
    <x v="1"/>
    <n v="1236"/>
  </r>
  <r>
    <x v="1"/>
    <x v="15"/>
    <s v="MMR012CMP046"/>
    <x v="4"/>
    <x v="0"/>
    <n v="1883"/>
  </r>
  <r>
    <x v="1"/>
    <x v="15"/>
    <s v="MMR012CMP046"/>
    <x v="4"/>
    <x v="1"/>
    <n v="1977"/>
  </r>
  <r>
    <x v="1"/>
    <x v="15"/>
    <s v="MMR012CMP046"/>
    <x v="5"/>
    <x v="0"/>
    <n v="260"/>
  </r>
  <r>
    <x v="1"/>
    <x v="15"/>
    <s v="MMR012CMP046"/>
    <x v="5"/>
    <x v="1"/>
    <n v="262"/>
  </r>
  <r>
    <x v="1"/>
    <x v="16"/>
    <s v="MMR012CMP048"/>
    <x v="0"/>
    <x v="0"/>
    <n v="497"/>
  </r>
  <r>
    <x v="1"/>
    <x v="16"/>
    <s v="MMR012CMP048"/>
    <x v="0"/>
    <x v="1"/>
    <n v="581"/>
  </r>
  <r>
    <x v="1"/>
    <x v="16"/>
    <s v="MMR012CMP048"/>
    <x v="1"/>
    <x v="0"/>
    <n v="569"/>
  </r>
  <r>
    <x v="1"/>
    <x v="16"/>
    <s v="MMR012CMP048"/>
    <x v="1"/>
    <x v="1"/>
    <n v="498"/>
  </r>
  <r>
    <x v="1"/>
    <x v="16"/>
    <s v="MMR012CMP048"/>
    <x v="2"/>
    <x v="0"/>
    <n v="459"/>
  </r>
  <r>
    <x v="1"/>
    <x v="16"/>
    <s v="MMR012CMP048"/>
    <x v="2"/>
    <x v="1"/>
    <n v="451"/>
  </r>
  <r>
    <x v="1"/>
    <x v="16"/>
    <s v="MMR012CMP048"/>
    <x v="3"/>
    <x v="0"/>
    <n v="471"/>
  </r>
  <r>
    <x v="1"/>
    <x v="16"/>
    <s v="MMR012CMP048"/>
    <x v="3"/>
    <x v="1"/>
    <n v="616"/>
  </r>
  <r>
    <x v="1"/>
    <x v="16"/>
    <s v="MMR012CMP048"/>
    <x v="4"/>
    <x v="0"/>
    <n v="694"/>
  </r>
  <r>
    <x v="1"/>
    <x v="16"/>
    <s v="MMR012CMP048"/>
    <x v="4"/>
    <x v="1"/>
    <n v="774"/>
  </r>
  <r>
    <x v="1"/>
    <x v="16"/>
    <s v="MMR012CMP048"/>
    <x v="5"/>
    <x v="0"/>
    <n v="114"/>
  </r>
  <r>
    <x v="1"/>
    <x v="16"/>
    <s v="MMR012CMP048"/>
    <x v="5"/>
    <x v="1"/>
    <n v="131"/>
  </r>
  <r>
    <x v="1"/>
    <x v="17"/>
    <s v="MMR012CMP039"/>
    <x v="0"/>
    <x v="0"/>
    <n v="240"/>
  </r>
  <r>
    <x v="1"/>
    <x v="17"/>
    <s v="MMR012CMP039"/>
    <x v="0"/>
    <x v="1"/>
    <n v="207"/>
  </r>
  <r>
    <x v="1"/>
    <x v="17"/>
    <s v="MMR012CMP039"/>
    <x v="1"/>
    <x v="0"/>
    <n v="196"/>
  </r>
  <r>
    <x v="1"/>
    <x v="17"/>
    <s v="MMR012CMP039"/>
    <x v="1"/>
    <x v="1"/>
    <n v="183"/>
  </r>
  <r>
    <x v="1"/>
    <x v="17"/>
    <s v="MMR012CMP039"/>
    <x v="2"/>
    <x v="0"/>
    <n v="142"/>
  </r>
  <r>
    <x v="1"/>
    <x v="17"/>
    <s v="MMR012CMP039"/>
    <x v="2"/>
    <x v="1"/>
    <n v="133"/>
  </r>
  <r>
    <x v="1"/>
    <x v="17"/>
    <s v="MMR012CMP039"/>
    <x v="3"/>
    <x v="0"/>
    <n v="142"/>
  </r>
  <r>
    <x v="1"/>
    <x v="17"/>
    <s v="MMR012CMP039"/>
    <x v="3"/>
    <x v="1"/>
    <n v="212"/>
  </r>
  <r>
    <x v="1"/>
    <x v="17"/>
    <s v="MMR012CMP039"/>
    <x v="4"/>
    <x v="0"/>
    <n v="334"/>
  </r>
  <r>
    <x v="1"/>
    <x v="17"/>
    <s v="MMR012CMP039"/>
    <x v="4"/>
    <x v="1"/>
    <n v="352"/>
  </r>
  <r>
    <x v="1"/>
    <x v="17"/>
    <s v="MMR012CMP039"/>
    <x v="5"/>
    <x v="0"/>
    <n v="51"/>
  </r>
  <r>
    <x v="1"/>
    <x v="17"/>
    <s v="MMR012CMP039"/>
    <x v="5"/>
    <x v="1"/>
    <n v="60"/>
  </r>
</pivotCacheRecords>
</file>

<file path=xl/pivotCache/pivotCacheRecords5.xml><?xml version="1.0" encoding="utf-8"?>
<pivotCacheRecords xmlns="http://schemas.openxmlformats.org/spreadsheetml/2006/main" xmlns:r="http://schemas.openxmlformats.org/officeDocument/2006/relationships" count="162">
  <r>
    <s v="Rakhine"/>
    <x v="0"/>
    <s v="Ah Nauk Ywe"/>
    <s v="MMR012CMP016"/>
    <x v="0"/>
    <n v="23"/>
    <n v="16"/>
    <n v="39"/>
    <s v="LWF"/>
    <d v="2018-03-31T00:00:00"/>
  </r>
  <r>
    <s v="Rakhine"/>
    <x v="0"/>
    <s v="Ah Nauk Ywe"/>
    <s v="MMR012CMP016"/>
    <x v="1"/>
    <n v="5"/>
    <n v="6"/>
    <n v="11"/>
    <s v="LWF"/>
    <d v="2018-03-31T00:00:00"/>
  </r>
  <r>
    <s v="Rakhine"/>
    <x v="0"/>
    <s v="Ah Nauk Ywe"/>
    <s v="MMR012CMP016"/>
    <x v="2"/>
    <n v="6"/>
    <n v="8"/>
    <n v="14"/>
    <s v="LWF"/>
    <d v="2018-03-31T00:00:00"/>
  </r>
  <r>
    <s v="Rakhine"/>
    <x v="0"/>
    <s v="Ah Nauk Ywe"/>
    <s v="MMR012CMP016"/>
    <x v="3"/>
    <n v="0"/>
    <n v="0"/>
    <n v="0"/>
    <s v="LWF"/>
    <d v="2018-03-31T00:00:00"/>
  </r>
  <r>
    <s v="Rakhine"/>
    <x v="0"/>
    <s v="Ah Nauk Ywe"/>
    <s v="MMR012CMP016"/>
    <x v="4"/>
    <n v="0"/>
    <n v="0"/>
    <n v="0"/>
    <s v="LWF"/>
    <d v="2018-03-31T00:00:00"/>
  </r>
  <r>
    <s v="Rakhine"/>
    <x v="0"/>
    <s v="Ah Nauk Ywe"/>
    <s v="MMR012CMP016"/>
    <x v="5"/>
    <n v="56"/>
    <n v="37"/>
    <n v="93"/>
    <s v="LWF"/>
    <d v="2018-03-31T00:00:00"/>
  </r>
  <r>
    <s v="Rakhine"/>
    <x v="0"/>
    <s v="Ah Nauk Ywe"/>
    <s v="MMR012CMP016"/>
    <x v="6"/>
    <n v="0"/>
    <n v="199"/>
    <n v="199"/>
    <s v="LWF"/>
    <d v="2018-03-31T00:00:00"/>
  </r>
  <r>
    <s v="Rakhine"/>
    <x v="0"/>
    <s v="Ah Nauk Ywe"/>
    <s v="MMR012CMP016"/>
    <x v="7"/>
    <m/>
    <n v="70"/>
    <n v="70"/>
    <s v="LWF"/>
    <d v="2018-03-31T00:00:00"/>
  </r>
  <r>
    <s v="Rakhine"/>
    <x v="0"/>
    <s v="Ah Nauk Ywe"/>
    <s v="MMR012CMP016"/>
    <x v="8"/>
    <m/>
    <n v="391"/>
    <n v="391"/>
    <s v="LWF"/>
    <d v="2018-03-31T00:00:00"/>
  </r>
  <r>
    <s v="Rakhine"/>
    <x v="1"/>
    <s v="Basare"/>
    <s v="MMR012CMP039"/>
    <x v="0"/>
    <n v="41"/>
    <n v="24"/>
    <n v="65"/>
    <s v="LWF"/>
    <d v="2018-03-31T00:00:00"/>
  </r>
  <r>
    <s v="Rakhine"/>
    <x v="1"/>
    <s v="Basare"/>
    <s v="MMR012CMP039"/>
    <x v="1"/>
    <n v="9"/>
    <n v="4"/>
    <n v="13"/>
    <s v="LWF"/>
    <d v="2018-03-31T00:00:00"/>
  </r>
  <r>
    <s v="Rakhine"/>
    <x v="1"/>
    <s v="Basare"/>
    <s v="MMR012CMP039"/>
    <x v="2"/>
    <n v="3"/>
    <n v="2"/>
    <n v="5"/>
    <s v="LWF"/>
    <d v="2018-03-31T00:00:00"/>
  </r>
  <r>
    <s v="Rakhine"/>
    <x v="1"/>
    <s v="Basare"/>
    <s v="MMR012CMP039"/>
    <x v="3"/>
    <n v="0"/>
    <n v="0"/>
    <n v="0"/>
    <s v="LWF"/>
    <d v="2018-03-31T00:00:00"/>
  </r>
  <r>
    <s v="Rakhine"/>
    <x v="1"/>
    <s v="Basare"/>
    <s v="MMR012CMP039"/>
    <x v="4"/>
    <n v="0"/>
    <n v="0"/>
    <n v="0"/>
    <s v="LWF"/>
    <d v="2018-03-31T00:00:00"/>
  </r>
  <r>
    <s v="Rakhine"/>
    <x v="1"/>
    <s v="Basare"/>
    <s v="MMR012CMP039"/>
    <x v="5"/>
    <n v="15"/>
    <n v="59"/>
    <n v="74"/>
    <s v="LWF"/>
    <d v="2018-03-31T00:00:00"/>
  </r>
  <r>
    <s v="Rakhine"/>
    <x v="1"/>
    <s v="Basare"/>
    <s v="MMR012CMP039"/>
    <x v="6"/>
    <n v="2"/>
    <n v="44"/>
    <n v="46"/>
    <s v="LWF"/>
    <d v="2018-03-31T00:00:00"/>
  </r>
  <r>
    <s v="Rakhine"/>
    <x v="1"/>
    <s v="Basare"/>
    <s v="MMR012CMP039"/>
    <x v="7"/>
    <m/>
    <n v="12"/>
    <n v="12"/>
    <s v="LWF"/>
    <d v="2018-03-31T00:00:00"/>
  </r>
  <r>
    <s v="Rakhine"/>
    <x v="1"/>
    <s v="Basare"/>
    <s v="MMR012CMP039"/>
    <x v="8"/>
    <m/>
    <n v="85"/>
    <n v="85"/>
    <s v="LWF"/>
    <d v="2018-03-31T00:00:00"/>
  </r>
  <r>
    <s v="Rakhine"/>
    <x v="1"/>
    <s v="Baw Du Pha 1"/>
    <s v="MMR012CMP113"/>
    <x v="0"/>
    <n v="38"/>
    <n v="61"/>
    <n v="99"/>
    <s v="DRC"/>
    <d v="2018-03-31T00:00:00"/>
  </r>
  <r>
    <s v="Rakhine"/>
    <x v="1"/>
    <s v="Baw Du Pha 1"/>
    <s v="MMR012CMP113"/>
    <x v="1"/>
    <m/>
    <m/>
    <n v="0"/>
    <s v="DRC"/>
    <m/>
  </r>
  <r>
    <s v="Rakhine"/>
    <x v="1"/>
    <s v="Baw Du Pha 1"/>
    <s v="MMR012CMP113"/>
    <x v="2"/>
    <n v="7"/>
    <m/>
    <n v="7"/>
    <s v="DRC"/>
    <d v="2018-03-31T00:00:00"/>
  </r>
  <r>
    <s v="Rakhine"/>
    <x v="1"/>
    <s v="Baw Du Pha 1"/>
    <s v="MMR012CMP113"/>
    <x v="3"/>
    <m/>
    <m/>
    <n v="0"/>
    <s v="DRC"/>
    <m/>
  </r>
  <r>
    <s v="Rakhine"/>
    <x v="1"/>
    <s v="Baw Du Pha 1"/>
    <s v="MMR012CMP113"/>
    <x v="4"/>
    <m/>
    <m/>
    <n v="0"/>
    <s v="DRC"/>
    <m/>
  </r>
  <r>
    <s v="Rakhine"/>
    <x v="1"/>
    <s v="Baw Du Pha 1"/>
    <s v="MMR012CMP113"/>
    <x v="5"/>
    <n v="79"/>
    <m/>
    <n v="79"/>
    <s v="DRC"/>
    <d v="2018-03-31T00:00:00"/>
  </r>
  <r>
    <s v="Rakhine"/>
    <x v="1"/>
    <s v="Baw Du Pha 1"/>
    <s v="MMR012CMP113"/>
    <x v="6"/>
    <m/>
    <m/>
    <n v="0"/>
    <s v="DRC"/>
    <m/>
  </r>
  <r>
    <s v="Rakhine"/>
    <x v="1"/>
    <s v="Baw Du Pha 1"/>
    <s v="MMR012CMP113"/>
    <x v="7"/>
    <m/>
    <n v="76"/>
    <n v="76"/>
    <s v="DRC"/>
    <m/>
  </r>
  <r>
    <s v="Rakhine"/>
    <x v="1"/>
    <s v="Baw Du Pha 1"/>
    <s v="MMR012CMP113"/>
    <x v="8"/>
    <m/>
    <n v="254"/>
    <n v="254"/>
    <s v="DRC"/>
    <m/>
  </r>
  <r>
    <s v="Rakhine"/>
    <x v="1"/>
    <s v="Baw Du Pha 2"/>
    <s v="MMR012CMP114"/>
    <x v="0"/>
    <n v="63"/>
    <n v="67"/>
    <n v="130"/>
    <s v="DRC"/>
    <d v="2018-03-31T00:00:00"/>
  </r>
  <r>
    <s v="Rakhine"/>
    <x v="1"/>
    <s v="Baw Du Pha 2"/>
    <s v="MMR012CMP114"/>
    <x v="1"/>
    <m/>
    <m/>
    <n v="0"/>
    <s v="DRC"/>
    <m/>
  </r>
  <r>
    <s v="Rakhine"/>
    <x v="1"/>
    <s v="Baw Du Pha 2"/>
    <s v="MMR012CMP114"/>
    <x v="2"/>
    <n v="2"/>
    <m/>
    <n v="2"/>
    <s v="DRC"/>
    <d v="2018-03-31T00:00:00"/>
  </r>
  <r>
    <s v="Rakhine"/>
    <x v="1"/>
    <s v="Baw Du Pha 2"/>
    <s v="MMR012CMP114"/>
    <x v="3"/>
    <m/>
    <m/>
    <n v="0"/>
    <s v="DRC"/>
    <m/>
  </r>
  <r>
    <s v="Rakhine"/>
    <x v="1"/>
    <s v="Baw Du Pha 2"/>
    <s v="MMR012CMP114"/>
    <x v="4"/>
    <m/>
    <m/>
    <n v="0"/>
    <s v="DRC"/>
    <m/>
  </r>
  <r>
    <s v="Rakhine"/>
    <x v="1"/>
    <s v="Baw Du Pha 2"/>
    <s v="MMR012CMP114"/>
    <x v="5"/>
    <n v="104"/>
    <m/>
    <n v="104"/>
    <s v="DRC"/>
    <d v="2018-03-31T00:00:00"/>
  </r>
  <r>
    <s v="Rakhine"/>
    <x v="1"/>
    <s v="Baw Du Pha 2"/>
    <s v="MMR012CMP114"/>
    <x v="6"/>
    <m/>
    <m/>
    <n v="0"/>
    <s v="DRC"/>
    <m/>
  </r>
  <r>
    <s v="Rakhine"/>
    <x v="1"/>
    <s v="Baw Du Pha 2"/>
    <s v="MMR012CMP114"/>
    <x v="7"/>
    <m/>
    <n v="102"/>
    <n v="102"/>
    <s v="DRC"/>
    <d v="2018-03-31T00:00:00"/>
  </r>
  <r>
    <s v="Rakhine"/>
    <x v="1"/>
    <s v="Baw Du Pha 2"/>
    <s v="MMR012CMP114"/>
    <x v="8"/>
    <m/>
    <n v="271"/>
    <n v="271"/>
    <s v="DRC"/>
    <d v="2018-03-31T00:00:00"/>
  </r>
  <r>
    <s v="Rakhine"/>
    <x v="1"/>
    <s v="Dar Pai"/>
    <s v="MMR012CMP041"/>
    <x v="0"/>
    <n v="100"/>
    <n v="135"/>
    <n v="235"/>
    <s v="DRC"/>
    <d v="2018-03-31T00:00:00"/>
  </r>
  <r>
    <s v="Rakhine"/>
    <x v="1"/>
    <s v="Dar Pai"/>
    <s v="MMR012CMP041"/>
    <x v="1"/>
    <m/>
    <m/>
    <n v="0"/>
    <s v="DRC"/>
    <m/>
  </r>
  <r>
    <s v="Rakhine"/>
    <x v="1"/>
    <s v="Dar Pai"/>
    <s v="MMR012CMP041"/>
    <x v="2"/>
    <n v="62"/>
    <m/>
    <n v="62"/>
    <s v="DRC"/>
    <d v="2018-03-31T00:00:00"/>
  </r>
  <r>
    <s v="Rakhine"/>
    <x v="1"/>
    <s v="Dar Pai"/>
    <s v="MMR012CMP041"/>
    <x v="3"/>
    <m/>
    <m/>
    <n v="0"/>
    <s v="DRC"/>
    <m/>
  </r>
  <r>
    <s v="Rakhine"/>
    <x v="1"/>
    <s v="Dar Pai"/>
    <s v="MMR012CMP041"/>
    <x v="4"/>
    <m/>
    <m/>
    <n v="0"/>
    <s v="DRC"/>
    <m/>
  </r>
  <r>
    <s v="Rakhine"/>
    <x v="1"/>
    <s v="Dar Pai"/>
    <s v="MMR012CMP041"/>
    <x v="5"/>
    <n v="214"/>
    <m/>
    <n v="214"/>
    <s v="DRC"/>
    <d v="2018-03-31T00:00:00"/>
  </r>
  <r>
    <s v="Rakhine"/>
    <x v="1"/>
    <s v="Dar Pai"/>
    <s v="MMR012CMP041"/>
    <x v="6"/>
    <m/>
    <m/>
    <n v="0"/>
    <s v="DRC"/>
    <m/>
  </r>
  <r>
    <s v="Rakhine"/>
    <x v="1"/>
    <s v="Dar Pai"/>
    <s v="MMR012CMP041"/>
    <x v="7"/>
    <m/>
    <n v="142"/>
    <n v="142"/>
    <s v="DRC"/>
    <d v="2018-03-31T00:00:00"/>
  </r>
  <r>
    <s v="Rakhine"/>
    <x v="1"/>
    <s v="Dar Pai"/>
    <s v="MMR012CMP041"/>
    <x v="8"/>
    <m/>
    <n v="442"/>
    <n v="442"/>
    <s v="DRC"/>
    <d v="2018-03-31T00:00:00"/>
  </r>
  <r>
    <s v="Rakhine"/>
    <x v="1"/>
    <s v="Khaung Doke Khar "/>
    <s v="MMR012CMP042"/>
    <x v="0"/>
    <n v="37"/>
    <n v="48"/>
    <n v="85"/>
    <s v="LWF"/>
    <d v="2018-03-31T00:00:00"/>
  </r>
  <r>
    <s v="Rakhine"/>
    <x v="1"/>
    <s v="Khaung Doke Khar "/>
    <s v="MMR012CMP042"/>
    <x v="1"/>
    <n v="6"/>
    <n v="10"/>
    <n v="16"/>
    <s v="LWF"/>
    <d v="2018-03-31T00:00:00"/>
  </r>
  <r>
    <s v="Rakhine"/>
    <x v="1"/>
    <s v="Khaung Doke Khar "/>
    <s v="MMR012CMP042"/>
    <x v="2"/>
    <n v="0"/>
    <n v="0"/>
    <n v="0"/>
    <s v="LWF"/>
    <d v="2018-03-31T00:00:00"/>
  </r>
  <r>
    <s v="Rakhine"/>
    <x v="1"/>
    <s v="Khaung Doke Khar "/>
    <s v="MMR012CMP042"/>
    <x v="3"/>
    <n v="0"/>
    <n v="0"/>
    <n v="0"/>
    <s v="LWF"/>
    <d v="2018-03-31T00:00:00"/>
  </r>
  <r>
    <s v="Rakhine"/>
    <x v="1"/>
    <s v="Khaung Doke Khar "/>
    <s v="MMR012CMP042"/>
    <x v="4"/>
    <n v="0"/>
    <n v="0"/>
    <n v="0"/>
    <s v="LWF"/>
    <d v="2018-03-31T00:00:00"/>
  </r>
  <r>
    <s v="Rakhine"/>
    <x v="1"/>
    <s v="Khaung Doke Khar "/>
    <s v="MMR012CMP042"/>
    <x v="5"/>
    <n v="43"/>
    <n v="54"/>
    <n v="97"/>
    <s v="LWF"/>
    <d v="2018-03-31T00:00:00"/>
  </r>
  <r>
    <s v="Rakhine"/>
    <x v="1"/>
    <s v="Khaung Doke Khar "/>
    <s v="MMR012CMP042"/>
    <x v="6"/>
    <n v="1"/>
    <n v="127"/>
    <n v="128"/>
    <s v="LWF"/>
    <d v="2018-03-31T00:00:00"/>
  </r>
  <r>
    <s v="Rakhine"/>
    <x v="1"/>
    <s v="Khaung Doke Khar "/>
    <s v="MMR012CMP042"/>
    <x v="7"/>
    <m/>
    <n v="29"/>
    <n v="29"/>
    <s v="LWF"/>
    <d v="2018-03-31T00:00:00"/>
  </r>
  <r>
    <s v="Rakhine"/>
    <x v="1"/>
    <s v="Khaung Doke Khar "/>
    <s v="MMR012CMP042"/>
    <x v="8"/>
    <m/>
    <n v="270"/>
    <n v="270"/>
    <s v="LWF"/>
    <d v="2018-03-31T00:00:00"/>
  </r>
  <r>
    <s v="Rakhine"/>
    <x v="0"/>
    <s v="Kyein Ni Pyin"/>
    <s v="MMR012CMP018"/>
    <x v="0"/>
    <m/>
    <m/>
    <n v="0"/>
    <s v="DRC"/>
    <m/>
  </r>
  <r>
    <s v="Rakhine"/>
    <x v="0"/>
    <s v="Kyein Ni Pyin"/>
    <s v="MMR012CMP018"/>
    <x v="1"/>
    <m/>
    <m/>
    <n v="0"/>
    <s v="DRC"/>
    <m/>
  </r>
  <r>
    <s v="Rakhine"/>
    <x v="0"/>
    <s v="Kyein Ni Pyin"/>
    <s v="MMR012CMP018"/>
    <x v="2"/>
    <m/>
    <n v="28"/>
    <n v="28"/>
    <s v="DRC"/>
    <d v="2018-03-31T00:00:00"/>
  </r>
  <r>
    <s v="Rakhine"/>
    <x v="0"/>
    <s v="Kyein Ni Pyin"/>
    <s v="MMR012CMP018"/>
    <x v="3"/>
    <m/>
    <m/>
    <n v="0"/>
    <s v="DRC"/>
    <m/>
  </r>
  <r>
    <s v="Rakhine"/>
    <x v="0"/>
    <s v="Kyein Ni Pyin"/>
    <s v="MMR012CMP018"/>
    <x v="4"/>
    <m/>
    <m/>
    <n v="0"/>
    <s v="DRC"/>
    <m/>
  </r>
  <r>
    <s v="Rakhine"/>
    <x v="0"/>
    <s v="Kyein Ni Pyin"/>
    <s v="MMR012CMP018"/>
    <x v="5"/>
    <n v="25"/>
    <m/>
    <n v="25"/>
    <s v="DRC"/>
    <d v="2018-03-31T00:00:00"/>
  </r>
  <r>
    <s v="Rakhine"/>
    <x v="0"/>
    <s v="Kyein Ni Pyin"/>
    <s v="MMR012CMP018"/>
    <x v="6"/>
    <m/>
    <m/>
    <n v="0"/>
    <s v="DRC"/>
    <m/>
  </r>
  <r>
    <s v="Rakhine"/>
    <x v="0"/>
    <s v="Kyein Ni Pyin"/>
    <s v="MMR012CMP018"/>
    <x v="7"/>
    <m/>
    <n v="174"/>
    <n v="174"/>
    <s v="DRC"/>
    <d v="2018-03-31T00:00:00"/>
  </r>
  <r>
    <s v="Rakhine"/>
    <x v="0"/>
    <s v="Kyein Ni Pyin"/>
    <s v="MMR012CMP018"/>
    <x v="8"/>
    <m/>
    <n v="458"/>
    <n v="458"/>
    <s v="DRC"/>
    <d v="2018-03-31T00:00:00"/>
  </r>
  <r>
    <s v="Rakhine"/>
    <x v="1"/>
    <s v="Maw Ti Ngar"/>
    <s v="MMR012CMP092"/>
    <x v="0"/>
    <n v="10"/>
    <n v="10"/>
    <n v="20"/>
    <s v="NRC"/>
    <d v="2018-03-31T00:00:00"/>
  </r>
  <r>
    <s v="Rakhine"/>
    <x v="1"/>
    <s v="Maw Ti Ngar"/>
    <s v="MMR012CMP092"/>
    <x v="1"/>
    <n v="6"/>
    <n v="3"/>
    <n v="9"/>
    <s v="NRC"/>
    <d v="2018-03-31T00:00:00"/>
  </r>
  <r>
    <s v="Rakhine"/>
    <x v="1"/>
    <s v="Maw Ti Ngar"/>
    <s v="MMR012CMP092"/>
    <x v="2"/>
    <n v="54"/>
    <n v="81"/>
    <n v="135"/>
    <s v="NRC"/>
    <d v="2018-03-31T00:00:00"/>
  </r>
  <r>
    <s v="Rakhine"/>
    <x v="1"/>
    <s v="Maw Ti Ngar"/>
    <s v="MMR012CMP092"/>
    <x v="3"/>
    <n v="3"/>
    <n v="6"/>
    <n v="9"/>
    <s v="NRC"/>
    <d v="2018-03-31T00:00:00"/>
  </r>
  <r>
    <s v="Rakhine"/>
    <x v="1"/>
    <s v="Maw Ti Ngar"/>
    <s v="MMR012CMP092"/>
    <x v="4"/>
    <n v="0"/>
    <n v="0"/>
    <n v="0"/>
    <s v="NRC"/>
    <d v="2018-03-31T00:00:00"/>
  </r>
  <r>
    <s v="Rakhine"/>
    <x v="1"/>
    <s v="Maw Ti Ngar"/>
    <s v="MMR012CMP092"/>
    <x v="5"/>
    <n v="21"/>
    <n v="26"/>
    <n v="47"/>
    <s v="NRC"/>
    <d v="2018-03-31T00:00:00"/>
  </r>
  <r>
    <s v="Rakhine"/>
    <x v="1"/>
    <s v="Maw Ti Ngar"/>
    <s v="MMR012CMP092"/>
    <x v="6"/>
    <n v="4"/>
    <n v="79"/>
    <n v="83"/>
    <s v="NRC"/>
    <d v="2018-03-31T00:00:00"/>
  </r>
  <r>
    <s v="Rakhine"/>
    <x v="1"/>
    <s v="Maw Ti Ngar"/>
    <s v="MMR012CMP092"/>
    <x v="7"/>
    <m/>
    <n v="50"/>
    <n v="50"/>
    <s v="NRC"/>
    <d v="2018-03-31T00:00:00"/>
  </r>
  <r>
    <s v="Rakhine"/>
    <x v="1"/>
    <s v="Maw Ti Ngar"/>
    <s v="MMR012CMP092"/>
    <x v="8"/>
    <m/>
    <n v="165"/>
    <n v="165"/>
    <s v="NRC"/>
    <d v="2018-03-31T00:00:00"/>
  </r>
  <r>
    <s v="Rakhine"/>
    <x v="0"/>
    <s v="Nget Chaung 2"/>
    <s v="MMR012CMP017"/>
    <x v="0"/>
    <n v="15"/>
    <n v="23"/>
    <n v="38"/>
    <s v="LWF"/>
    <d v="2018-03-31T00:00:00"/>
  </r>
  <r>
    <s v="Rakhine"/>
    <x v="0"/>
    <s v="Nget Chaung 2"/>
    <s v="MMR012CMP017"/>
    <x v="1"/>
    <n v="3"/>
    <n v="4"/>
    <n v="7"/>
    <s v="LWF"/>
    <d v="2018-03-31T00:00:00"/>
  </r>
  <r>
    <s v="Rakhine"/>
    <x v="0"/>
    <s v="Nget Chaung 2"/>
    <s v="MMR012CMP017"/>
    <x v="2"/>
    <n v="0"/>
    <n v="0"/>
    <n v="0"/>
    <s v="LWF"/>
    <d v="2018-03-31T00:00:00"/>
  </r>
  <r>
    <s v="Rakhine"/>
    <x v="0"/>
    <s v="Nget Chaung 2"/>
    <s v="MMR012CMP017"/>
    <x v="3"/>
    <n v="3"/>
    <n v="5"/>
    <n v="8"/>
    <s v="LWF"/>
    <d v="2018-03-31T00:00:00"/>
  </r>
  <r>
    <s v="Rakhine"/>
    <x v="0"/>
    <s v="Nget Chaung 2"/>
    <s v="MMR012CMP017"/>
    <x v="4"/>
    <n v="6"/>
    <n v="8"/>
    <n v="14"/>
    <s v="LWF"/>
    <d v="2018-03-31T00:00:00"/>
  </r>
  <r>
    <s v="Rakhine"/>
    <x v="0"/>
    <s v="Nget Chaung 2"/>
    <s v="MMR012CMP017"/>
    <x v="5"/>
    <n v="27"/>
    <n v="21"/>
    <n v="48"/>
    <s v="LWF"/>
    <d v="2018-03-31T00:00:00"/>
  </r>
  <r>
    <s v="Rakhine"/>
    <x v="0"/>
    <s v="Nget Chaung 2"/>
    <s v="MMR012CMP017"/>
    <x v="6"/>
    <n v="6"/>
    <n v="110"/>
    <n v="116"/>
    <s v="LWF"/>
    <d v="2018-03-31T00:00:00"/>
  </r>
  <r>
    <s v="Rakhine"/>
    <x v="0"/>
    <s v="Nget Chaung 2"/>
    <s v="MMR012CMP017"/>
    <x v="7"/>
    <m/>
    <n v="63"/>
    <n v="63"/>
    <s v="LWF"/>
    <d v="2018-03-31T00:00:00"/>
  </r>
  <r>
    <s v="Rakhine"/>
    <x v="0"/>
    <s v="Nget Chaung 2"/>
    <s v="MMR012CMP017"/>
    <x v="8"/>
    <m/>
    <n v="247"/>
    <n v="247"/>
    <s v="LWF"/>
    <d v="2018-03-31T00:00:00"/>
  </r>
  <r>
    <s v="Rakhine"/>
    <x v="1"/>
    <s v="Ohn Taw Chay"/>
    <s v="MMR012CMP098"/>
    <x v="0"/>
    <n v="36"/>
    <n v="41"/>
    <n v="77"/>
    <s v="DRC"/>
    <d v="2018-03-31T00:00:00"/>
  </r>
  <r>
    <s v="Rakhine"/>
    <x v="1"/>
    <s v="Ohn Taw Chay"/>
    <s v="MMR012CMP098"/>
    <x v="1"/>
    <m/>
    <m/>
    <n v="0"/>
    <s v="DRC"/>
    <m/>
  </r>
  <r>
    <s v="Rakhine"/>
    <x v="1"/>
    <s v="Ohn Taw Chay"/>
    <s v="MMR012CMP098"/>
    <x v="2"/>
    <m/>
    <m/>
    <n v="0"/>
    <s v="DRC"/>
    <m/>
  </r>
  <r>
    <s v="Rakhine"/>
    <x v="1"/>
    <s v="Ohn Taw Chay"/>
    <s v="MMR012CMP098"/>
    <x v="3"/>
    <m/>
    <m/>
    <n v="0"/>
    <s v="DRC"/>
    <m/>
  </r>
  <r>
    <s v="Rakhine"/>
    <x v="1"/>
    <s v="Ohn Taw Chay"/>
    <s v="MMR012CMP098"/>
    <x v="4"/>
    <m/>
    <m/>
    <n v="0"/>
    <s v="DRC"/>
    <m/>
  </r>
  <r>
    <s v="Rakhine"/>
    <x v="1"/>
    <s v="Ohn Taw Chay"/>
    <s v="MMR012CMP098"/>
    <x v="5"/>
    <n v="45"/>
    <m/>
    <n v="45"/>
    <s v="DRC"/>
    <d v="2018-03-31T00:00:00"/>
  </r>
  <r>
    <s v="Rakhine"/>
    <x v="1"/>
    <s v="Ohn Taw Chay"/>
    <s v="MMR012CMP098"/>
    <x v="6"/>
    <m/>
    <m/>
    <n v="0"/>
    <s v="DRC"/>
    <m/>
  </r>
  <r>
    <s v="Rakhine"/>
    <x v="1"/>
    <s v="Ohn Taw Chay"/>
    <s v="MMR012CMP098"/>
    <x v="7"/>
    <m/>
    <n v="70"/>
    <n v="70"/>
    <s v="DRC"/>
    <d v="2018-03-31T00:00:00"/>
  </r>
  <r>
    <s v="Rakhine"/>
    <x v="1"/>
    <s v="Ohn Taw Chay"/>
    <s v="MMR012CMP098"/>
    <x v="8"/>
    <m/>
    <n v="99"/>
    <n v="99"/>
    <s v="DRC"/>
    <d v="2018-03-31T00:00:00"/>
  </r>
  <r>
    <s v="Rakhine"/>
    <x v="1"/>
    <s v="Ohn Taw Gyi (North)"/>
    <s v="MMR012CMP115"/>
    <x v="0"/>
    <n v="127"/>
    <n v="146"/>
    <n v="273"/>
    <s v="DRC"/>
    <d v="2018-03-31T00:00:00"/>
  </r>
  <r>
    <s v="Rakhine"/>
    <x v="1"/>
    <s v="Ohn Taw Gyi (North)"/>
    <s v="MMR012CMP115"/>
    <x v="1"/>
    <m/>
    <m/>
    <n v="0"/>
    <s v="DRC"/>
    <m/>
  </r>
  <r>
    <s v="Rakhine"/>
    <x v="1"/>
    <s v="Ohn Taw Gyi (North)"/>
    <s v="MMR012CMP115"/>
    <x v="2"/>
    <n v="146"/>
    <m/>
    <n v="146"/>
    <s v="DRC"/>
    <d v="2018-03-31T00:00:00"/>
  </r>
  <r>
    <s v="Rakhine"/>
    <x v="1"/>
    <s v="Ohn Taw Gyi (North)"/>
    <s v="MMR012CMP115"/>
    <x v="3"/>
    <m/>
    <m/>
    <n v="0"/>
    <s v="DRC"/>
    <m/>
  </r>
  <r>
    <s v="Rakhine"/>
    <x v="1"/>
    <s v="Ohn Taw Gyi (North)"/>
    <s v="MMR012CMP115"/>
    <x v="4"/>
    <m/>
    <m/>
    <n v="0"/>
    <s v="DRC"/>
    <m/>
  </r>
  <r>
    <s v="Rakhine"/>
    <x v="1"/>
    <s v="Ohn Taw Gyi (North)"/>
    <s v="MMR012CMP115"/>
    <x v="5"/>
    <n v="180"/>
    <m/>
    <n v="180"/>
    <s v="DRC"/>
    <d v="2018-03-31T00:00:00"/>
  </r>
  <r>
    <s v="Rakhine"/>
    <x v="1"/>
    <s v="Ohn Taw Gyi (North)"/>
    <s v="MMR012CMP115"/>
    <x v="6"/>
    <m/>
    <m/>
    <n v="0"/>
    <s v="DRC"/>
    <m/>
  </r>
  <r>
    <s v="Rakhine"/>
    <x v="1"/>
    <s v="Ohn Taw Gyi (North)"/>
    <s v="MMR012CMP115"/>
    <x v="7"/>
    <m/>
    <n v="195"/>
    <n v="195"/>
    <s v="DRC"/>
    <d v="2018-03-31T00:00:00"/>
  </r>
  <r>
    <s v="Rakhine"/>
    <x v="1"/>
    <s v="Ohn Taw Gyi (North)"/>
    <s v="MMR012CMP115"/>
    <x v="8"/>
    <m/>
    <n v="892"/>
    <n v="892"/>
    <s v="DRC"/>
    <d v="2018-03-31T00:00:00"/>
  </r>
  <r>
    <s v="Rakhine"/>
    <x v="1"/>
    <s v="Ohn Taw Gyi (South)"/>
    <s v="MMR012CMP116"/>
    <x v="0"/>
    <n v="58"/>
    <s v="37"/>
    <n v="95"/>
    <s v="LWF"/>
    <d v="2018-03-31T00:00:00"/>
  </r>
  <r>
    <s v="Rakhine"/>
    <x v="1"/>
    <s v="Ohn Taw Gyi (South)"/>
    <s v="MMR012CMP116"/>
    <x v="1"/>
    <n v="23"/>
    <n v="20"/>
    <n v="43"/>
    <s v="LWF"/>
    <d v="2018-03-31T00:00:00"/>
  </r>
  <r>
    <s v="Rakhine"/>
    <x v="1"/>
    <s v="Ohn Taw Gyi (South)"/>
    <s v="MMR012CMP116"/>
    <x v="2"/>
    <n v="0"/>
    <n v="0"/>
    <n v="0"/>
    <s v="LWF"/>
    <d v="2018-03-31T00:00:00"/>
  </r>
  <r>
    <s v="Rakhine"/>
    <x v="1"/>
    <s v="Ohn Taw Gyi (South)"/>
    <s v="MMR012CMP116"/>
    <x v="3"/>
    <n v="7"/>
    <n v="4"/>
    <n v="11"/>
    <s v="LWF"/>
    <d v="2018-03-31T00:00:00"/>
  </r>
  <r>
    <s v="Rakhine"/>
    <x v="1"/>
    <s v="Ohn Taw Gyi (South)"/>
    <s v="MMR012CMP116"/>
    <x v="4"/>
    <n v="31"/>
    <n v="9"/>
    <n v="40"/>
    <s v="LWF"/>
    <d v="2018-03-31T00:00:00"/>
  </r>
  <r>
    <s v="Rakhine"/>
    <x v="1"/>
    <s v="Ohn Taw Gyi (South)"/>
    <s v="MMR012CMP116"/>
    <x v="5"/>
    <n v="78"/>
    <n v="65"/>
    <n v="143"/>
    <s v="LWF"/>
    <d v="2018-03-31T00:00:00"/>
  </r>
  <r>
    <s v="Rakhine"/>
    <x v="1"/>
    <s v="Ohn Taw Gyi (South)"/>
    <s v="MMR012CMP116"/>
    <x v="6"/>
    <n v="17"/>
    <n v="151"/>
    <n v="168"/>
    <s v="LWF"/>
    <d v="2018-03-31T00:00:00"/>
  </r>
  <r>
    <s v="Rakhine"/>
    <x v="1"/>
    <s v="Ohn Taw Gyi (South)"/>
    <s v="MMR012CMP116"/>
    <x v="7"/>
    <m/>
    <n v="235"/>
    <n v="235"/>
    <s v="LWF"/>
    <d v="2018-03-31T00:00:00"/>
  </r>
  <r>
    <s v="Rakhine"/>
    <x v="1"/>
    <s v="Ohn Taw Gyi (South)"/>
    <s v="MMR012CMP116"/>
    <x v="8"/>
    <m/>
    <n v="497"/>
    <n v="497"/>
    <s v="LWF"/>
    <d v="2018-03-31T00:00:00"/>
  </r>
  <r>
    <s v="Rakhine"/>
    <x v="1"/>
    <s v="Say Tha Mar Gyi"/>
    <s v="MMR012CMP045"/>
    <x v="0"/>
    <n v="129"/>
    <n v="156"/>
    <n v="285"/>
    <s v="DRC"/>
    <d v="2018-03-31T00:00:00"/>
  </r>
  <r>
    <s v="Rakhine"/>
    <x v="1"/>
    <s v="Say Tha Mar Gyi"/>
    <s v="MMR012CMP045"/>
    <x v="1"/>
    <m/>
    <m/>
    <n v="0"/>
    <s v="DRC"/>
    <m/>
  </r>
  <r>
    <s v="Rakhine"/>
    <x v="1"/>
    <s v="Say Tha Mar Gyi"/>
    <s v="MMR012CMP045"/>
    <x v="2"/>
    <n v="62"/>
    <m/>
    <n v="62"/>
    <s v="DRC"/>
    <d v="2018-03-31T00:00:00"/>
  </r>
  <r>
    <s v="Rakhine"/>
    <x v="1"/>
    <s v="Say Tha Mar Gyi"/>
    <s v="MMR012CMP045"/>
    <x v="3"/>
    <m/>
    <m/>
    <n v="0"/>
    <s v="DRC"/>
    <m/>
  </r>
  <r>
    <s v="Rakhine"/>
    <x v="1"/>
    <s v="Say Tha Mar Gyi"/>
    <s v="MMR012CMP045"/>
    <x v="4"/>
    <m/>
    <m/>
    <n v="0"/>
    <s v="DRC"/>
    <m/>
  </r>
  <r>
    <s v="Rakhine"/>
    <x v="1"/>
    <s v="Say Tha Mar Gyi"/>
    <s v="MMR012CMP045"/>
    <x v="5"/>
    <n v="201"/>
    <m/>
    <n v="201"/>
    <s v="DRC"/>
    <m/>
  </r>
  <r>
    <s v="Rakhine"/>
    <x v="1"/>
    <s v="Say Tha Mar Gyi"/>
    <s v="MMR012CMP045"/>
    <x v="6"/>
    <m/>
    <m/>
    <n v="0"/>
    <s v="DRC"/>
    <m/>
  </r>
  <r>
    <s v="Rakhine"/>
    <x v="1"/>
    <s v="Say Tha Mar Gyi"/>
    <s v="MMR012CMP045"/>
    <x v="7"/>
    <m/>
    <n v="245"/>
    <n v="245"/>
    <s v="DRC"/>
    <d v="2018-03-31T00:00:00"/>
  </r>
  <r>
    <s v="Rakhine"/>
    <x v="1"/>
    <s v="Say Tha Mar Gyi"/>
    <s v="MMR012CMP045"/>
    <x v="8"/>
    <m/>
    <n v="703"/>
    <n v="703"/>
    <s v="DRC"/>
    <d v="2018-03-31T00:00:00"/>
  </r>
  <r>
    <s v="Rakhine"/>
    <x v="0"/>
    <s v="Sin Tet Maw"/>
    <s v="MMR012CMP019"/>
    <x v="0"/>
    <m/>
    <m/>
    <n v="0"/>
    <s v="DRC"/>
    <m/>
  </r>
  <r>
    <s v="Rakhine"/>
    <x v="0"/>
    <s v="Sin Tet Maw"/>
    <s v="MMR012CMP019"/>
    <x v="1"/>
    <m/>
    <m/>
    <n v="0"/>
    <s v="DRC"/>
    <m/>
  </r>
  <r>
    <s v="Rakhine"/>
    <x v="0"/>
    <s v="Sin Tet Maw"/>
    <s v="MMR012CMP019"/>
    <x v="2"/>
    <m/>
    <m/>
    <n v="0"/>
    <s v="DRC"/>
    <m/>
  </r>
  <r>
    <s v="Rakhine"/>
    <x v="0"/>
    <s v="Sin Tet Maw"/>
    <s v="MMR012CMP019"/>
    <x v="3"/>
    <m/>
    <m/>
    <n v="0"/>
    <s v="DRC"/>
    <m/>
  </r>
  <r>
    <s v="Rakhine"/>
    <x v="0"/>
    <s v="Sin Tet Maw"/>
    <s v="MMR012CMP019"/>
    <x v="4"/>
    <m/>
    <m/>
    <n v="0"/>
    <s v="DRC"/>
    <m/>
  </r>
  <r>
    <s v="Rakhine"/>
    <x v="0"/>
    <s v="Sin Tet Maw"/>
    <s v="MMR012CMP019"/>
    <x v="5"/>
    <m/>
    <m/>
    <n v="0"/>
    <s v="DRC"/>
    <m/>
  </r>
  <r>
    <s v="Rakhine"/>
    <x v="0"/>
    <s v="Sin Tet Maw"/>
    <s v="MMR012CMP019"/>
    <x v="6"/>
    <m/>
    <m/>
    <n v="0"/>
    <s v="DRC"/>
    <m/>
  </r>
  <r>
    <s v="Rakhine"/>
    <x v="0"/>
    <s v="Sin Tet Maw"/>
    <s v="MMR012CMP019"/>
    <x v="7"/>
    <m/>
    <n v="25"/>
    <n v="25"/>
    <s v="DRC"/>
    <d v="2018-03-31T00:00:00"/>
  </r>
  <r>
    <s v="Rakhine"/>
    <x v="0"/>
    <s v="Sin Tet Maw"/>
    <s v="MMR012CMP019"/>
    <x v="8"/>
    <m/>
    <n v="104"/>
    <n v="104"/>
    <s v="DRC"/>
    <d v="2018-03-31T00:00:00"/>
  </r>
  <r>
    <s v="Rakhine"/>
    <x v="2"/>
    <s v="Taung Paw "/>
    <s v="MMR012CMP014"/>
    <x v="0"/>
    <m/>
    <m/>
    <n v="9"/>
    <s v="RI"/>
    <d v="2017-08-31T00:00:00"/>
  </r>
  <r>
    <s v="Rakhine"/>
    <x v="2"/>
    <s v="Taung Paw "/>
    <s v="MMR012CMP014"/>
    <x v="1"/>
    <m/>
    <m/>
    <n v="2"/>
    <s v="RI"/>
    <d v="2017-08-31T00:00:00"/>
  </r>
  <r>
    <s v="Rakhine"/>
    <x v="2"/>
    <s v="Taung Paw "/>
    <s v="MMR012CMP014"/>
    <x v="6"/>
    <m/>
    <m/>
    <n v="139"/>
    <s v="RI"/>
    <d v="2017-08-31T00:00:00"/>
  </r>
  <r>
    <s v="Rakhine"/>
    <x v="2"/>
    <s v="Taung Paw "/>
    <s v="MMR012CMP014"/>
    <x v="7"/>
    <m/>
    <m/>
    <n v="40"/>
    <s v="RI"/>
    <d v="2017-08-31T00:00:00"/>
  </r>
  <r>
    <s v="Rakhine"/>
    <x v="2"/>
    <s v="Taung Paw "/>
    <s v="MMR012CMP014"/>
    <x v="8"/>
    <m/>
    <m/>
    <n v="95"/>
    <s v="RI"/>
    <d v="2017-08-31T00:00:00"/>
  </r>
  <r>
    <s v="Rakhine"/>
    <x v="2"/>
    <s v="Taung Paw "/>
    <s v="MMR012CMP014"/>
    <x v="4"/>
    <m/>
    <m/>
    <n v="0"/>
    <s v="RI"/>
    <d v="2017-08-31T00:00:00"/>
  </r>
  <r>
    <s v="Rakhine"/>
    <x v="2"/>
    <s v="Taung Paw "/>
    <s v="MMR012CMP014"/>
    <x v="3"/>
    <m/>
    <m/>
    <n v="0"/>
    <s v="RI"/>
    <d v="2017-08-31T00:00:00"/>
  </r>
  <r>
    <s v="Rakhine"/>
    <x v="2"/>
    <s v="Taung Paw "/>
    <s v="MMR012CMP014"/>
    <x v="5"/>
    <m/>
    <m/>
    <n v="2"/>
    <s v="RI"/>
    <d v="2017-08-31T00:00:00"/>
  </r>
  <r>
    <s v="Rakhine"/>
    <x v="2"/>
    <s v="Taung Paw "/>
    <s v="MMR012CMP014"/>
    <x v="2"/>
    <m/>
    <m/>
    <n v="85"/>
    <s v="RI"/>
    <d v="2017-08-31T00:00:00"/>
  </r>
  <r>
    <s v="Rakhine"/>
    <x v="1"/>
    <s v="Thae Chaung"/>
    <s v="MMR012CMP046"/>
    <x v="0"/>
    <n v="34"/>
    <n v="32"/>
    <n v="66"/>
    <s v="LWF"/>
    <d v="2018-03-31T00:00:00"/>
  </r>
  <r>
    <s v="Rakhine"/>
    <x v="1"/>
    <s v="Thae Chaung"/>
    <s v="MMR012CMP046"/>
    <x v="1"/>
    <n v="29"/>
    <n v="10"/>
    <n v="39"/>
    <s v="LWF"/>
    <d v="2018-03-31T00:00:00"/>
  </r>
  <r>
    <s v="Rakhine"/>
    <x v="1"/>
    <s v="Thae Chaung"/>
    <s v="MMR012CMP046"/>
    <x v="2"/>
    <n v="0"/>
    <n v="0"/>
    <n v="0"/>
    <s v="LWF"/>
    <d v="2018-03-31T00:00:00"/>
  </r>
  <r>
    <s v="Rakhine"/>
    <x v="1"/>
    <s v="Thae Chaung"/>
    <s v="MMR012CMP046"/>
    <x v="3"/>
    <n v="5"/>
    <n v="5"/>
    <n v="10"/>
    <s v="LWF"/>
    <d v="2018-03-31T00:00:00"/>
  </r>
  <r>
    <s v="Rakhine"/>
    <x v="1"/>
    <s v="Thae Chaung"/>
    <s v="MMR012CMP046"/>
    <x v="4"/>
    <n v="6"/>
    <n v="7"/>
    <n v="13"/>
    <s v="LWF"/>
    <d v="2018-03-31T00:00:00"/>
  </r>
  <r>
    <s v="Rakhine"/>
    <x v="1"/>
    <s v="Thae Chaung"/>
    <s v="MMR012CMP046"/>
    <x v="5"/>
    <n v="54"/>
    <n v="135"/>
    <n v="189"/>
    <s v="LWF"/>
    <d v="2018-03-31T00:00:00"/>
  </r>
  <r>
    <s v="Rakhine"/>
    <x v="1"/>
    <s v="Thae Chaung"/>
    <s v="MMR012CMP046"/>
    <x v="6"/>
    <n v="15"/>
    <n v="25"/>
    <n v="40"/>
    <s v="LWF"/>
    <d v="2018-03-31T00:00:00"/>
  </r>
  <r>
    <s v="Rakhine"/>
    <x v="1"/>
    <s v="Thae Chaung"/>
    <s v="MMR012CMP046"/>
    <x v="7"/>
    <m/>
    <n v="130"/>
    <n v="130"/>
    <s v="LWF"/>
    <d v="2018-03-31T00:00:00"/>
  </r>
  <r>
    <s v="Rakhine"/>
    <x v="1"/>
    <s v="Thae Chaung"/>
    <s v="MMR012CMP046"/>
    <x v="8"/>
    <m/>
    <n v="386"/>
    <n v="386"/>
    <s v="LWF"/>
    <d v="2018-03-31T00:00:00"/>
  </r>
  <r>
    <s v="Rakhine"/>
    <x v="0"/>
    <s v="Nget Chaung 1"/>
    <s v="MMR012CMP017"/>
    <x v="0"/>
    <n v="26"/>
    <n v="12"/>
    <n v="38"/>
    <s v="LWF"/>
    <d v="2018-03-31T00:00:00"/>
  </r>
  <r>
    <s v="Rakhine"/>
    <x v="0"/>
    <s v="Nget Chaung 1"/>
    <s v="MMR012CMP017"/>
    <x v="1"/>
    <n v="5"/>
    <n v="8"/>
    <n v="13"/>
    <s v="LWF"/>
    <d v="2018-03-31T00:00:00"/>
  </r>
  <r>
    <s v="Rakhine"/>
    <x v="0"/>
    <s v="Nget Chaung 1"/>
    <s v="MMR012CMP017"/>
    <x v="2"/>
    <n v="0"/>
    <n v="0"/>
    <n v="0"/>
    <s v="LWF"/>
    <d v="2018-03-31T00:00:00"/>
  </r>
  <r>
    <s v="Rakhine"/>
    <x v="0"/>
    <s v="Nget Chaung 1"/>
    <s v="MMR012CMP017"/>
    <x v="3"/>
    <n v="7"/>
    <n v="2"/>
    <n v="9"/>
    <s v="LWF"/>
    <d v="2018-03-31T00:00:00"/>
  </r>
  <r>
    <s v="Rakhine"/>
    <x v="0"/>
    <s v="Nget Chaung 1"/>
    <s v="MMR012CMP017"/>
    <x v="4"/>
    <n v="8"/>
    <n v="0"/>
    <n v="8"/>
    <s v="LWF"/>
    <d v="2018-03-31T00:00:00"/>
  </r>
  <r>
    <s v="Rakhine"/>
    <x v="0"/>
    <s v="Nget Chaung 1"/>
    <s v="MMR012CMP017"/>
    <x v="5"/>
    <n v="59"/>
    <n v="5"/>
    <n v="64"/>
    <s v="LWF"/>
    <d v="2018-03-31T00:00:00"/>
  </r>
  <r>
    <s v="Rakhine"/>
    <x v="0"/>
    <s v="Nget Chaung 1"/>
    <s v="MMR012CMP017"/>
    <x v="6"/>
    <n v="12"/>
    <n v="162"/>
    <n v="174"/>
    <s v="LWF"/>
    <d v="2018-03-31T00:00:00"/>
  </r>
  <r>
    <s v="Rakhine"/>
    <x v="0"/>
    <s v="Nget Chaung 1"/>
    <s v="MMR012CMP017"/>
    <x v="7"/>
    <m/>
    <n v="57"/>
    <n v="57"/>
    <s v="LWF"/>
    <d v="2018-03-31T00:00:00"/>
  </r>
  <r>
    <s v="Rakhine"/>
    <x v="0"/>
    <s v="Nget Chaung 1"/>
    <s v="MMR012CMP017"/>
    <x v="8"/>
    <m/>
    <n v="303"/>
    <n v="303"/>
    <s v="LWF"/>
    <d v="2018-03-31T00:00:00"/>
  </r>
  <r>
    <s v="Rakhine"/>
    <x v="1"/>
    <s v="Thet Kae Pyin "/>
    <s v="MMR012CMP048"/>
    <x v="0"/>
    <n v="31"/>
    <n v="19"/>
    <n v="50"/>
    <s v="NRC"/>
    <d v="2018-02-28T00:00:00"/>
  </r>
  <r>
    <s v="Rakhine"/>
    <x v="1"/>
    <s v="Thet Kae Pyin "/>
    <s v="MMR012CMP048"/>
    <x v="1"/>
    <n v="17"/>
    <n v="9"/>
    <n v="26"/>
    <s v="NRC"/>
    <d v="2018-02-28T00:00:00"/>
  </r>
  <r>
    <s v="Rakhine"/>
    <x v="1"/>
    <s v="Thet Kae Pyin "/>
    <s v="MMR012CMP048"/>
    <x v="2"/>
    <n v="52"/>
    <n v="32"/>
    <n v="84"/>
    <s v="NRC"/>
    <d v="2018-02-28T00:00:00"/>
  </r>
  <r>
    <s v="Rakhine"/>
    <x v="1"/>
    <s v="Thet Kae Pyin "/>
    <s v="MMR012CMP048"/>
    <x v="3"/>
    <n v="2"/>
    <n v="7"/>
    <n v="9"/>
    <s v="NRC"/>
    <d v="2018-02-28T00:00:00"/>
  </r>
  <r>
    <s v="Rakhine"/>
    <x v="1"/>
    <s v="Thet Kae Pyin "/>
    <s v="MMR012CMP048"/>
    <x v="4"/>
    <n v="67"/>
    <n v="55"/>
    <n v="122"/>
    <s v="NRC"/>
    <d v="2018-02-28T00:00:00"/>
  </r>
  <r>
    <s v="Rakhine"/>
    <x v="1"/>
    <s v="Thet Kae Pyin "/>
    <s v="MMR012CMP048"/>
    <x v="5"/>
    <n v="46"/>
    <n v="58"/>
    <n v="104"/>
    <s v="NRC"/>
    <d v="2018-02-28T00:00:00"/>
  </r>
  <r>
    <s v="Rakhine"/>
    <x v="1"/>
    <s v="Thet Kae Pyin "/>
    <s v="MMR012CMP048"/>
    <x v="6"/>
    <n v="23"/>
    <n v="95"/>
    <n v="118"/>
    <s v="NRC"/>
    <d v="2018-02-28T00:00:00"/>
  </r>
  <r>
    <s v="Rakhine"/>
    <x v="1"/>
    <s v="Thet Kae Pyin "/>
    <s v="MMR012CMP048"/>
    <x v="7"/>
    <m/>
    <n v="89"/>
    <n v="89"/>
    <s v="NRC"/>
    <d v="2018-02-28T00:00:00"/>
  </r>
  <r>
    <s v="Rakhine"/>
    <x v="1"/>
    <s v="Thet Kae Pyin "/>
    <s v="MMR012CMP048"/>
    <x v="8"/>
    <m/>
    <n v="328"/>
    <n v="328"/>
    <s v="NRC"/>
    <d v="2018-02-28T00:00:00"/>
  </r>
</pivotCacheRecords>
</file>

<file path=xl/pivotCache/pivotCacheRecords6.xml><?xml version="1.0" encoding="utf-8"?>
<pivotCacheRecords xmlns="http://schemas.openxmlformats.org/spreadsheetml/2006/main" xmlns:r="http://schemas.openxmlformats.org/officeDocument/2006/relationships" count="88">
  <r>
    <d v="2017-09-12T00:00:00"/>
    <x v="0"/>
    <s v="Self Constructed"/>
    <x v="0"/>
    <x v="0"/>
    <s v="Thae Chaung"/>
    <n v="1"/>
    <m/>
    <m/>
    <m/>
    <m/>
    <m/>
    <m/>
    <m/>
    <m/>
    <n v="2376"/>
    <m/>
    <m/>
    <m/>
    <n v="2376"/>
    <n v="2376"/>
    <s v="MMR012CMP046"/>
    <x v="0"/>
    <n v="1.0466960352422907"/>
    <n v="0"/>
    <n v="0"/>
    <m/>
  </r>
  <r>
    <d v="2017-09-12T00:00:00"/>
    <x v="0"/>
    <s v="Self Constructed"/>
    <x v="0"/>
    <x v="0"/>
    <s v="Dar Pai"/>
    <n v="1"/>
    <m/>
    <m/>
    <m/>
    <m/>
    <m/>
    <m/>
    <m/>
    <m/>
    <n v="507"/>
    <m/>
    <m/>
    <m/>
    <n v="507"/>
    <n v="507"/>
    <s v="MMR012CMP041"/>
    <x v="0"/>
    <n v="0.2556732223903177"/>
    <n v="0"/>
    <n v="0"/>
    <m/>
  </r>
  <r>
    <d v="2017-08-01T00:00:00"/>
    <x v="1"/>
    <s v="IRW"/>
    <x v="0"/>
    <x v="0"/>
    <s v="Baw Du Pha 2"/>
    <n v="8"/>
    <m/>
    <m/>
    <n v="10"/>
    <n v="10"/>
    <m/>
    <m/>
    <m/>
    <m/>
    <m/>
    <m/>
    <m/>
    <m/>
    <n v="80"/>
    <n v="80"/>
    <s v="MMR012CMP114"/>
    <x v="0"/>
    <n v="5.9701492537313432E-2"/>
    <n v="0"/>
    <n v="0"/>
    <m/>
  </r>
  <r>
    <d v="2017-07-31T00:00:00"/>
    <x v="2"/>
    <s v="Government"/>
    <x v="0"/>
    <x v="1"/>
    <s v="Kyein Ni Pyin"/>
    <n v="1"/>
    <m/>
    <m/>
    <m/>
    <m/>
    <m/>
    <m/>
    <m/>
    <m/>
    <m/>
    <n v="112"/>
    <n v="112"/>
    <m/>
    <n v="112"/>
    <n v="112"/>
    <s v="MMR012CMP018"/>
    <x v="0"/>
    <n v="8.339538346984364E-2"/>
    <n v="112"/>
    <n v="112"/>
    <m/>
  </r>
  <r>
    <d v="2017-07-31T00:00:00"/>
    <x v="3"/>
    <s v="RSG"/>
    <x v="0"/>
    <x v="1"/>
    <s v="Kyein Ni Pyin"/>
    <n v="1"/>
    <m/>
    <m/>
    <m/>
    <m/>
    <m/>
    <m/>
    <m/>
    <m/>
    <m/>
    <n v="480"/>
    <n v="480"/>
    <m/>
    <n v="480"/>
    <n v="480"/>
    <s v="MMR012CMP018"/>
    <x v="0"/>
    <n v="0.35740878629932987"/>
    <n v="480"/>
    <n v="480"/>
    <m/>
  </r>
  <r>
    <d v="2017-07-31T00:00:00"/>
    <x v="4"/>
    <s v="MRCS-QRC"/>
    <x v="0"/>
    <x v="1"/>
    <s v="Kyein Ni Pyin"/>
    <n v="1"/>
    <m/>
    <m/>
    <m/>
    <m/>
    <m/>
    <m/>
    <m/>
    <m/>
    <m/>
    <n v="56"/>
    <n v="56"/>
    <m/>
    <n v="56"/>
    <n v="56"/>
    <s v="MMR012CMP018"/>
    <x v="0"/>
    <n v="4.169769173492182E-2"/>
    <n v="56"/>
    <n v="56"/>
    <m/>
  </r>
  <r>
    <d v="2017-07-31T00:00:00"/>
    <x v="2"/>
    <s v="Government"/>
    <x v="0"/>
    <x v="0"/>
    <s v="Basare"/>
    <n v="8"/>
    <m/>
    <m/>
    <n v="52"/>
    <n v="52"/>
    <m/>
    <m/>
    <m/>
    <m/>
    <m/>
    <m/>
    <m/>
    <m/>
    <n v="416"/>
    <n v="416"/>
    <s v="MMR012CMP039"/>
    <x v="0"/>
    <n v="1.0612244897959184"/>
    <n v="0"/>
    <n v="0"/>
    <m/>
  </r>
  <r>
    <d v="2017-07-31T00:00:00"/>
    <x v="2"/>
    <s v="Government"/>
    <x v="0"/>
    <x v="2"/>
    <s v="Kyauk Ta Lone"/>
    <n v="8"/>
    <m/>
    <m/>
    <n v="22"/>
    <n v="22"/>
    <m/>
    <m/>
    <m/>
    <m/>
    <m/>
    <m/>
    <m/>
    <m/>
    <n v="176"/>
    <n v="176"/>
    <s v="MMR012CMP035"/>
    <x v="0"/>
    <n v="0.42409638554216866"/>
    <n v="0"/>
    <n v="0"/>
    <s v="3 LHs are using for Temporary Learning Spaces as the update of 2017."/>
  </r>
  <r>
    <d v="2017-07-31T00:00:00"/>
    <x v="5"/>
    <s v="Service City"/>
    <x v="0"/>
    <x v="2"/>
    <s v="Kyauk Ta Lone"/>
    <n v="8"/>
    <m/>
    <m/>
    <n v="31"/>
    <n v="31"/>
    <m/>
    <m/>
    <m/>
    <m/>
    <m/>
    <m/>
    <m/>
    <m/>
    <n v="248"/>
    <n v="248"/>
    <s v="MMR012CMP035"/>
    <x v="0"/>
    <n v="0.59759036144578315"/>
    <n v="0"/>
    <n v="0"/>
    <m/>
  </r>
  <r>
    <d v="2017-07-31T00:00:00"/>
    <x v="2"/>
    <s v="Government"/>
    <x v="0"/>
    <x v="3"/>
    <s v="Nidin"/>
    <n v="8"/>
    <m/>
    <m/>
    <n v="9"/>
    <n v="9"/>
    <m/>
    <m/>
    <m/>
    <m/>
    <m/>
    <m/>
    <m/>
    <m/>
    <n v="72"/>
    <n v="72"/>
    <s v="MMR012CMP023"/>
    <x v="0"/>
    <n v="0.84705882352941175"/>
    <n v="0"/>
    <n v="0"/>
    <m/>
  </r>
  <r>
    <d v="2017-07-31T00:00:00"/>
    <x v="3"/>
    <s v="RSG"/>
    <x v="0"/>
    <x v="2"/>
    <s v="Ka Nyin Taw"/>
    <n v="1"/>
    <m/>
    <m/>
    <m/>
    <m/>
    <m/>
    <m/>
    <m/>
    <m/>
    <m/>
    <n v="65"/>
    <n v="65"/>
    <m/>
    <n v="65"/>
    <n v="0"/>
    <s v="MMR012CMP036"/>
    <x v="1"/>
    <n v="1"/>
    <n v="65"/>
    <n v="65"/>
    <m/>
  </r>
  <r>
    <d v="2017-06-30T00:00:00"/>
    <x v="6"/>
    <s v="UNHCR"/>
    <x v="0"/>
    <x v="0"/>
    <s v="Ohn Taw Chay"/>
    <n v="8"/>
    <m/>
    <m/>
    <n v="80"/>
    <n v="80"/>
    <m/>
    <m/>
    <m/>
    <m/>
    <m/>
    <m/>
    <m/>
    <m/>
    <n v="640"/>
    <n v="640"/>
    <s v="MMR012CMP098"/>
    <x v="0"/>
    <n v="0.87193460490463215"/>
    <n v="0"/>
    <n v="0"/>
    <m/>
  </r>
  <r>
    <d v="2015-07-01T00:00:00"/>
    <x v="2"/>
    <s v="Government"/>
    <x v="0"/>
    <x v="3"/>
    <s v="Khaung Htoke"/>
    <n v="1"/>
    <m/>
    <m/>
    <m/>
    <m/>
    <m/>
    <m/>
    <m/>
    <m/>
    <m/>
    <n v="97"/>
    <n v="97"/>
    <m/>
    <n v="97"/>
    <n v="0"/>
    <s v="MMR012CMP030"/>
    <x v="1"/>
    <n v="1"/>
    <n v="97"/>
    <n v="97"/>
    <m/>
  </r>
  <r>
    <d v="2015-07-01T00:00:00"/>
    <x v="2"/>
    <s v="Government"/>
    <x v="0"/>
    <x v="4"/>
    <s v="Cheik Thaung"/>
    <n v="1"/>
    <m/>
    <m/>
    <m/>
    <m/>
    <m/>
    <m/>
    <m/>
    <m/>
    <m/>
    <n v="4"/>
    <n v="4"/>
    <m/>
    <n v="4"/>
    <n v="0"/>
    <s v=""/>
    <x v="2"/>
    <s v=""/>
    <n v="4"/>
    <n v="4"/>
    <m/>
  </r>
  <r>
    <d v="2015-07-01T00:00:00"/>
    <x v="7"/>
    <s v="RSG-TIKA"/>
    <x v="0"/>
    <x v="5"/>
    <s v="Raw Ma Ni Sin Oe"/>
    <n v="1"/>
    <m/>
    <m/>
    <m/>
    <m/>
    <m/>
    <m/>
    <m/>
    <m/>
    <m/>
    <n v="10"/>
    <n v="10"/>
    <m/>
    <n v="10"/>
    <n v="0"/>
    <s v="MMR012CMP012"/>
    <x v="1"/>
    <n v="1"/>
    <n v="10"/>
    <n v="10"/>
    <m/>
  </r>
  <r>
    <d v="2015-07-01T00:00:00"/>
    <x v="2"/>
    <s v="Government"/>
    <x v="0"/>
    <x v="5"/>
    <s v="Thi Kyar"/>
    <n v="1"/>
    <m/>
    <m/>
    <m/>
    <m/>
    <m/>
    <m/>
    <m/>
    <m/>
    <m/>
    <n v="32"/>
    <n v="32"/>
    <m/>
    <n v="32"/>
    <n v="0"/>
    <s v="MMR012CMP117"/>
    <x v="1"/>
    <n v="1"/>
    <n v="32"/>
    <n v="32"/>
    <m/>
  </r>
  <r>
    <d v="2015-07-01T00:00:00"/>
    <x v="2"/>
    <s v="Government"/>
    <x v="0"/>
    <x v="6"/>
    <s v="Kan Thar Htwat Wa"/>
    <n v="1"/>
    <m/>
    <m/>
    <m/>
    <m/>
    <m/>
    <m/>
    <m/>
    <m/>
    <m/>
    <n v="40"/>
    <n v="40"/>
    <m/>
    <n v="40"/>
    <n v="0"/>
    <s v="MMR012CMP013"/>
    <x v="1"/>
    <n v="1"/>
    <n v="40"/>
    <n v="40"/>
    <m/>
  </r>
  <r>
    <d v="2015-07-01T00:00:00"/>
    <x v="6"/>
    <s v="UNHCR"/>
    <x v="0"/>
    <x v="0"/>
    <s v="Sat Roe Kya 1"/>
    <n v="1"/>
    <m/>
    <m/>
    <m/>
    <m/>
    <m/>
    <m/>
    <m/>
    <m/>
    <m/>
    <n v="72"/>
    <n v="72"/>
    <m/>
    <n v="72"/>
    <n v="0"/>
    <s v="MMR012CMP056"/>
    <x v="1"/>
    <n v="0.28915662650602408"/>
    <n v="72"/>
    <n v="72"/>
    <m/>
  </r>
  <r>
    <d v="2015-07-01T00:00:00"/>
    <x v="2"/>
    <s v="Government"/>
    <x v="0"/>
    <x v="3"/>
    <s v="Ah Lel"/>
    <n v="1"/>
    <m/>
    <m/>
    <m/>
    <m/>
    <m/>
    <m/>
    <m/>
    <m/>
    <m/>
    <n v="24"/>
    <n v="24"/>
    <m/>
    <n v="24"/>
    <n v="0"/>
    <s v="MMR012CMP022"/>
    <x v="3"/>
    <n v="1"/>
    <n v="24"/>
    <n v="24"/>
    <m/>
  </r>
  <r>
    <d v="2015-07-01T00:00:00"/>
    <x v="2"/>
    <s v="Government"/>
    <x v="0"/>
    <x v="3"/>
    <s v="Ah Lel Kyun"/>
    <n v="1"/>
    <m/>
    <m/>
    <m/>
    <m/>
    <m/>
    <m/>
    <m/>
    <m/>
    <m/>
    <n v="14"/>
    <n v="14"/>
    <m/>
    <n v="14"/>
    <n v="0"/>
    <s v="MMR012CMP025"/>
    <x v="3"/>
    <n v="1"/>
    <n v="14"/>
    <n v="14"/>
    <m/>
  </r>
  <r>
    <d v="2015-07-01T00:00:00"/>
    <x v="2"/>
    <s v="Government"/>
    <x v="0"/>
    <x v="3"/>
    <s v="Ah Pauk Wa "/>
    <n v="1"/>
    <m/>
    <m/>
    <m/>
    <m/>
    <m/>
    <m/>
    <m/>
    <m/>
    <m/>
    <n v="100"/>
    <n v="100"/>
    <m/>
    <n v="100"/>
    <n v="0"/>
    <s v="MMR012CMP024"/>
    <x v="3"/>
    <n v="1"/>
    <n v="100"/>
    <n v="100"/>
    <m/>
  </r>
  <r>
    <d v="2015-07-01T00:00:00"/>
    <x v="2"/>
    <s v="Government"/>
    <x v="0"/>
    <x v="3"/>
    <s v="Let Saung Kauk"/>
    <n v="1"/>
    <m/>
    <m/>
    <m/>
    <m/>
    <m/>
    <m/>
    <m/>
    <m/>
    <m/>
    <n v="18"/>
    <n v="18"/>
    <m/>
    <n v="18"/>
    <n v="0"/>
    <s v="MMR012CMP020"/>
    <x v="3"/>
    <n v="1"/>
    <n v="18"/>
    <n v="18"/>
    <m/>
  </r>
  <r>
    <d v="2015-07-01T00:00:00"/>
    <x v="2"/>
    <s v="Government"/>
    <x v="0"/>
    <x v="3"/>
    <s v="Taung Bwe"/>
    <n v="1"/>
    <m/>
    <m/>
    <m/>
    <m/>
    <m/>
    <m/>
    <m/>
    <m/>
    <m/>
    <n v="63"/>
    <n v="63"/>
    <m/>
    <n v="63"/>
    <n v="0"/>
    <s v="MMR012CMP021"/>
    <x v="3"/>
    <n v="1"/>
    <n v="63"/>
    <n v="63"/>
    <m/>
  </r>
  <r>
    <d v="2015-07-01T00:00:00"/>
    <x v="3"/>
    <s v="RSG"/>
    <x v="0"/>
    <x v="4"/>
    <s v="Aung Taing"/>
    <n v="1"/>
    <m/>
    <m/>
    <m/>
    <s v=" "/>
    <m/>
    <m/>
    <m/>
    <m/>
    <m/>
    <n v="44"/>
    <n v="44"/>
    <m/>
    <n v="44"/>
    <n v="0"/>
    <s v="MMR012CMP006"/>
    <x v="3"/>
    <n v="0.50574712643678166"/>
    <n v="44"/>
    <n v="44"/>
    <m/>
  </r>
  <r>
    <d v="2015-07-01T00:00:00"/>
    <x v="2"/>
    <s v="Government"/>
    <x v="0"/>
    <x v="4"/>
    <s v="Paik Thay"/>
    <n v="1"/>
    <m/>
    <m/>
    <m/>
    <m/>
    <m/>
    <m/>
    <m/>
    <m/>
    <m/>
    <n v="19"/>
    <n v="19"/>
    <m/>
    <n v="19"/>
    <n v="0"/>
    <s v="MMR012CMP001"/>
    <x v="3"/>
    <n v="1"/>
    <n v="19"/>
    <n v="19"/>
    <m/>
  </r>
  <r>
    <d v="2015-07-01T00:00:00"/>
    <x v="7"/>
    <s v="RSG-TIKA"/>
    <x v="0"/>
    <x v="4"/>
    <s v="Sam Ba Le"/>
    <n v="1"/>
    <m/>
    <m/>
    <m/>
    <m/>
    <m/>
    <m/>
    <m/>
    <m/>
    <m/>
    <n v="110"/>
    <n v="110"/>
    <m/>
    <n v="110"/>
    <n v="0"/>
    <s v="MMR012CMP008"/>
    <x v="3"/>
    <n v="0.48245614035087719"/>
    <n v="110"/>
    <n v="110"/>
    <m/>
  </r>
  <r>
    <d v="2015-07-01T00:00:00"/>
    <x v="7"/>
    <s v="RSG-TIKA"/>
    <x v="0"/>
    <x v="4"/>
    <s v="San Htoe Tan"/>
    <n v="1"/>
    <m/>
    <m/>
    <m/>
    <m/>
    <m/>
    <m/>
    <m/>
    <m/>
    <m/>
    <n v="86"/>
    <n v="86"/>
    <m/>
    <n v="86"/>
    <n v="0"/>
    <s v="MMR012CMP003"/>
    <x v="3"/>
    <n v="1"/>
    <n v="86"/>
    <n v="86"/>
    <m/>
  </r>
  <r>
    <d v="2015-07-01T00:00:00"/>
    <x v="2"/>
    <s v="Government"/>
    <x v="0"/>
    <x v="4"/>
    <s v="Set Yone Maw"/>
    <n v="1"/>
    <m/>
    <m/>
    <m/>
    <m/>
    <m/>
    <m/>
    <m/>
    <m/>
    <m/>
    <n v="18"/>
    <n v="18"/>
    <m/>
    <n v="18"/>
    <n v="0"/>
    <s v="MMR012CMP104"/>
    <x v="3"/>
    <n v="1"/>
    <n v="18"/>
    <n v="18"/>
    <m/>
  </r>
  <r>
    <d v="2015-07-01T00:00:00"/>
    <x v="7"/>
    <s v="RSG-TIKA"/>
    <x v="0"/>
    <x v="4"/>
    <s v="Tha Dar"/>
    <n v="1"/>
    <m/>
    <m/>
    <m/>
    <m/>
    <m/>
    <m/>
    <m/>
    <m/>
    <m/>
    <n v="203"/>
    <n v="203"/>
    <m/>
    <n v="203"/>
    <n v="0"/>
    <s v="MMR012CMP002"/>
    <x v="3"/>
    <n v="1"/>
    <n v="203"/>
    <n v="203"/>
    <m/>
  </r>
  <r>
    <d v="2015-07-01T00:00:00"/>
    <x v="7"/>
    <s v="RSG-TIKA"/>
    <x v="0"/>
    <x v="4"/>
    <s v="Tha Yet Oak"/>
    <n v="1"/>
    <m/>
    <m/>
    <m/>
    <m/>
    <m/>
    <m/>
    <m/>
    <m/>
    <m/>
    <n v="275"/>
    <n v="275"/>
    <m/>
    <n v="275"/>
    <n v="0"/>
    <s v="MMR012CMP005"/>
    <x v="3"/>
    <n v="1"/>
    <n v="275"/>
    <n v="275"/>
    <m/>
  </r>
  <r>
    <d v="2015-07-01T00:00:00"/>
    <x v="7"/>
    <s v="RSG-TIKA"/>
    <x v="0"/>
    <x v="5"/>
    <s v="Pa Rein"/>
    <n v="1"/>
    <m/>
    <m/>
    <m/>
    <m/>
    <m/>
    <m/>
    <m/>
    <m/>
    <m/>
    <n v="204"/>
    <n v="204"/>
    <m/>
    <n v="204"/>
    <n v="0"/>
    <s v="MMR012CMP009"/>
    <x v="3"/>
    <n v="1"/>
    <n v="204"/>
    <n v="204"/>
    <m/>
  </r>
  <r>
    <d v="2015-07-01T00:00:00"/>
    <x v="7"/>
    <s v="RSG-TIKA"/>
    <x v="0"/>
    <x v="5"/>
    <s v="Yai Thei-Muslim"/>
    <n v="1"/>
    <m/>
    <m/>
    <m/>
    <m/>
    <m/>
    <m/>
    <m/>
    <m/>
    <m/>
    <n v="365"/>
    <n v="365"/>
    <m/>
    <n v="365"/>
    <n v="0"/>
    <s v="MMR012CMP010"/>
    <x v="3"/>
    <n v="1"/>
    <n v="365"/>
    <n v="365"/>
    <m/>
  </r>
  <r>
    <d v="2015-07-01T00:00:00"/>
    <x v="2"/>
    <s v="Government"/>
    <x v="0"/>
    <x v="7"/>
    <s v="Ah Nauk Pyin"/>
    <n v="1"/>
    <m/>
    <m/>
    <m/>
    <m/>
    <m/>
    <m/>
    <m/>
    <m/>
    <m/>
    <n v="32"/>
    <n v="32"/>
    <m/>
    <n v="32"/>
    <n v="0"/>
    <s v="MMR012CMP032"/>
    <x v="3"/>
    <n v="1"/>
    <n v="32"/>
    <n v="32"/>
    <m/>
  </r>
  <r>
    <d v="2015-07-01T00:00:00"/>
    <x v="2"/>
    <s v="Government"/>
    <x v="0"/>
    <x v="7"/>
    <s v="Nyaung Pin Gyi"/>
    <n v="1"/>
    <m/>
    <m/>
    <m/>
    <m/>
    <m/>
    <m/>
    <m/>
    <m/>
    <m/>
    <n v="56"/>
    <n v="56"/>
    <m/>
    <n v="56"/>
    <n v="0"/>
    <s v="MMR012CMP031"/>
    <x v="3"/>
    <n v="1"/>
    <n v="56"/>
    <n v="56"/>
    <m/>
  </r>
  <r>
    <d v="2015-07-01T00:00:00"/>
    <x v="2"/>
    <s v="Government"/>
    <x v="0"/>
    <x v="3"/>
    <s v="Goke Pi Htaunt"/>
    <n v="1"/>
    <m/>
    <m/>
    <m/>
    <m/>
    <m/>
    <m/>
    <m/>
    <m/>
    <m/>
    <n v="116"/>
    <n v="116"/>
    <m/>
    <n v="116"/>
    <n v="0"/>
    <s v="MMR012CMP027"/>
    <x v="3"/>
    <n v="1"/>
    <n v="116"/>
    <n v="116"/>
    <m/>
  </r>
  <r>
    <d v="2015-07-01T00:00:00"/>
    <x v="2"/>
    <s v="Government"/>
    <x v="0"/>
    <x v="3"/>
    <s v="In Bar Yi"/>
    <n v="1"/>
    <m/>
    <m/>
    <m/>
    <m/>
    <m/>
    <m/>
    <m/>
    <m/>
    <m/>
    <n v="236"/>
    <n v="236"/>
    <m/>
    <n v="236"/>
    <n v="0"/>
    <s v="MMR012CMP026"/>
    <x v="3"/>
    <n v="1"/>
    <n v="236"/>
    <n v="236"/>
    <m/>
  </r>
  <r>
    <d v="2015-07-01T00:00:00"/>
    <x v="2"/>
    <s v="Government"/>
    <x v="0"/>
    <x v="3"/>
    <s v="Shwe Hlaing"/>
    <n v="1"/>
    <m/>
    <m/>
    <m/>
    <m/>
    <m/>
    <m/>
    <m/>
    <m/>
    <m/>
    <n v="144"/>
    <n v="144"/>
    <m/>
    <n v="144"/>
    <n v="0"/>
    <s v="MMR012CMP029"/>
    <x v="3"/>
    <n v="1"/>
    <n v="144"/>
    <n v="144"/>
    <m/>
  </r>
  <r>
    <d v="2015-07-01T00:00:00"/>
    <x v="2"/>
    <s v="Government"/>
    <x v="0"/>
    <x v="3"/>
    <s v="Yun Nyar"/>
    <n v="1"/>
    <m/>
    <m/>
    <m/>
    <m/>
    <m/>
    <m/>
    <m/>
    <m/>
    <m/>
    <n v="112"/>
    <n v="112"/>
    <m/>
    <n v="112"/>
    <n v="0"/>
    <s v="MMR012CMP028"/>
    <x v="3"/>
    <n v="1"/>
    <n v="112"/>
    <n v="112"/>
    <m/>
  </r>
  <r>
    <d v="2015-07-01T00:00:00"/>
    <x v="7"/>
    <s v="RSG-TIKA"/>
    <x v="0"/>
    <x v="4"/>
    <s v="Aung Taing"/>
    <n v="1"/>
    <m/>
    <m/>
    <m/>
    <m/>
    <m/>
    <m/>
    <m/>
    <m/>
    <m/>
    <n v="43"/>
    <n v="43"/>
    <m/>
    <n v="43"/>
    <n v="0"/>
    <s v="MMR012CMP006"/>
    <x v="3"/>
    <n v="0.4942528735632184"/>
    <n v="43"/>
    <n v="43"/>
    <m/>
  </r>
  <r>
    <d v="2015-07-01T00:00:00"/>
    <x v="7"/>
    <s v="RSG-TIKA"/>
    <x v="0"/>
    <x v="4"/>
    <s v="Sam Ba Le"/>
    <n v="1"/>
    <m/>
    <m/>
    <m/>
    <m/>
    <m/>
    <m/>
    <m/>
    <m/>
    <m/>
    <n v="114"/>
    <n v="114"/>
    <m/>
    <n v="114"/>
    <n v="0"/>
    <s v="MMR012CMP008"/>
    <x v="3"/>
    <n v="0.5"/>
    <n v="114"/>
    <n v="114"/>
    <m/>
  </r>
  <r>
    <d v="2015-01-26T00:00:00"/>
    <x v="6"/>
    <s v="UNHCR"/>
    <x v="0"/>
    <x v="1"/>
    <s v="Kyein Ni Pyin"/>
    <n v="1"/>
    <n v="110"/>
    <n v="110"/>
    <m/>
    <m/>
    <m/>
    <m/>
    <m/>
    <m/>
    <m/>
    <m/>
    <m/>
    <m/>
    <n v="0"/>
    <n v="0"/>
    <m/>
    <x v="0"/>
    <n v="0"/>
    <n v="0"/>
    <n v="0"/>
    <m/>
  </r>
  <r>
    <d v="2015-01-01T00:00:00"/>
    <x v="8"/>
    <s v="DRC"/>
    <x v="0"/>
    <x v="0"/>
    <s v="Maw Ti Ngar"/>
    <n v="8"/>
    <m/>
    <m/>
    <n v="4"/>
    <n v="4"/>
    <m/>
    <m/>
    <m/>
    <m/>
    <m/>
    <m/>
    <m/>
    <m/>
    <n v="32"/>
    <n v="32"/>
    <s v="MMR012CMP093"/>
    <x v="0"/>
    <n v="5.1529790660225443E-2"/>
    <n v="0"/>
    <n v="0"/>
    <m/>
  </r>
  <r>
    <d v="2015-01-01T00:00:00"/>
    <x v="8"/>
    <s v="DRC"/>
    <x v="0"/>
    <x v="0"/>
    <s v="Thet Kae Pyin "/>
    <n v="8"/>
    <m/>
    <m/>
    <n v="2"/>
    <n v="2"/>
    <m/>
    <m/>
    <m/>
    <m/>
    <m/>
    <m/>
    <m/>
    <m/>
    <n v="16"/>
    <n v="16"/>
    <s v="MMR012CMP048"/>
    <x v="0"/>
    <n v="1.6309887869520898E-2"/>
    <n v="0"/>
    <n v="0"/>
    <m/>
  </r>
  <r>
    <d v="2013-10-01T00:00:00"/>
    <x v="9"/>
    <s v="TDC/Natala Government"/>
    <x v="0"/>
    <x v="8"/>
    <s v="Kan Pyin Thar Si"/>
    <n v="1"/>
    <m/>
    <m/>
    <m/>
    <m/>
    <m/>
    <n v="15"/>
    <n v="15"/>
    <m/>
    <m/>
    <m/>
    <m/>
    <m/>
    <n v="15"/>
    <n v="0"/>
    <s v=""/>
    <x v="2"/>
    <s v=""/>
    <n v="15"/>
    <n v="15"/>
    <m/>
  </r>
  <r>
    <d v="2013-10-01T00:00:00"/>
    <x v="9"/>
    <s v="TDC/Natala Government"/>
    <x v="0"/>
    <x v="8"/>
    <s v="Kha Yay Myaing( DPA)"/>
    <n v="1"/>
    <m/>
    <m/>
    <m/>
    <m/>
    <m/>
    <n v="2"/>
    <n v="2"/>
    <m/>
    <m/>
    <m/>
    <m/>
    <m/>
    <n v="2"/>
    <n v="0"/>
    <s v=""/>
    <x v="2"/>
    <s v=""/>
    <n v="2"/>
    <n v="2"/>
    <m/>
  </r>
  <r>
    <d v="2013-10-01T00:00:00"/>
    <x v="9"/>
    <s v="TDC/Natala Government"/>
    <x v="0"/>
    <x v="8"/>
    <s v="Kha Yay Myaing(short legged)"/>
    <n v="1"/>
    <m/>
    <m/>
    <m/>
    <m/>
    <m/>
    <n v="22"/>
    <n v="22"/>
    <m/>
    <m/>
    <m/>
    <m/>
    <m/>
    <n v="22"/>
    <n v="0"/>
    <s v=""/>
    <x v="2"/>
    <s v=""/>
    <n v="22"/>
    <n v="22"/>
    <m/>
  </r>
  <r>
    <d v="2013-10-01T00:00:00"/>
    <x v="10"/>
    <s v="UNHCR/BAJ"/>
    <x v="0"/>
    <x v="8"/>
    <s v="Kha Yay Myaing(short legged)"/>
    <n v="1"/>
    <m/>
    <m/>
    <m/>
    <m/>
    <m/>
    <n v="25"/>
    <n v="25"/>
    <m/>
    <m/>
    <m/>
    <m/>
    <m/>
    <n v="25"/>
    <n v="0"/>
    <s v=""/>
    <x v="2"/>
    <s v=""/>
    <n v="25"/>
    <n v="25"/>
    <m/>
  </r>
  <r>
    <d v="2013-10-01T00:00:00"/>
    <x v="9"/>
    <s v="TDC/Natala Government"/>
    <x v="0"/>
    <x v="8"/>
    <s v="Shwe Yin Aye"/>
    <n v="1"/>
    <m/>
    <m/>
    <m/>
    <m/>
    <m/>
    <n v="77"/>
    <n v="77"/>
    <m/>
    <m/>
    <m/>
    <m/>
    <m/>
    <n v="77"/>
    <n v="0"/>
    <s v=""/>
    <x v="2"/>
    <s v=""/>
    <n v="77"/>
    <n v="77"/>
    <m/>
  </r>
  <r>
    <d v="2013-10-01T00:00:00"/>
    <x v="9"/>
    <s v="TDC/Natala Government"/>
    <x v="0"/>
    <x v="8"/>
    <s v="Wai Thar Li"/>
    <n v="1"/>
    <m/>
    <m/>
    <m/>
    <m/>
    <m/>
    <n v="9"/>
    <n v="9"/>
    <m/>
    <m/>
    <m/>
    <m/>
    <m/>
    <n v="9"/>
    <n v="0"/>
    <s v=""/>
    <x v="2"/>
    <s v=""/>
    <n v="9"/>
    <n v="9"/>
    <m/>
  </r>
  <r>
    <d v="2013-10-01T00:00:00"/>
    <x v="8"/>
    <s v="DRC"/>
    <x v="0"/>
    <x v="1"/>
    <s v="Ah Nauk Ywe"/>
    <n v="8"/>
    <m/>
    <m/>
    <n v="96"/>
    <n v="96"/>
    <n v="0"/>
    <m/>
    <m/>
    <m/>
    <m/>
    <m/>
    <m/>
    <m/>
    <n v="768"/>
    <n v="768"/>
    <s v="MMR012CMP016"/>
    <x v="0"/>
    <n v="0.62035541195476573"/>
    <n v="0"/>
    <n v="0"/>
    <m/>
  </r>
  <r>
    <d v="2013-10-01T00:00:00"/>
    <x v="11"/>
    <s v="CARE"/>
    <x v="0"/>
    <x v="0"/>
    <s v="Baw Du Pha 1"/>
    <n v="8"/>
    <m/>
    <m/>
    <n v="50"/>
    <n v="50"/>
    <m/>
    <m/>
    <m/>
    <m/>
    <m/>
    <m/>
    <m/>
    <m/>
    <n v="400"/>
    <n v="400"/>
    <s v="MMR012CMP113"/>
    <x v="0"/>
    <n v="0.38910505836575876"/>
    <n v="0"/>
    <n v="0"/>
    <m/>
  </r>
  <r>
    <d v="2013-10-01T00:00:00"/>
    <x v="2"/>
    <s v="Government"/>
    <x v="0"/>
    <x v="0"/>
    <s v="Baw Du Pha 1"/>
    <n v="8"/>
    <m/>
    <m/>
    <n v="40"/>
    <n v="40"/>
    <m/>
    <m/>
    <m/>
    <m/>
    <m/>
    <m/>
    <m/>
    <m/>
    <n v="320"/>
    <n v="320"/>
    <s v="MMR012CMP113"/>
    <x v="0"/>
    <n v="0.31128404669260701"/>
    <n v="0"/>
    <n v="0"/>
    <m/>
  </r>
  <r>
    <d v="2013-10-01T00:00:00"/>
    <x v="12"/>
    <s v="ICRC"/>
    <x v="0"/>
    <x v="0"/>
    <s v="Baw Du Pha 1"/>
    <n v="8"/>
    <m/>
    <m/>
    <n v="5"/>
    <n v="5"/>
    <m/>
    <m/>
    <m/>
    <m/>
    <m/>
    <m/>
    <m/>
    <m/>
    <n v="40"/>
    <n v="40"/>
    <s v="MMR012CMP113"/>
    <x v="0"/>
    <n v="3.8910505836575876E-2"/>
    <n v="0"/>
    <n v="0"/>
    <m/>
  </r>
  <r>
    <d v="2013-10-01T00:00:00"/>
    <x v="13"/>
    <s v="MAUK"/>
    <x v="0"/>
    <x v="0"/>
    <s v="Baw Du Pha 1"/>
    <n v="8"/>
    <m/>
    <m/>
    <n v="32"/>
    <n v="32"/>
    <n v="0"/>
    <m/>
    <m/>
    <m/>
    <m/>
    <m/>
    <m/>
    <m/>
    <n v="256"/>
    <n v="256"/>
    <s v="MMR012CMP113"/>
    <x v="0"/>
    <n v="0.24902723735408561"/>
    <n v="0"/>
    <n v="0"/>
    <m/>
  </r>
  <r>
    <d v="2013-10-01T00:00:00"/>
    <x v="2"/>
    <s v="Government"/>
    <x v="0"/>
    <x v="0"/>
    <s v="Baw Du Pha 2"/>
    <n v="8"/>
    <m/>
    <m/>
    <n v="100"/>
    <n v="100"/>
    <n v="0"/>
    <m/>
    <m/>
    <m/>
    <m/>
    <m/>
    <m/>
    <m/>
    <n v="800"/>
    <n v="800"/>
    <s v="MMR012CMP114"/>
    <x v="0"/>
    <n v="0.59701492537313428"/>
    <n v="0"/>
    <n v="0"/>
    <m/>
  </r>
  <r>
    <d v="2013-10-01T00:00:00"/>
    <x v="12"/>
    <s v="ICRC"/>
    <x v="0"/>
    <x v="0"/>
    <s v="Baw Du Pha 2"/>
    <n v="8"/>
    <m/>
    <m/>
    <n v="14"/>
    <n v="14"/>
    <m/>
    <m/>
    <m/>
    <m/>
    <m/>
    <m/>
    <m/>
    <m/>
    <n v="112"/>
    <n v="112"/>
    <s v="MMR012CMP114"/>
    <x v="0"/>
    <n v="8.3582089552238809E-2"/>
    <n v="0"/>
    <n v="0"/>
    <m/>
  </r>
  <r>
    <d v="2013-10-01T00:00:00"/>
    <x v="14"/>
    <s v="WFP"/>
    <x v="0"/>
    <x v="0"/>
    <s v="Baw Du Pha 2"/>
    <n v="10"/>
    <m/>
    <m/>
    <n v="40"/>
    <n v="40"/>
    <m/>
    <m/>
    <m/>
    <m/>
    <m/>
    <m/>
    <m/>
    <m/>
    <n v="400"/>
    <n v="400"/>
    <s v="MMR012CMP114"/>
    <x v="0"/>
    <n v="0.29850746268656714"/>
    <n v="0"/>
    <n v="0"/>
    <m/>
  </r>
  <r>
    <d v="2013-10-01T00:00:00"/>
    <x v="11"/>
    <s v="CARE"/>
    <x v="0"/>
    <x v="0"/>
    <s v="Dar Pai"/>
    <n v="8"/>
    <m/>
    <m/>
    <n v="41"/>
    <n v="41"/>
    <m/>
    <m/>
    <m/>
    <m/>
    <m/>
    <m/>
    <m/>
    <m/>
    <n v="328"/>
    <n v="328"/>
    <s v="MMR012CMP041"/>
    <x v="0"/>
    <n v="0.16540595057992941"/>
    <n v="0"/>
    <n v="0"/>
    <m/>
  </r>
  <r>
    <d v="2013-10-01T00:00:00"/>
    <x v="2"/>
    <s v="Government"/>
    <x v="0"/>
    <x v="0"/>
    <s v="Dar Pai"/>
    <n v="8"/>
    <m/>
    <m/>
    <n v="141"/>
    <n v="141"/>
    <m/>
    <m/>
    <m/>
    <m/>
    <m/>
    <m/>
    <m/>
    <m/>
    <n v="1128"/>
    <n v="1128"/>
    <s v="MMR012CMP041"/>
    <x v="0"/>
    <n v="0.56883509833585477"/>
    <n v="0"/>
    <n v="0"/>
    <m/>
  </r>
  <r>
    <d v="2013-10-01T00:00:00"/>
    <x v="11"/>
    <s v="CARE"/>
    <x v="0"/>
    <x v="0"/>
    <s v="Khaung Doke Khar "/>
    <n v="8"/>
    <m/>
    <m/>
    <n v="25"/>
    <n v="25"/>
    <m/>
    <m/>
    <m/>
    <m/>
    <m/>
    <m/>
    <m/>
    <m/>
    <n v="200"/>
    <n v="200"/>
    <s v="MMR012CMP042"/>
    <x v="0"/>
    <n v="0.25031289111389238"/>
    <n v="0"/>
    <n v="0"/>
    <m/>
  </r>
  <r>
    <d v="2013-10-01T00:00:00"/>
    <x v="2"/>
    <s v="Government"/>
    <x v="0"/>
    <x v="0"/>
    <s v="Khaung Doke Khar "/>
    <n v="8"/>
    <m/>
    <m/>
    <n v="75"/>
    <n v="75"/>
    <m/>
    <m/>
    <m/>
    <m/>
    <m/>
    <m/>
    <m/>
    <m/>
    <n v="600"/>
    <n v="600"/>
    <s v="MMR012CMP042"/>
    <x v="0"/>
    <n v="0.75093867334167708"/>
    <n v="0"/>
    <n v="0"/>
    <m/>
  </r>
  <r>
    <d v="2013-10-01T00:00:00"/>
    <x v="6"/>
    <s v="UNHCR"/>
    <x v="0"/>
    <x v="1"/>
    <s v="Kyein Ni Pyin"/>
    <n v="8"/>
    <m/>
    <m/>
    <n v="86"/>
    <n v="86"/>
    <m/>
    <m/>
    <m/>
    <m/>
    <m/>
    <m/>
    <m/>
    <m/>
    <n v="688"/>
    <n v="688"/>
    <s v="MMR012CMP018"/>
    <x v="0"/>
    <n v="0.51228592702903941"/>
    <n v="0"/>
    <n v="0"/>
    <m/>
  </r>
  <r>
    <d v="2013-10-01T00:00:00"/>
    <x v="2"/>
    <s v="Government"/>
    <x v="0"/>
    <x v="0"/>
    <s v="Maw Ti Ngar"/>
    <n v="8"/>
    <m/>
    <m/>
    <n v="78"/>
    <n v="78"/>
    <m/>
    <m/>
    <m/>
    <m/>
    <m/>
    <m/>
    <m/>
    <m/>
    <n v="624"/>
    <n v="624"/>
    <s v="MMR012CMP092"/>
    <x v="0"/>
    <n v="1.0048309178743962"/>
    <n v="0"/>
    <n v="0"/>
    <m/>
  </r>
  <r>
    <d v="2013-10-01T00:00:00"/>
    <x v="6"/>
    <s v="UNHCR"/>
    <x v="0"/>
    <x v="1"/>
    <s v="Nget Chaung"/>
    <n v="8"/>
    <m/>
    <m/>
    <n v="169"/>
    <n v="169"/>
    <m/>
    <m/>
    <m/>
    <m/>
    <m/>
    <m/>
    <m/>
    <m/>
    <n v="1352"/>
    <n v="0"/>
    <s v="MMR012CMP017"/>
    <x v="2"/>
    <s v=""/>
    <n v="0"/>
    <n v="0"/>
    <m/>
  </r>
  <r>
    <d v="2013-10-01T00:00:00"/>
    <x v="11"/>
    <s v="CARE"/>
    <x v="0"/>
    <x v="0"/>
    <s v="Ohn Taw Gyi (North)"/>
    <n v="8"/>
    <m/>
    <m/>
    <n v="45"/>
    <n v="45"/>
    <m/>
    <m/>
    <m/>
    <m/>
    <m/>
    <m/>
    <m/>
    <m/>
    <n v="360"/>
    <n v="360"/>
    <s v="MMR012CMP115"/>
    <x v="0"/>
    <n v="0.13493253373313344"/>
    <n v="0"/>
    <n v="0"/>
    <m/>
  </r>
  <r>
    <d v="2013-10-01T00:00:00"/>
    <x v="2"/>
    <s v="Government"/>
    <x v="0"/>
    <x v="0"/>
    <s v="Ohn Taw Gyi (North)"/>
    <n v="8"/>
    <m/>
    <m/>
    <n v="60"/>
    <n v="60"/>
    <m/>
    <m/>
    <m/>
    <m/>
    <m/>
    <m/>
    <m/>
    <m/>
    <n v="480"/>
    <n v="480"/>
    <s v="MMR012CMP115"/>
    <x v="0"/>
    <n v="0.17991004497751126"/>
    <n v="0"/>
    <n v="0"/>
    <m/>
  </r>
  <r>
    <d v="2013-10-01T00:00:00"/>
    <x v="15"/>
    <s v="MRF"/>
    <x v="0"/>
    <x v="0"/>
    <s v="Ohn Taw Gyi (North)"/>
    <n v="8"/>
    <m/>
    <m/>
    <n v="115"/>
    <n v="115"/>
    <m/>
    <m/>
    <m/>
    <m/>
    <m/>
    <m/>
    <m/>
    <m/>
    <n v="920"/>
    <n v="920"/>
    <s v="MMR012CMP115"/>
    <x v="0"/>
    <n v="0.34482758620689657"/>
    <n v="0"/>
    <n v="0"/>
    <m/>
  </r>
  <r>
    <d v="2013-10-01T00:00:00"/>
    <x v="6"/>
    <s v="UNHCR"/>
    <x v="0"/>
    <x v="0"/>
    <s v="Ohn Taw Gyi (North)"/>
    <n v="8"/>
    <m/>
    <m/>
    <n v="115"/>
    <n v="115"/>
    <m/>
    <m/>
    <m/>
    <m/>
    <m/>
    <m/>
    <m/>
    <m/>
    <n v="920"/>
    <n v="920"/>
    <s v="MMR012CMP115"/>
    <x v="0"/>
    <n v="0.34482758620689657"/>
    <n v="0"/>
    <n v="0"/>
    <m/>
  </r>
  <r>
    <d v="2013-10-01T00:00:00"/>
    <x v="2"/>
    <s v="Government"/>
    <x v="0"/>
    <x v="0"/>
    <s v="Ohn Taw Gyi (South)"/>
    <n v="8"/>
    <m/>
    <m/>
    <n v="221"/>
    <n v="221"/>
    <m/>
    <m/>
    <m/>
    <m/>
    <m/>
    <m/>
    <m/>
    <m/>
    <n v="1768"/>
    <n v="1768"/>
    <s v="MMR012CMP116"/>
    <x v="0"/>
    <n v="0.78264718902169106"/>
    <n v="0"/>
    <n v="0"/>
    <m/>
  </r>
  <r>
    <d v="2013-10-01T00:00:00"/>
    <x v="2"/>
    <s v="Government"/>
    <x v="0"/>
    <x v="0"/>
    <s v="Ohn Taw Gyi (South)"/>
    <n v="10"/>
    <m/>
    <m/>
    <n v="20"/>
    <n v="20"/>
    <m/>
    <m/>
    <m/>
    <m/>
    <m/>
    <m/>
    <m/>
    <m/>
    <n v="200"/>
    <n v="200"/>
    <s v="MMR012CMP116"/>
    <x v="0"/>
    <n v="8.8534749889331563E-2"/>
    <n v="0"/>
    <n v="0"/>
    <m/>
  </r>
  <r>
    <d v="2013-10-01T00:00:00"/>
    <x v="6"/>
    <s v="UNHCR"/>
    <x v="0"/>
    <x v="0"/>
    <s v="Ohn Taw Gyi (South)"/>
    <n v="8"/>
    <m/>
    <m/>
    <n v="35"/>
    <n v="35"/>
    <m/>
    <m/>
    <m/>
    <m/>
    <m/>
    <m/>
    <m/>
    <m/>
    <n v="280"/>
    <n v="280"/>
    <s v="MMR012CMP116"/>
    <x v="0"/>
    <n v="0.12394864984506419"/>
    <n v="0"/>
    <n v="0"/>
    <m/>
  </r>
  <r>
    <d v="2013-10-01T00:00:00"/>
    <x v="8"/>
    <s v="DRC"/>
    <x v="0"/>
    <x v="0"/>
    <s v="Say Tha Mar Gyi"/>
    <n v="8"/>
    <m/>
    <m/>
    <n v="27"/>
    <n v="27"/>
    <m/>
    <m/>
    <m/>
    <m/>
    <m/>
    <m/>
    <m/>
    <m/>
    <n v="216"/>
    <n v="216"/>
    <s v="MMR012CMP045"/>
    <x v="0"/>
    <n v="8.0237741456166425E-2"/>
    <n v="0"/>
    <n v="0"/>
    <m/>
  </r>
  <r>
    <d v="2013-10-01T00:00:00"/>
    <x v="2"/>
    <s v="Government"/>
    <x v="0"/>
    <x v="0"/>
    <s v="Say Tha Mar Gyi"/>
    <n v="10"/>
    <m/>
    <m/>
    <n v="63"/>
    <n v="63"/>
    <m/>
    <m/>
    <m/>
    <m/>
    <m/>
    <m/>
    <m/>
    <m/>
    <n v="630"/>
    <n v="630"/>
    <s v="MMR012CMP045"/>
    <x v="0"/>
    <n v="0.23402674591381872"/>
    <n v="0"/>
    <n v="0"/>
    <m/>
  </r>
  <r>
    <d v="2013-10-01T00:00:00"/>
    <x v="1"/>
    <s v="IRW"/>
    <x v="0"/>
    <x v="0"/>
    <s v="Say Tha Mar Gyi"/>
    <n v="8"/>
    <m/>
    <m/>
    <n v="40"/>
    <n v="40"/>
    <m/>
    <m/>
    <m/>
    <m/>
    <m/>
    <m/>
    <m/>
    <m/>
    <n v="320"/>
    <n v="320"/>
    <s v="MMR012CMP045"/>
    <x v="0"/>
    <n v="0.1188707280832095"/>
    <n v="0"/>
    <n v="0"/>
    <m/>
  </r>
  <r>
    <d v="2013-10-01T00:00:00"/>
    <x v="16"/>
    <s v="MRCS"/>
    <x v="0"/>
    <x v="0"/>
    <s v="Say Tha Mar Gyi"/>
    <n v="8"/>
    <m/>
    <m/>
    <n v="60"/>
    <n v="60"/>
    <m/>
    <m/>
    <m/>
    <m/>
    <m/>
    <m/>
    <m/>
    <m/>
    <n v="480"/>
    <n v="480"/>
    <s v="MMR012CMP045"/>
    <x v="0"/>
    <n v="0.17830609212481427"/>
    <n v="0"/>
    <n v="0"/>
    <m/>
  </r>
  <r>
    <d v="2013-10-01T00:00:00"/>
    <x v="15"/>
    <s v="MRF"/>
    <x v="0"/>
    <x v="0"/>
    <s v="Say Tha Mar Gyi"/>
    <n v="10"/>
    <m/>
    <m/>
    <n v="77"/>
    <n v="77"/>
    <m/>
    <m/>
    <m/>
    <m/>
    <m/>
    <m/>
    <m/>
    <m/>
    <n v="770"/>
    <n v="770"/>
    <s v="MMR012CMP045"/>
    <x v="0"/>
    <n v="0.28603268945022287"/>
    <n v="0"/>
    <n v="0"/>
    <m/>
  </r>
  <r>
    <d v="2013-10-01T00:00:00"/>
    <x v="6"/>
    <s v="UNHCR"/>
    <x v="0"/>
    <x v="0"/>
    <s v="Say Tha Mar Gyi"/>
    <n v="8"/>
    <m/>
    <m/>
    <n v="33"/>
    <n v="33"/>
    <m/>
    <m/>
    <m/>
    <m/>
    <m/>
    <m/>
    <m/>
    <m/>
    <n v="264"/>
    <n v="264"/>
    <s v="MMR012CMP045"/>
    <x v="0"/>
    <n v="9.8068350668647844E-2"/>
    <n v="0"/>
    <n v="0"/>
    <m/>
  </r>
  <r>
    <d v="2013-10-01T00:00:00"/>
    <x v="8"/>
    <s v="DRC"/>
    <x v="0"/>
    <x v="1"/>
    <s v="Sin Tet Maw"/>
    <n v="8"/>
    <m/>
    <m/>
    <n v="94"/>
    <n v="94"/>
    <m/>
    <m/>
    <m/>
    <m/>
    <m/>
    <m/>
    <m/>
    <m/>
    <n v="752"/>
    <n v="752"/>
    <s v="MMR012CMP019"/>
    <x v="0"/>
    <n v="1.2188006482982172"/>
    <n v="0"/>
    <n v="0"/>
    <m/>
  </r>
  <r>
    <d v="2013-10-01T00:00:00"/>
    <x v="6"/>
    <s v="UNHCR"/>
    <x v="0"/>
    <x v="6"/>
    <s v="Taung Paw "/>
    <n v="8"/>
    <m/>
    <m/>
    <n v="89"/>
    <n v="89"/>
    <m/>
    <m/>
    <m/>
    <m/>
    <m/>
    <m/>
    <m/>
    <m/>
    <n v="712"/>
    <n v="712"/>
    <s v="MMR012CMP014"/>
    <x v="0"/>
    <n v="1.0363901018922852"/>
    <n v="0"/>
    <n v="0"/>
    <m/>
  </r>
  <r>
    <d v="2013-10-01T00:00:00"/>
    <x v="11"/>
    <s v="CARE"/>
    <x v="0"/>
    <x v="0"/>
    <s v="Thet Kae Pyin "/>
    <n v="8"/>
    <m/>
    <m/>
    <n v="63"/>
    <n v="63"/>
    <n v="0"/>
    <m/>
    <m/>
    <m/>
    <m/>
    <m/>
    <m/>
    <m/>
    <n v="504"/>
    <n v="504"/>
    <s v="MMR012CMP048"/>
    <x v="0"/>
    <n v="0.51376146788990829"/>
    <n v="0"/>
    <n v="0"/>
    <m/>
  </r>
  <r>
    <d v="2013-10-01T00:00:00"/>
    <x v="2"/>
    <s v="Government"/>
    <x v="0"/>
    <x v="0"/>
    <s v="Thet Kae Pyin "/>
    <n v="8"/>
    <m/>
    <m/>
    <n v="60"/>
    <n v="60"/>
    <m/>
    <m/>
    <m/>
    <m/>
    <m/>
    <m/>
    <m/>
    <m/>
    <n v="480"/>
    <n v="480"/>
    <s v="MMR012CMP048"/>
    <x v="0"/>
    <n v="0.4892966360856269"/>
    <n v="0"/>
    <n v="0"/>
    <m/>
  </r>
  <r>
    <d v="2013-10-01T00:00:00"/>
    <x v="15"/>
    <s v="MRF"/>
    <x v="0"/>
    <x v="0"/>
    <s v="Ohn Taw Gyi (South)"/>
    <n v="8"/>
    <m/>
    <m/>
    <n v="9"/>
    <n v="9"/>
    <m/>
    <m/>
    <m/>
    <m/>
    <m/>
    <m/>
    <m/>
    <m/>
    <n v="72"/>
    <n v="72"/>
    <s v="MMR012CMP116"/>
    <x v="0"/>
    <n v="3.1872509960159362E-2"/>
    <n v="0"/>
    <n v="0"/>
    <m/>
  </r>
  <r>
    <d v="2013-10-01T00:00:00"/>
    <x v="7"/>
    <s v="RSG-TIKA"/>
    <x v="0"/>
    <x v="1"/>
    <s v="Nget Chaung 1"/>
    <n v="1"/>
    <m/>
    <m/>
    <m/>
    <m/>
    <m/>
    <m/>
    <m/>
    <m/>
    <m/>
    <n v="891"/>
    <n v="891"/>
    <m/>
    <n v="891"/>
    <n v="891"/>
    <s v="MMR012CMP017"/>
    <x v="0"/>
    <n v="0.88217821782178218"/>
    <n v="891"/>
    <n v="891"/>
    <m/>
  </r>
  <r>
    <d v="2013-10-01T00:00:00"/>
    <x v="6"/>
    <s v="UNHCR"/>
    <x v="0"/>
    <x v="1"/>
    <s v="Nget Chaung 2"/>
    <n v="8"/>
    <m/>
    <m/>
    <n v="87"/>
    <n v="87"/>
    <m/>
    <m/>
    <m/>
    <m/>
    <m/>
    <m/>
    <m/>
    <m/>
    <n v="696"/>
    <n v="696"/>
    <s v="MMR012CMP017"/>
    <x v="0"/>
    <n v="0.76906077348066293"/>
    <n v="0"/>
    <n v="0"/>
    <m/>
  </r>
  <r>
    <d v="2013-10-01T00:00:00"/>
    <x v="2"/>
    <s v="Government"/>
    <x v="0"/>
    <x v="0"/>
    <s v="Mingan"/>
    <n v="1"/>
    <m/>
    <m/>
    <m/>
    <m/>
    <m/>
    <m/>
    <m/>
    <m/>
    <m/>
    <n v="151"/>
    <n v="151"/>
    <m/>
    <n v="151"/>
    <n v="0"/>
    <s v="MMR012CMP093"/>
    <x v="1"/>
    <n v="1"/>
    <n v="151"/>
    <n v="151"/>
    <m/>
  </r>
  <r>
    <d v="2013-10-01T00:00:00"/>
    <x v="2"/>
    <s v="Government"/>
    <x v="0"/>
    <x v="1"/>
    <s v="Ba Wan Chaung Wa Su"/>
    <n v="1"/>
    <m/>
    <m/>
    <m/>
    <m/>
    <m/>
    <m/>
    <m/>
    <m/>
    <m/>
    <n v="21"/>
    <n v="21"/>
    <m/>
    <n v="21"/>
    <n v="21"/>
    <s v="MMR012CMP015"/>
    <x v="1"/>
    <n v="1"/>
    <n v="21"/>
    <n v="21"/>
    <m/>
  </r>
  <r>
    <d v="2013-10-01T00:00:00"/>
    <x v="2"/>
    <s v="Government"/>
    <x v="0"/>
    <x v="0"/>
    <s v="Sat Roe Kya 1"/>
    <n v="1"/>
    <m/>
    <m/>
    <m/>
    <m/>
    <m/>
    <m/>
    <m/>
    <m/>
    <m/>
    <n v="249"/>
    <n v="249"/>
    <m/>
    <n v="249"/>
    <n v="0"/>
    <s v="MMR012CMP111"/>
    <x v="1"/>
    <n v="1"/>
    <n v="249"/>
    <n v="249"/>
    <m/>
  </r>
  <r>
    <d v="2013-10-01T00:00:00"/>
    <x v="2"/>
    <s v="Government"/>
    <x v="0"/>
    <x v="0"/>
    <s v="Sat Roe Kya 2"/>
    <n v="1"/>
    <m/>
    <m/>
    <m/>
    <m/>
    <m/>
    <m/>
    <m/>
    <m/>
    <m/>
    <n v="420"/>
    <n v="420"/>
    <m/>
    <n v="420"/>
    <n v="0"/>
    <s v="MMR012CMP112"/>
    <x v="1"/>
    <n v="1"/>
    <n v="420"/>
    <n v="420"/>
    <m/>
  </r>
</pivotCacheRecords>
</file>

<file path=xl/pivotCache/pivotCacheRecords7.xml><?xml version="1.0" encoding="utf-8"?>
<pivotCacheRecords xmlns="http://schemas.openxmlformats.org/spreadsheetml/2006/main" xmlns:r="http://schemas.openxmlformats.org/officeDocument/2006/relationships" count="127">
  <r>
    <x v="0"/>
    <x v="0"/>
    <s v="MMR012"/>
    <s v="Sittwe"/>
    <s v="MMR012D001"/>
    <x v="0"/>
    <s v="MMR012007"/>
    <s v="Pein Hne Chaung"/>
    <s v="MMR012007049"/>
    <s v="Kyauk Pyin Seik"/>
    <n v="197537"/>
    <x v="0"/>
    <x v="0"/>
    <n v="92.985095000000001"/>
    <n v="20.108101999999999"/>
    <m/>
    <n v="1238"/>
    <n v="4364"/>
    <n v="3.7019064124783361"/>
    <s v="Accessible by All"/>
    <s v="IDP"/>
    <x v="0"/>
    <m/>
    <m/>
    <x v="0"/>
    <s v="Muslim"/>
    <x v="0"/>
    <s v="Rural"/>
    <x v="0"/>
    <x v="0"/>
    <s v="Individual Household"/>
    <s v="Household Headcount Survey"/>
    <d v="2018-03-31T00:00:00"/>
    <m/>
    <x v="0"/>
    <n v="0.62035541195476573"/>
  </r>
  <r>
    <x v="0"/>
    <x v="0"/>
    <s v="MMR012"/>
    <s v="Sittwe"/>
    <s v="MMR012D001"/>
    <x v="1"/>
    <s v="MMR012001"/>
    <s v="San Pya Ward"/>
    <s v="MMR012002701"/>
    <s v="Ah Nauk San Pya Ward"/>
    <s v="MMR012001701522"/>
    <x v="1"/>
    <x v="1"/>
    <n v="92.875814000000005"/>
    <n v="20.128488999999998"/>
    <m/>
    <n v="392"/>
    <n v="2252"/>
    <n v="5.1612090680100753"/>
    <s v="Accessible by All"/>
    <s v="IDP"/>
    <x v="0"/>
    <m/>
    <m/>
    <x v="0"/>
    <s v="Muslim"/>
    <x v="0"/>
    <s v="Rural"/>
    <x v="0"/>
    <x v="0"/>
    <s v="Individual Household"/>
    <s v="Household Headcount Survey"/>
    <d v="2018-03-31T00:00:00"/>
    <m/>
    <x v="0"/>
    <n v="1"/>
  </r>
  <r>
    <x v="0"/>
    <x v="0"/>
    <s v="MMR012"/>
    <s v="Sittwe"/>
    <s v="MMR012D001"/>
    <x v="1"/>
    <s v="MMR012001"/>
    <s v="Khaung Doke Kar"/>
    <s v="MMR012001025"/>
    <s v="Baw Du Hpa"/>
    <n v="196192"/>
    <x v="2"/>
    <x v="2"/>
    <n v="92.804803000000007"/>
    <n v="20.182987000000001"/>
    <m/>
    <n v="41"/>
    <n v="226"/>
    <n v="5.5121951219512191"/>
    <s v="Accessible by All"/>
    <s v="IDP"/>
    <x v="1"/>
    <m/>
    <m/>
    <x v="0"/>
    <s v="Muslim"/>
    <x v="0"/>
    <s v="Rural"/>
    <x v="1"/>
    <x v="1"/>
    <s v="Camp/Community Leader"/>
    <s v="Estimate"/>
    <d v="2018-03-31T00:00:00"/>
    <m/>
    <x v="1"/>
    <n v="0"/>
  </r>
  <r>
    <x v="0"/>
    <x v="0"/>
    <s v="MMR012"/>
    <s v="Sittwe"/>
    <s v="MMR012D001"/>
    <x v="1"/>
    <s v="MMR012001"/>
    <s v="Khaung Doke Kar"/>
    <s v="MMR012001025"/>
    <s v="Baw Du Hpa"/>
    <n v="196192"/>
    <x v="3"/>
    <x v="3"/>
    <n v="92.813028000000003"/>
    <n v="20.179417000000001"/>
    <m/>
    <n v="1028"/>
    <n v="4833"/>
    <n v="4.8655967903711135"/>
    <s v="Accessible by All"/>
    <s v="IDP"/>
    <x v="0"/>
    <m/>
    <m/>
    <x v="0"/>
    <s v="Muslim"/>
    <x v="0"/>
    <s v="Rural"/>
    <x v="0"/>
    <x v="2"/>
    <s v="Individual Household"/>
    <s v="Household Headcount Survey"/>
    <d v="2018-03-31T00:00:00"/>
    <m/>
    <x v="2"/>
    <n v="0.98832684824902717"/>
  </r>
  <r>
    <x v="1"/>
    <x v="0"/>
    <s v="MMR012"/>
    <s v="Kyaukpyu"/>
    <s v="MMR012D003"/>
    <x v="2"/>
    <s v="MMR012013"/>
    <s v="Kha Maung Chi Taing"/>
    <s v="MMR012013020"/>
    <s v="No (6) Ward"/>
    <s v="MMR012013701506"/>
    <x v="4"/>
    <x v="4"/>
    <n v="93.857592999999994"/>
    <n v="19.088283000000001"/>
    <m/>
    <m/>
    <m/>
    <m/>
    <s v="Accessible by All"/>
    <s v="IDP"/>
    <x v="0"/>
    <m/>
    <m/>
    <x v="0"/>
    <m/>
    <x v="1"/>
    <m/>
    <x v="2"/>
    <x v="3"/>
    <s v="Camp/Community Leader"/>
    <s v="Estimate"/>
    <d v="2017-06-07T00:00:00"/>
    <s v="Population ( HH=57/Ind=187)"/>
    <x v="3"/>
    <n v="0"/>
  </r>
  <r>
    <x v="0"/>
    <x v="0"/>
    <s v="MMR012"/>
    <s v="Sittwe"/>
    <s v="MMR012D001"/>
    <x v="1"/>
    <s v="MMR012001"/>
    <s v="Khaung Doke Kar"/>
    <s v="MMR012001025"/>
    <s v="Baw Du Hpa"/>
    <n v="196192"/>
    <x v="5"/>
    <x v="5"/>
    <n v="92.807552000000001"/>
    <n v="20.181405999999999"/>
    <m/>
    <n v="1340"/>
    <n v="7377"/>
    <n v="5.3330763299922896"/>
    <s v="Accessible by All"/>
    <s v="IDP"/>
    <x v="0"/>
    <m/>
    <m/>
    <x v="0"/>
    <s v="Muslim"/>
    <x v="0"/>
    <s v="Rural"/>
    <x v="0"/>
    <x v="2"/>
    <s v="Individual Household"/>
    <s v="Household Headcount Survey"/>
    <d v="2018-03-31T00:00:00"/>
    <m/>
    <x v="2"/>
    <n v="1"/>
  </r>
  <r>
    <x v="0"/>
    <x v="0"/>
    <s v="MMR012"/>
    <s v="Sittwe"/>
    <s v="MMR012D001"/>
    <x v="1"/>
    <s v="MMR012001"/>
    <s v="Bu May"/>
    <s v="MMR012001027"/>
    <s v="Dar Paing Ywar Thit"/>
    <n v="196206"/>
    <x v="6"/>
    <x v="6"/>
    <n v="92.827427"/>
    <n v="20.16846"/>
    <m/>
    <n v="1983"/>
    <n v="11363"/>
    <n v="5.8618468146027203"/>
    <s v="Accessible by All"/>
    <s v="IDP"/>
    <x v="0"/>
    <m/>
    <m/>
    <x v="0"/>
    <s v="Muslim"/>
    <x v="0"/>
    <s v="Rural"/>
    <x v="0"/>
    <x v="2"/>
    <s v="Individual Household"/>
    <s v="Household Headcount Survey"/>
    <d v="2018-03-31T00:00:00"/>
    <s v="This figure includes 2,500 IDPs (510 HH) living in makeshift shelter"/>
    <x v="2"/>
    <n v="0.98991427130610188"/>
  </r>
  <r>
    <x v="0"/>
    <x v="0"/>
    <s v="MMR012"/>
    <s v="Sittwe"/>
    <s v="MMR012D001"/>
    <x v="1"/>
    <s v="MMR012001"/>
    <s v="Bu May"/>
    <s v="MMR012001027"/>
    <s v="Dar Paing Ywar Thit"/>
    <n v="196206"/>
    <x v="7"/>
    <x v="7"/>
    <n v="92.830074999999994"/>
    <n v="20.167421999999998"/>
    <m/>
    <n v="518"/>
    <n v="2951"/>
    <n v="5.6969111969111967"/>
    <s v="Accessible by All"/>
    <s v="IDP"/>
    <x v="1"/>
    <m/>
    <m/>
    <x v="0"/>
    <s v="Muslim"/>
    <x v="0"/>
    <s v="Rural"/>
    <x v="1"/>
    <x v="1"/>
    <s v="Camp/Community Leader"/>
    <s v="Estimate"/>
    <d v="2018-03-31T00:00:00"/>
    <m/>
    <x v="1"/>
    <n v="0"/>
  </r>
  <r>
    <x v="0"/>
    <x v="0"/>
    <s v="MMR012"/>
    <s v="Sittwe"/>
    <s v="MMR012D001"/>
    <x v="3"/>
    <s v="MMR012004"/>
    <s v="Wa Kin"/>
    <s v="MMR012004028"/>
    <s v="Ni Din"/>
    <n v="196829"/>
    <x v="8"/>
    <x v="8"/>
    <n v="92.965980999999999"/>
    <n v="20.865687000000001"/>
    <m/>
    <n v="85"/>
    <n v="546"/>
    <n v="6.8"/>
    <s v="Accessible by All"/>
    <s v="IDP"/>
    <x v="2"/>
    <s v="Yes"/>
    <m/>
    <x v="0"/>
    <s v="Muslim"/>
    <x v="0"/>
    <s v="Rural"/>
    <x v="1"/>
    <x v="1"/>
    <s v="Camp/Community Leader"/>
    <s v="Household survey"/>
    <d v="2018-03-31T00:00:00"/>
    <s v="Increased of 15 IDPs (April) - UNHCR Protection"/>
    <x v="1"/>
    <n v="0.84705882352941175"/>
  </r>
  <r>
    <x v="0"/>
    <x v="0"/>
    <s v="MMR012"/>
    <s v="Sittwe"/>
    <s v="MMR012D001"/>
    <x v="1"/>
    <s v="MMR012001"/>
    <s v="Khaung Doke Kar"/>
    <s v="MMR012001025"/>
    <s v="Khaung Doke Kar"/>
    <n v="196191"/>
    <x v="9"/>
    <x v="9"/>
    <n v="92.823166999999998"/>
    <n v="20.181778000000001"/>
    <m/>
    <n v="799"/>
    <n v="4481"/>
    <n v="5.4411027568922306"/>
    <s v="Accessible by All"/>
    <s v="IDP"/>
    <x v="0"/>
    <m/>
    <m/>
    <x v="0"/>
    <s v="Muslim"/>
    <x v="0"/>
    <s v="Rural"/>
    <x v="0"/>
    <x v="0"/>
    <s v="Individual Household"/>
    <s v="Household Headcount Survey"/>
    <d v="2018-03-31T00:00:00"/>
    <m/>
    <x v="0"/>
    <n v="1"/>
  </r>
  <r>
    <x v="0"/>
    <x v="0"/>
    <s v="MMR012"/>
    <s v="Sittwe"/>
    <s v="MMR012D001"/>
    <x v="0"/>
    <s v="MMR012007"/>
    <s v="Pein Hne Chaung"/>
    <s v="MMR012007049"/>
    <s v="Kyein Ni Pyin"/>
    <s v="197533"/>
    <x v="10"/>
    <x v="10"/>
    <n v="93.010368999999997"/>
    <n v="20.090183"/>
    <m/>
    <n v="1343"/>
    <n v="5945"/>
    <n v="4.8249227600411899"/>
    <s v="Accessible by All"/>
    <s v="IDP"/>
    <x v="0"/>
    <m/>
    <m/>
    <x v="0"/>
    <s v="Muslim"/>
    <x v="0"/>
    <s v="Rural"/>
    <x v="0"/>
    <x v="2"/>
    <m/>
    <s v="Household Headcount Survey"/>
    <d v="2018-03-31T00:00:00"/>
    <m/>
    <x v="2"/>
    <n v="0.99478778853313476"/>
  </r>
  <r>
    <x v="0"/>
    <x v="0"/>
    <s v="MMR012"/>
    <s v="Sittwe"/>
    <s v="MMR012D001"/>
    <x v="1"/>
    <s v="MMR012001"/>
    <s v="Bu May"/>
    <s v="MMR012001027"/>
    <s v="Bu May"/>
    <n v="196200"/>
    <x v="11"/>
    <x v="11"/>
    <n v="92.831000000000003"/>
    <n v="20.185917"/>
    <m/>
    <n v="621"/>
    <n v="3440"/>
    <n v="5.3717948717948714"/>
    <s v="Accessible by All"/>
    <s v="IDP"/>
    <x v="0"/>
    <m/>
    <m/>
    <x v="0"/>
    <s v="Muslim"/>
    <x v="0"/>
    <s v="Rural"/>
    <x v="0"/>
    <x v="4"/>
    <s v="Individual Household"/>
    <s v="Household Headcount Survey"/>
    <d v="2018-03-31T00:00:00"/>
    <m/>
    <x v="4"/>
    <n v="1"/>
  </r>
  <r>
    <x v="0"/>
    <x v="0"/>
    <s v="MMR012"/>
    <s v="Sittwe"/>
    <s v="MMR012D001"/>
    <x v="0"/>
    <s v="MMR012007"/>
    <s v="Pon Nar Gyi"/>
    <s v="MMR012007012"/>
    <s v="Cha Eik"/>
    <s v="197414"/>
    <x v="12"/>
    <x v="12"/>
    <n v="93.154551999999995"/>
    <n v="20.073437999999999"/>
    <m/>
    <n v="905"/>
    <n v="4079"/>
    <n v="4.7418321588725201"/>
    <s v="Accessible by All"/>
    <s v="IDP"/>
    <x v="0"/>
    <m/>
    <m/>
    <x v="0"/>
    <s v="Muslim"/>
    <x v="0"/>
    <s v="Rural"/>
    <x v="0"/>
    <x v="0"/>
    <m/>
    <s v="Household Headcount Survey"/>
    <d v="2018-03-31T00:00:00"/>
    <m/>
    <x v="0"/>
    <n v="1"/>
  </r>
  <r>
    <x v="0"/>
    <x v="0"/>
    <s v="MMR012"/>
    <s v="Sittwe"/>
    <s v="MMR012D001"/>
    <x v="1"/>
    <s v="MMR012001"/>
    <s v="Say Tha Mar"/>
    <s v="MMR012001010"/>
    <s v="Ohn Taw Shey"/>
    <n v="196158"/>
    <x v="13"/>
    <x v="13"/>
    <n v="92.774193999999994"/>
    <n v="20.206778"/>
    <m/>
    <n v="734"/>
    <n v="4007"/>
    <n v="5.221879815100154"/>
    <s v="Accessible by All"/>
    <s v="IDP"/>
    <x v="0"/>
    <m/>
    <m/>
    <x v="0"/>
    <s v="Muslim"/>
    <x v="0"/>
    <s v="Rural"/>
    <x v="0"/>
    <x v="2"/>
    <s v="Individual Household"/>
    <s v="Household Headcount Survey"/>
    <d v="2018-03-31T00:00:00"/>
    <m/>
    <x v="2"/>
    <n v="0.87193460490463215"/>
  </r>
  <r>
    <x v="0"/>
    <x v="0"/>
    <s v="MMR012"/>
    <s v="Sittwe"/>
    <s v="MMR012D001"/>
    <x v="1"/>
    <s v="MMR012001"/>
    <s v="Khaung Doke Kar"/>
    <s v="MMR012001025"/>
    <s v="Baw Du Hpa"/>
    <n v="196192"/>
    <x v="14"/>
    <x v="14"/>
    <n v="92.798880999999994"/>
    <n v="20.18994"/>
    <m/>
    <n v="2668"/>
    <n v="13794"/>
    <n v="5.1939901103081016"/>
    <s v="Accessible by All"/>
    <s v="IDP"/>
    <x v="0"/>
    <m/>
    <m/>
    <x v="0"/>
    <s v="Muslim"/>
    <x v="0"/>
    <s v="Rural"/>
    <x v="0"/>
    <x v="2"/>
    <s v="Individual Household"/>
    <s v="Household Headcount Survey"/>
    <d v="2018-03-31T00:00:00"/>
    <m/>
    <x v="2"/>
    <n v="1"/>
  </r>
  <r>
    <x v="0"/>
    <x v="0"/>
    <s v="MMR012"/>
    <s v="Kyaukpyu"/>
    <s v="MMR012D003"/>
    <x v="4"/>
    <s v="MMR012011"/>
    <s v="Gone Chein"/>
    <s v="MMR012011006"/>
    <s v="Say Poke Kay"/>
    <n v="198486"/>
    <x v="15"/>
    <x v="15"/>
    <n v="93.512326000000002"/>
    <n v="19.424576999999999"/>
    <m/>
    <n v="415"/>
    <n v="1050"/>
    <n v="2.9836065573770494"/>
    <s v="Accessible by All"/>
    <s v="IDP"/>
    <x v="0"/>
    <m/>
    <m/>
    <x v="0"/>
    <s v="Muslim"/>
    <x v="0"/>
    <s v="Rural"/>
    <x v="1"/>
    <x v="1"/>
    <s v="Camp/Community Leader"/>
    <s v="Estimate"/>
    <d v="2018-03-31T00:00:00"/>
    <m/>
    <x v="1"/>
    <n v="1"/>
  </r>
  <r>
    <x v="1"/>
    <x v="0"/>
    <s v="MMR012"/>
    <s v="Kyaukpyu"/>
    <s v="MMR012D003"/>
    <x v="2"/>
    <s v="MMR012013"/>
    <s v="Kha Maung Chi Taing"/>
    <s v="MMR012013020"/>
    <s v="Kha Maung Chay Taing"/>
    <s v="198950"/>
    <x v="16"/>
    <x v="16"/>
    <n v="93.865170000000006"/>
    <n v="19.091054"/>
    <m/>
    <m/>
    <m/>
    <m/>
    <s v="Accessible by All"/>
    <s v="IDP"/>
    <x v="2"/>
    <m/>
    <m/>
    <x v="1"/>
    <s v="Buddhist"/>
    <x v="2"/>
    <s v="Rural"/>
    <x v="2"/>
    <x v="3"/>
    <s v="Camp/Community Leader"/>
    <s v="Estimate"/>
    <d v="2017-06-30T00:00:00"/>
    <s v="Population ( HH=18/Ind=77)"/>
    <x v="3"/>
    <n v="0"/>
  </r>
  <r>
    <x v="0"/>
    <x v="0"/>
    <s v="MMR012"/>
    <s v="Sittwe"/>
    <s v="MMR012D001"/>
    <x v="1"/>
    <s v="MMR012001"/>
    <s v="Khaung Doke Kar"/>
    <s v="MMR012001025"/>
    <s v="Baw Du Hpa"/>
    <n v="196192"/>
    <x v="17"/>
    <x v="17"/>
    <n v="92.802295999999998"/>
    <n v="20.185092000000001"/>
    <m/>
    <n v="2259"/>
    <n v="11234"/>
    <n v="5.2180115916183683"/>
    <s v="Accessible by All"/>
    <s v="IDP"/>
    <x v="0"/>
    <m/>
    <m/>
    <x v="0"/>
    <s v="Muslim"/>
    <x v="0"/>
    <s v="Rural"/>
    <x v="0"/>
    <x v="0"/>
    <s v="Individual Household"/>
    <s v="Household Headcount Survey"/>
    <d v="2018-03-31T00:00:00"/>
    <m/>
    <x v="0"/>
    <n v="1"/>
  </r>
  <r>
    <x v="0"/>
    <x v="0"/>
    <s v="MMR012"/>
    <s v="Sittwe"/>
    <s v="MMR012D001"/>
    <x v="1"/>
    <s v="MMR012001"/>
    <s v="Say Tha Mar"/>
    <s v="MMR012001010"/>
    <s v="Say Tha Mar Gyi"/>
    <n v="196154"/>
    <x v="18"/>
    <x v="18"/>
    <n v="92.792479999999998"/>
    <n v="20.202525000000001"/>
    <m/>
    <n v="2692"/>
    <n v="13743"/>
    <n v="4.9991789819376029"/>
    <s v="Accessible by All"/>
    <s v="IDP"/>
    <x v="0"/>
    <m/>
    <m/>
    <x v="0"/>
    <s v="Muslim"/>
    <x v="0"/>
    <s v="Rural"/>
    <x v="0"/>
    <x v="2"/>
    <s v="Individual Household"/>
    <s v="Household Headcount Survey"/>
    <d v="2018-03-31T00:00:00"/>
    <m/>
    <x v="2"/>
    <n v="0.99554234769687966"/>
  </r>
  <r>
    <x v="0"/>
    <x v="0"/>
    <s v="MMR012"/>
    <s v="Sittwe"/>
    <s v="MMR012D001"/>
    <x v="0"/>
    <s v="MMR012007"/>
    <s v="Sin Tet Maw"/>
    <s v="MMR012007051"/>
    <s v="Sin Tet Maw  "/>
    <n v="197548"/>
    <x v="19"/>
    <x v="19"/>
    <n v="92.993758999999997"/>
    <n v="20.064226000000001"/>
    <m/>
    <n v="617"/>
    <n v="2845"/>
    <n v="3.7519500780031203"/>
    <s v="Accessible by All"/>
    <s v="IDP"/>
    <x v="0"/>
    <m/>
    <m/>
    <x v="2"/>
    <s v="Muslim"/>
    <x v="3"/>
    <s v="Rural"/>
    <x v="0"/>
    <x v="2"/>
    <s v="Individual Household"/>
    <s v="Household Headcount Survey"/>
    <d v="2018-03-31T00:00:00"/>
    <m/>
    <x v="2"/>
    <n v="1"/>
  </r>
  <r>
    <x v="0"/>
    <x v="0"/>
    <s v="MMR012"/>
    <s v="Sittwe"/>
    <s v="MMR012D001"/>
    <x v="5"/>
    <s v="MMR012006"/>
    <s v="Ah Ngu"/>
    <s v="MMR012006001"/>
    <s v="Pyin Taw Che"/>
    <n v="217973"/>
    <x v="20"/>
    <x v="20"/>
    <n v="93.370037999999994"/>
    <n v="20.037655000000001"/>
    <m/>
    <n v="687"/>
    <n v="2606"/>
    <n v="4.043413173652695"/>
    <s v="Accessible by All"/>
    <s v="IDP"/>
    <x v="0"/>
    <m/>
    <m/>
    <x v="0"/>
    <s v="Muslim"/>
    <x v="0"/>
    <s v="Urban"/>
    <x v="1"/>
    <x v="5"/>
    <s v="Individual Household"/>
    <s v="Household Headcount Survey"/>
    <d v="2017-09-30T00:00:00"/>
    <m/>
    <x v="5"/>
    <n v="1"/>
  </r>
  <r>
    <x v="0"/>
    <x v="0"/>
    <s v="MMR012"/>
    <s v="Sittwe"/>
    <s v="MMR012D001"/>
    <x v="1"/>
    <s v="MMR012001"/>
    <s v="Bu May"/>
    <s v="MMR012001027"/>
    <s v="Thea Chaung  "/>
    <n v="196211"/>
    <x v="21"/>
    <x v="21"/>
    <n v="92.839416999999997"/>
    <n v="20.1585"/>
    <m/>
    <n v="2270"/>
    <n v="13049"/>
    <n v="5.4372960372960373"/>
    <s v="Accessible by All"/>
    <s v="IDP"/>
    <x v="2"/>
    <m/>
    <m/>
    <x v="0"/>
    <s v="Muslim"/>
    <x v="0"/>
    <s v="Rural"/>
    <x v="0"/>
    <x v="0"/>
    <s v="Individual Household"/>
    <s v="Household Headcount Survey"/>
    <d v="2018-03-31T00:00:00"/>
    <m/>
    <x v="0"/>
    <n v="1"/>
  </r>
  <r>
    <x v="0"/>
    <x v="0"/>
    <s v="MMR012"/>
    <s v="Sittwe"/>
    <s v="MMR012D001"/>
    <x v="1"/>
    <s v="MMR012001"/>
    <s v="Bu May"/>
    <s v="MMR012001027"/>
    <s v="Kha War De Ywar Haung"/>
    <n v="196186"/>
    <x v="22"/>
    <x v="22"/>
    <n v="92.831879000000001"/>
    <n v="20.179939999999998"/>
    <m/>
    <n v="981"/>
    <n v="5855"/>
    <n v="5.7479674796747968"/>
    <s v="Accessible by All"/>
    <s v="IDP"/>
    <x v="0"/>
    <m/>
    <m/>
    <x v="0"/>
    <s v="Muslim"/>
    <x v="0"/>
    <s v="Rural"/>
    <x v="0"/>
    <x v="4"/>
    <s v="Individual Household"/>
    <s v="Household Headcount Survey"/>
    <d v="2018-03-31T00:00:00"/>
    <m/>
    <x v="4"/>
    <n v="1"/>
  </r>
  <r>
    <x v="0"/>
    <x v="0"/>
    <s v="MMR012"/>
    <s v="Sittwe"/>
    <s v="MMR012D001"/>
    <x v="1"/>
    <s v="MMR012001"/>
    <s v="Bu May"/>
    <s v="MMR012001027"/>
    <s v="Kha War De Ywar Haung"/>
    <n v="196186"/>
    <x v="23"/>
    <x v="23"/>
    <n v="92.842230000000001"/>
    <n v="20.181742"/>
    <m/>
    <n v="496"/>
    <n v="2942"/>
    <n v="5.931451612903226"/>
    <s v="Accessible by All"/>
    <s v="IDP"/>
    <x v="1"/>
    <m/>
    <m/>
    <x v="0"/>
    <s v="Muslim"/>
    <x v="0"/>
    <s v="Rural"/>
    <x v="1"/>
    <x v="1"/>
    <s v="Camp/Community Leader"/>
    <s v="Estimate"/>
    <d v="2018-03-31T00:00:00"/>
    <m/>
    <x v="1"/>
    <n v="0"/>
  </r>
  <r>
    <x v="0"/>
    <x v="0"/>
    <s v="MMR012"/>
    <s v="Sittwe"/>
    <s v="MMR012D001"/>
    <x v="0"/>
    <s v="MMR012007"/>
    <s v="Pon Nar Gyi"/>
    <s v="MMR012007012"/>
    <s v="Cha Eik"/>
    <s v="197414"/>
    <x v="24"/>
    <x v="12"/>
    <n v="93.154551999999995"/>
    <n v="20.073437999999999"/>
    <m/>
    <n v="1010"/>
    <n v="4592"/>
    <n v="4.7418321588725201"/>
    <s v="Accessible by All"/>
    <s v="IDP"/>
    <x v="3"/>
    <m/>
    <m/>
    <x v="0"/>
    <s v="Muslim"/>
    <x v="0"/>
    <s v="Rural"/>
    <x v="0"/>
    <x v="0"/>
    <s v="Individual Household"/>
    <s v="Household Headcount Survey"/>
    <d v="2018-03-31T00:00:00"/>
    <m/>
    <x v="0"/>
    <n v="1"/>
  </r>
  <r>
    <x v="2"/>
    <x v="0"/>
    <s v="MMR012"/>
    <s v="Kyaukpyu"/>
    <s v="MMR012D003"/>
    <x v="4"/>
    <s v="MMR012011"/>
    <s v="Taung Yin"/>
    <s v="MMR012011002"/>
    <s v="Ka Nyin Taw"/>
    <n v="198469"/>
    <x v="25"/>
    <x v="24"/>
    <n v="93.552452000000002"/>
    <n v="19.421102000000001"/>
    <m/>
    <n v="65"/>
    <n v="327"/>
    <n v="5.0307692307692307"/>
    <s v="Accessible by All"/>
    <s v="IDP"/>
    <x v="3"/>
    <m/>
    <m/>
    <x v="1"/>
    <s v="Buddhist"/>
    <x v="2"/>
    <s v="Rural"/>
    <x v="2"/>
    <x v="1"/>
    <s v="Camp/Community Leader"/>
    <s v="Estimate"/>
    <d v="2018-03-31T00:00:00"/>
    <s v="Relocated to Individual Housing (Jan 2017)"/>
    <x v="1"/>
    <n v="1"/>
  </r>
  <r>
    <x v="2"/>
    <x v="0"/>
    <s v="MMR012"/>
    <s v="Sittwe"/>
    <s v="MMR012D001"/>
    <x v="1"/>
    <s v="MMR012001"/>
    <s v="Set Yon Su Ward"/>
    <s v="MMR012001701"/>
    <s v="Set Yon Su Ward"/>
    <s v="MMR012001701526"/>
    <x v="26"/>
    <x v="25"/>
    <n v="92.879138999999995"/>
    <n v="20.155805999999998"/>
    <m/>
    <n v="151"/>
    <n v="654"/>
    <n v="4.2384105960264904"/>
    <s v="Accessible by All"/>
    <m/>
    <x v="3"/>
    <m/>
    <m/>
    <x v="1"/>
    <s v="Buddhist"/>
    <x v="2"/>
    <s v="Urban"/>
    <x v="2"/>
    <x v="3"/>
    <s v="Individual Household"/>
    <s v="Household Headcount Survey"/>
    <d v="2017-01-31T00:00:00"/>
    <s v="Relocated to Individual Housing (Jan 2016) / Increase of 14 IDPs (April 2016)"/>
    <x v="3"/>
    <n v="1"/>
  </r>
  <r>
    <x v="2"/>
    <x v="0"/>
    <s v="MMR012"/>
    <s v="Sittwe"/>
    <s v="MMR012D001"/>
    <x v="3"/>
    <s v="MMR012004"/>
    <s v="Khaung Toke"/>
    <s v="MMR012004030"/>
    <s v="Khaung Toke  "/>
    <n v="196838"/>
    <x v="27"/>
    <x v="26"/>
    <n v="93.006497999999993"/>
    <n v="20.886997999999998"/>
    <m/>
    <n v="97"/>
    <n v="557"/>
    <n v="5.9381443298969074"/>
    <s v="Accessible by All"/>
    <m/>
    <x v="3"/>
    <s v="Yes"/>
    <m/>
    <x v="0"/>
    <s v="Muslim"/>
    <x v="0"/>
    <s v="Rural"/>
    <x v="2"/>
    <x v="3"/>
    <s v="Camp/Community Leader"/>
    <s v="Household survey"/>
    <d v="2017-01-31T00:00:00"/>
    <s v="Relocated to Individual Housing (Jan 2016)"/>
    <x v="3"/>
    <n v="1"/>
  </r>
  <r>
    <x v="2"/>
    <x v="0"/>
    <s v="MMR012"/>
    <s v="Sittwe"/>
    <s v="MMR012D001"/>
    <x v="6"/>
    <s v="MMR012003"/>
    <s v="Sin Oe"/>
    <s v="MMR012003006"/>
    <s v="Raw Ma Ni"/>
    <n v="196441"/>
    <x v="28"/>
    <x v="27"/>
    <n v="93.239519999999999"/>
    <n v="20.61692"/>
    <m/>
    <n v="10"/>
    <n v="64"/>
    <n v="6.4"/>
    <s v="Accessible by All"/>
    <m/>
    <x v="3"/>
    <s v="No"/>
    <m/>
    <x v="3"/>
    <s v="Buddhist"/>
    <x v="4"/>
    <s v="Rural"/>
    <x v="2"/>
    <x v="3"/>
    <s v="Camp/Community Leader"/>
    <s v="Estimate"/>
    <d v="2017-01-31T00:00:00"/>
    <s v="Relocated to Individual Housing (Jan 2016)"/>
    <x v="3"/>
    <n v="1"/>
  </r>
  <r>
    <x v="2"/>
    <x v="0"/>
    <s v="MMR012"/>
    <s v="Sittwe"/>
    <s v="MMR012D001"/>
    <x v="6"/>
    <s v="MMR012003"/>
    <s v="Oke Kar Kyaw"/>
    <s v="MMR012003024"/>
    <s v="Thi Kyar"/>
    <n v="196501"/>
    <x v="29"/>
    <x v="28"/>
    <n v="93.246863000000005"/>
    <n v="20.495086000000001"/>
    <m/>
    <n v="32"/>
    <n v="131"/>
    <n v="4.225806451612903"/>
    <s v="Accessible by All"/>
    <m/>
    <x v="3"/>
    <s v="No"/>
    <m/>
    <x v="1"/>
    <s v="Buddhist"/>
    <x v="2"/>
    <s v="Rural"/>
    <x v="2"/>
    <x v="3"/>
    <s v="Camp/Community Leader"/>
    <s v="Estimate"/>
    <d v="2017-01-31T00:00:00"/>
    <s v="Relocated to Individual Housing (Jan 2016)"/>
    <x v="3"/>
    <n v="1"/>
  </r>
  <r>
    <x v="2"/>
    <x v="0"/>
    <s v="MMR012"/>
    <s v="Sittwe"/>
    <s v="MMR012D001"/>
    <x v="0"/>
    <s v="MMR012007"/>
    <s v="Urban"/>
    <s v="MMR012007701"/>
    <s v="Ba Wan Chaung Wa Su Ward"/>
    <s v="MMR012007701504"/>
    <x v="30"/>
    <x v="29"/>
    <n v="93.067891000000003"/>
    <n v="20.173468"/>
    <m/>
    <n v="21"/>
    <n v="122"/>
    <n v="5.8095238095238093"/>
    <s v="Accessible by All"/>
    <m/>
    <x v="3"/>
    <m/>
    <m/>
    <x v="1"/>
    <s v="Buddhist"/>
    <x v="2"/>
    <s v="Urban"/>
    <x v="2"/>
    <x v="3"/>
    <s v="Individual Household"/>
    <s v="Household Headcount Survey"/>
    <d v="2017-01-31T00:00:00"/>
    <s v="Relocated in Individual Housing (Jan 2016)"/>
    <x v="3"/>
    <n v="1"/>
  </r>
  <r>
    <x v="2"/>
    <x v="0"/>
    <s v="MMR012"/>
    <s v="Sittwe"/>
    <s v="MMR012D001"/>
    <x v="1"/>
    <s v="MMR012001"/>
    <s v="Urban"/>
    <s v="MMR012001701"/>
    <s v="Sut Yoe Kya Ward"/>
    <s v="MMR012001701531"/>
    <x v="31"/>
    <x v="30"/>
    <n v="92.887277999999995"/>
    <n v="20.151471999999998"/>
    <m/>
    <n v="249"/>
    <n v="1282"/>
    <n v="5.1485943775100402"/>
    <s v="Accessible by All"/>
    <m/>
    <x v="3"/>
    <m/>
    <m/>
    <x v="1"/>
    <s v="Buddhist"/>
    <x v="2"/>
    <s v="Urban"/>
    <x v="2"/>
    <x v="3"/>
    <s v="Individual Household"/>
    <s v="Household Headcount Survey"/>
    <d v="2017-01-31T00:00:00"/>
    <s v="Relocated to Individual Housing (Jan 2016)"/>
    <x v="3"/>
    <n v="1"/>
  </r>
  <r>
    <x v="2"/>
    <x v="0"/>
    <s v="MMR012"/>
    <s v="Sittwe"/>
    <s v="MMR012D001"/>
    <x v="1"/>
    <s v="MMR012001"/>
    <s v="Urban"/>
    <s v="MMR012001701"/>
    <s v="Sut Yoe Kya Ward"/>
    <s v="MMR012001701531"/>
    <x v="32"/>
    <x v="31"/>
    <n v="92.887277999999995"/>
    <n v="20.151471999999998"/>
    <m/>
    <n v="420"/>
    <n v="2200"/>
    <n v="5.2631578947368425"/>
    <s v="Accessible by All"/>
    <m/>
    <x v="3"/>
    <m/>
    <m/>
    <x v="1"/>
    <s v="Buddhist"/>
    <x v="2"/>
    <s v="Urban"/>
    <x v="2"/>
    <x v="3"/>
    <s v="Individual Household"/>
    <s v="Household Headcount Survey"/>
    <d v="2017-01-31T00:00:00"/>
    <s v="Relocated to Individual Housing (Jan 2016)"/>
    <x v="3"/>
    <n v="1"/>
  </r>
  <r>
    <x v="2"/>
    <x v="0"/>
    <s v="MMR012"/>
    <s v="Sittwe"/>
    <s v="MMR012D001"/>
    <x v="1"/>
    <s v="MMR012001"/>
    <s v="Set Yon Su Ward"/>
    <s v="MMR012001701"/>
    <s v="Set Yon Su Ward"/>
    <s v="MMR012001701526"/>
    <x v="33"/>
    <x v="32"/>
    <n v="92.880319999999998"/>
    <n v="20.148584"/>
    <m/>
    <n v="72"/>
    <n v="462"/>
    <n v="6.416666666666667"/>
    <s v="Accessible by All"/>
    <m/>
    <x v="3"/>
    <m/>
    <m/>
    <x v="3"/>
    <s v="Buddhist"/>
    <x v="4"/>
    <s v="Urban"/>
    <x v="2"/>
    <x v="3"/>
    <s v="Individual Household"/>
    <s v="Household Headcount Survey"/>
    <d v="2017-01-31T00:00:00"/>
    <s v="Relocated to Individual Housing (Jan 2016)"/>
    <x v="3"/>
    <n v="0.28915662650602408"/>
  </r>
  <r>
    <x v="2"/>
    <x v="0"/>
    <s v="MMR012"/>
    <s v="Sittwe"/>
    <s v="MMR012D001"/>
    <x v="5"/>
    <s v="MMR012006"/>
    <s v="Urban"/>
    <s v="MMR012006701"/>
    <s v="Kan Thar Htwet Wa Ward"/>
    <s v="MMR012006701502"/>
    <x v="34"/>
    <x v="33"/>
    <n v="93.373951000000005"/>
    <n v="20.041981"/>
    <m/>
    <n v="40"/>
    <n v="204"/>
    <n v="4.8292682926829267"/>
    <s v="Accessible by All"/>
    <m/>
    <x v="3"/>
    <m/>
    <m/>
    <x v="1"/>
    <s v="Buddhist"/>
    <x v="2"/>
    <s v="Urban"/>
    <x v="2"/>
    <x v="3"/>
    <s v="Individual Household"/>
    <s v="Household Headcount Survey"/>
    <d v="2017-01-31T00:00:00"/>
    <s v="Relocated to Individual Housing (July 2016)"/>
    <x v="3"/>
    <n v="1"/>
  </r>
  <r>
    <x v="3"/>
    <x v="0"/>
    <s v="MMR012"/>
    <s v="Maungdaw"/>
    <s v="MMR012D002"/>
    <x v="7"/>
    <s v="MMR012009"/>
    <s v="Myo Ma (East) Ward"/>
    <s v="MMR012009701"/>
    <s v="Myo Ma (East) Ward"/>
    <s v="MMR012009701504"/>
    <x v="35"/>
    <x v="34"/>
    <n v="92.362196999999995"/>
    <n v="20.824777999999998"/>
    <m/>
    <n v="17"/>
    <n v="109"/>
    <n v="6.166666666666667"/>
    <s v="Accessible by All"/>
    <s v="IDP"/>
    <x v="4"/>
    <m/>
    <m/>
    <x v="0"/>
    <s v="Muslim"/>
    <x v="0"/>
    <s v="Urban"/>
    <x v="2"/>
    <x v="1"/>
    <s v="Camp/Community Leader"/>
    <s v="Estimate"/>
    <d v="2018-03-31T00:00:00"/>
    <s v="18 HH (112 IDPs) displaced in 2012 / 11 HH (72 IDPs) returned in 2013&amp;14 / 1 HH (3 IDPs) departed in 2015 / 6 HH (37 IDPs) returned in 2016 "/>
    <x v="1"/>
    <n v="0"/>
  </r>
  <r>
    <x v="3"/>
    <x v="0"/>
    <s v="MMR012"/>
    <s v="Sittwe"/>
    <s v="MMR012D001"/>
    <x v="3"/>
    <s v="MMR012004"/>
    <s v="Ah Pauk Wa"/>
    <s v="MMR012004064"/>
    <s v="Ah Pauk Wa"/>
    <n v="196946"/>
    <x v="36"/>
    <x v="35"/>
    <n v="92.961841000000007"/>
    <n v="20.720213000000001"/>
    <m/>
    <n v="100"/>
    <n v="559"/>
    <n v="6.0760869565217392"/>
    <s v="Accessible by All"/>
    <m/>
    <x v="3"/>
    <s v="Yes"/>
    <m/>
    <x v="0"/>
    <s v="Muslim"/>
    <x v="0"/>
    <s v="Rural"/>
    <x v="2"/>
    <x v="3"/>
    <s v="Camp/Community Leader"/>
    <s v="Household survey"/>
    <d v="2017-01-31T00:00:00"/>
    <s v="Returned in Individual Housing (Jan 2016)"/>
    <x v="3"/>
    <n v="1"/>
  </r>
  <r>
    <x v="3"/>
    <x v="0"/>
    <s v="MMR012"/>
    <s v="Sittwe"/>
    <s v="MMR012D001"/>
    <x v="3"/>
    <s v="MMR012004"/>
    <s v="Ya Da Nar Pon"/>
    <s v="MMR012004019"/>
    <s v="Ah Lel"/>
    <n v="196786"/>
    <x v="37"/>
    <x v="36"/>
    <n v="93.003204999999994"/>
    <n v="20.921424999999999"/>
    <m/>
    <n v="24"/>
    <n v="140"/>
    <n v="6.0869565217391308"/>
    <s v="Accessible by All"/>
    <m/>
    <x v="3"/>
    <s v="Yes"/>
    <m/>
    <x v="0"/>
    <s v="Muslim"/>
    <x v="0"/>
    <s v="Rural"/>
    <x v="2"/>
    <x v="3"/>
    <s v="Camp/Community Leader"/>
    <s v="Estimate"/>
    <d v="2017-01-31T00:00:00"/>
    <s v="Returned in Individual Housing (Jan 2016)"/>
    <x v="3"/>
    <n v="1"/>
  </r>
  <r>
    <x v="3"/>
    <x v="0"/>
    <s v="MMR012"/>
    <s v="Sittwe"/>
    <s v="MMR012D001"/>
    <x v="3"/>
    <s v="MMR012004"/>
    <s v="Ah Lel Kyun"/>
    <s v="MMR012004031"/>
    <s v="Ah Lel Kyun  "/>
    <n v="196842"/>
    <x v="38"/>
    <x v="37"/>
    <n v="93.014349999999993"/>
    <n v="20.896740000000001"/>
    <m/>
    <n v="14"/>
    <n v="84"/>
    <n v="6"/>
    <s v="Accessible by All"/>
    <m/>
    <x v="3"/>
    <s v="Yes"/>
    <m/>
    <x v="0"/>
    <s v="Muslim"/>
    <x v="0"/>
    <s v="Rural"/>
    <x v="2"/>
    <x v="3"/>
    <s v="Camp/Community Leader"/>
    <s v="Estimate"/>
    <d v="2017-01-31T00:00:00"/>
    <s v="Returned in Individual Housing (Jan 2016)"/>
    <x v="3"/>
    <n v="1"/>
  </r>
  <r>
    <x v="3"/>
    <x v="0"/>
    <s v="MMR012"/>
    <s v="Sittwe"/>
    <s v="MMR012D001"/>
    <x v="3"/>
    <s v="MMR012004"/>
    <s v="Goke Pi Htaunt"/>
    <s v="MMR012004074"/>
    <s v="Goke Pi Htaunt  "/>
    <n v="196972"/>
    <x v="39"/>
    <x v="38"/>
    <n v="93.014089999999996"/>
    <n v="20.713259999999998"/>
    <m/>
    <n v="116"/>
    <n v="802"/>
    <n v="6.8879310344827589"/>
    <s v="Accessible by All"/>
    <m/>
    <x v="3"/>
    <s v="Yes"/>
    <m/>
    <x v="0"/>
    <s v="Muslim"/>
    <x v="0"/>
    <s v="Rural"/>
    <x v="2"/>
    <x v="3"/>
    <s v="Camp/Community Leader"/>
    <s v="Household survey"/>
    <d v="2017-01-31T00:00:00"/>
    <s v="Returned in Individual Housing (Jan 2016)"/>
    <x v="3"/>
    <n v="1"/>
  </r>
  <r>
    <x v="3"/>
    <x v="0"/>
    <s v="MMR012"/>
    <s v="Sittwe"/>
    <s v="MMR012D001"/>
    <x v="3"/>
    <s v="MMR012004"/>
    <s v="Doke Kan Chaung"/>
    <s v="MMR012004063"/>
    <s v="In Bar Yi"/>
    <n v="196945"/>
    <x v="40"/>
    <x v="39"/>
    <n v="93.009900000000002"/>
    <n v="20.696819999999999"/>
    <m/>
    <n v="236"/>
    <n v="1524"/>
    <n v="6.4576271186440675"/>
    <s v="Accessible by All"/>
    <m/>
    <x v="3"/>
    <s v="Yes"/>
    <m/>
    <x v="0"/>
    <s v="Muslim"/>
    <x v="0"/>
    <s v="Rural"/>
    <x v="2"/>
    <x v="3"/>
    <s v="Camp/Community Leader"/>
    <s v="Household survey"/>
    <d v="2017-01-31T00:00:00"/>
    <s v="Returned in Individual Housing (Jan 2016)"/>
    <x v="3"/>
    <n v="1"/>
  </r>
  <r>
    <x v="3"/>
    <x v="0"/>
    <s v="MMR012"/>
    <s v="Sittwe"/>
    <s v="MMR012D001"/>
    <x v="3"/>
    <s v="MMR012004"/>
    <s v="Hpa Yar Paung"/>
    <s v="MMR012004046"/>
    <s v="Taung Pauk"/>
    <n v="196873"/>
    <x v="41"/>
    <x v="40"/>
    <n v="92.982675999999998"/>
    <n v="20.805734000000001"/>
    <m/>
    <n v="18"/>
    <n v="157"/>
    <n v="8.7222222222222214"/>
    <s v="Accessible by All"/>
    <m/>
    <x v="3"/>
    <s v="Yes"/>
    <m/>
    <x v="0"/>
    <s v="Muslim"/>
    <x v="0"/>
    <s v="Rural"/>
    <x v="2"/>
    <x v="3"/>
    <s v="Camp/Community Leader"/>
    <s v="Estimate"/>
    <d v="2017-01-31T00:00:00"/>
    <s v="Returned in Individual Housing (Jan 2016)"/>
    <x v="3"/>
    <n v="1"/>
  </r>
  <r>
    <x v="3"/>
    <x v="0"/>
    <s v="MMR012"/>
    <s v="Sittwe"/>
    <s v="MMR012D001"/>
    <x v="3"/>
    <s v="MMR012004"/>
    <s v="Sin Oe Chaing"/>
    <s v="MMR012004069"/>
    <s v="Shwe Hlaing  "/>
    <n v="196868"/>
    <x v="42"/>
    <x v="41"/>
    <n v="92.987399999999994"/>
    <n v="20.78332"/>
    <m/>
    <n v="144"/>
    <n v="1006"/>
    <n v="7.1388888888888893"/>
    <s v="Accessible by All"/>
    <m/>
    <x v="3"/>
    <s v="Yes"/>
    <m/>
    <x v="0"/>
    <s v="Muslim"/>
    <x v="0"/>
    <s v="Rural"/>
    <x v="2"/>
    <x v="3"/>
    <s v="Camp/Community Leader"/>
    <s v="Household survey"/>
    <d v="2017-01-31T00:00:00"/>
    <s v="Returned in Individual Housing (Jan 2016)"/>
    <x v="3"/>
    <n v="1"/>
  </r>
  <r>
    <x v="3"/>
    <x v="0"/>
    <s v="MMR012"/>
    <s v="Sittwe"/>
    <s v="MMR012D001"/>
    <x v="3"/>
    <s v="MMR012004"/>
    <s v="Ya Da Nar Pon"/>
    <s v="MMR012004019"/>
    <s v="  Taung Bway"/>
    <n v="196789"/>
    <x v="43"/>
    <x v="42"/>
    <n v="93.000815000000003"/>
    <n v="20.929649000000001"/>
    <m/>
    <n v="63"/>
    <n v="414"/>
    <n v="6.67741935483871"/>
    <s v="Accessible by All"/>
    <m/>
    <x v="3"/>
    <s v="Yes"/>
    <m/>
    <x v="0"/>
    <s v="Muslim"/>
    <x v="0"/>
    <s v="Rural"/>
    <x v="2"/>
    <x v="3"/>
    <s v="Camp/Community Leader"/>
    <s v="Estimate"/>
    <d v="2017-01-31T00:00:00"/>
    <s v="Returned in Individual Housing (Jan 2016)"/>
    <x v="3"/>
    <n v="1"/>
  </r>
  <r>
    <x v="3"/>
    <x v="0"/>
    <s v="MMR012"/>
    <s v="Sittwe"/>
    <s v="MMR012D001"/>
    <x v="3"/>
    <s v="MMR012004"/>
    <s v="Ah Pauk Wa"/>
    <s v="MMR012004064"/>
    <s v="Yun Nyar"/>
    <n v="196952"/>
    <x v="44"/>
    <x v="43"/>
    <n v="92.969350000000006"/>
    <n v="20.727589999999999"/>
    <m/>
    <n v="112"/>
    <n v="738"/>
    <n v="6.5625"/>
    <s v="Accessible by All"/>
    <m/>
    <x v="3"/>
    <s v="Yes"/>
    <m/>
    <x v="0"/>
    <s v="Muslim"/>
    <x v="0"/>
    <s v="Rural"/>
    <x v="2"/>
    <x v="3"/>
    <s v="Camp/Community Leader"/>
    <s v="Household survey"/>
    <d v="2017-01-31T00:00:00"/>
    <s v="Returned in Individual Housing (Jan 2016)"/>
    <x v="3"/>
    <n v="1"/>
  </r>
  <r>
    <x v="3"/>
    <x v="0"/>
    <s v="MMR012"/>
    <s v="Sittwe"/>
    <s v="MMR012D001"/>
    <x v="8"/>
    <s v="MMR012005"/>
    <s v="Na Yan"/>
    <s v="MMR012005010"/>
    <s v="Sat Yon Maw  "/>
    <n v="197023"/>
    <x v="45"/>
    <x v="44"/>
    <n v="93.314695"/>
    <n v="20.409645000000001"/>
    <m/>
    <n v="18"/>
    <n v="72"/>
    <n v="4"/>
    <s v="Accessible by All"/>
    <m/>
    <x v="3"/>
    <s v="No"/>
    <m/>
    <x v="1"/>
    <s v="Buddhist"/>
    <x v="2"/>
    <s v="Rural"/>
    <x v="2"/>
    <x v="3"/>
    <s v="Camp/Community Leader"/>
    <s v="Estimate"/>
    <d v="2017-01-31T00:00:00"/>
    <s v="Returned in Individual Housing (Jan 2016)"/>
    <x v="3"/>
    <n v="1"/>
  </r>
  <r>
    <x v="3"/>
    <x v="0"/>
    <s v="MMR012"/>
    <s v="Sittwe"/>
    <s v="MMR012D001"/>
    <x v="8"/>
    <s v="MMR012005"/>
    <s v="Sa Par Htar"/>
    <s v="MMR012005032"/>
    <s v="Aung Taing"/>
    <n v="197150"/>
    <x v="46"/>
    <x v="45"/>
    <n v="93.299485000000004"/>
    <n v="20.480898"/>
    <m/>
    <n v="87"/>
    <n v="444"/>
    <n v="5.7674418604651159"/>
    <s v="Accessible by All"/>
    <m/>
    <x v="3"/>
    <s v="Yes"/>
    <m/>
    <x v="0"/>
    <s v="Muslim"/>
    <x v="0"/>
    <s v="Rural"/>
    <x v="2"/>
    <x v="3"/>
    <s v="Camp/Community Leader"/>
    <s v="Household survey"/>
    <d v="2017-01-31T00:00:00"/>
    <s v="Returned in Individual Housing (Jan 2016)"/>
    <x v="3"/>
    <n v="1"/>
  </r>
  <r>
    <x v="3"/>
    <x v="0"/>
    <s v="MMR012"/>
    <s v="Sittwe"/>
    <s v="MMR012D001"/>
    <x v="8"/>
    <s v="MMR012005"/>
    <s v="Kin Seik"/>
    <s v="MMR012005001"/>
    <s v="Kin Seik"/>
    <n v="196984"/>
    <x v="47"/>
    <x v="46"/>
    <n v="93.271642"/>
    <n v="20.377523"/>
    <m/>
    <n v="19"/>
    <n v="142"/>
    <n v="7.4736842105263159"/>
    <s v="Accessible by All"/>
    <m/>
    <x v="3"/>
    <s v="Yes"/>
    <m/>
    <x v="0"/>
    <s v="Muslim"/>
    <x v="0"/>
    <s v="Rural"/>
    <x v="2"/>
    <x v="3"/>
    <s v="Camp/Community Leader"/>
    <s v="Estimate"/>
    <d v="2017-01-31T00:00:00"/>
    <s v="Returned in Individual Housing (Jan 2016)"/>
    <x v="3"/>
    <n v="1"/>
  </r>
  <r>
    <x v="3"/>
    <x v="0"/>
    <s v="MMR012"/>
    <s v="Sittwe"/>
    <s v="MMR012D001"/>
    <x v="8"/>
    <s v="MMR012005"/>
    <s v="San Bar Lay"/>
    <s v="MMR012005009"/>
    <s v="Zi War"/>
    <n v="197025"/>
    <x v="48"/>
    <x v="47"/>
    <n v="93.313627999999994"/>
    <n v="20.407971"/>
    <m/>
    <n v="228"/>
    <n v="1377"/>
    <n v="5.8577777777777778"/>
    <s v="Accessible by All"/>
    <m/>
    <x v="3"/>
    <s v="Yes"/>
    <m/>
    <x v="0"/>
    <s v="Muslim"/>
    <x v="0"/>
    <s v="Rural"/>
    <x v="2"/>
    <x v="3"/>
    <s v="Camp/Community Leader"/>
    <s v="Household survey"/>
    <d v="2017-01-31T00:00:00"/>
    <s v="Returned in Individual Housing (Jan 2016)"/>
    <x v="3"/>
    <n v="0.98245614035087714"/>
  </r>
  <r>
    <x v="3"/>
    <x v="0"/>
    <s v="MMR012"/>
    <s v="Sittwe"/>
    <s v="MMR012D001"/>
    <x v="8"/>
    <s v="MMR012005"/>
    <s v="Chaik Taung"/>
    <s v="MMR012005003"/>
    <s v="San Htoe Tan"/>
    <n v="196995"/>
    <x v="49"/>
    <x v="48"/>
    <n v="93.249669999999995"/>
    <n v="20.39902"/>
    <m/>
    <n v="86"/>
    <n v="476"/>
    <n v="6.058139534883721"/>
    <s v="Accessible by All"/>
    <m/>
    <x v="3"/>
    <s v="Yes"/>
    <m/>
    <x v="0"/>
    <s v="Muslim"/>
    <x v="0"/>
    <s v="Rural"/>
    <x v="2"/>
    <x v="3"/>
    <s v="Camp/Community Leader"/>
    <s v="Household survey"/>
    <d v="2017-01-31T00:00:00"/>
    <s v="Returned in Individual Housing (Jan 2016)"/>
    <x v="3"/>
    <n v="1"/>
  </r>
  <r>
    <x v="3"/>
    <x v="0"/>
    <s v="MMR012"/>
    <s v="Sittwe"/>
    <s v="MMR012D001"/>
    <x v="8"/>
    <s v="MMR012005"/>
    <s v="Kin Seik"/>
    <s v="MMR012005001"/>
    <s v="Thar Dar"/>
    <n v="196997"/>
    <x v="50"/>
    <x v="49"/>
    <n v="93.257272"/>
    <n v="20.392137999999999"/>
    <m/>
    <n v="203"/>
    <n v="1420"/>
    <n v="5.3529411764705879"/>
    <s v="Accessible by All"/>
    <m/>
    <x v="3"/>
    <s v="Yes"/>
    <m/>
    <x v="0"/>
    <s v="Muslim"/>
    <x v="0"/>
    <s v="Rural"/>
    <x v="2"/>
    <x v="3"/>
    <s v="Camp/Community Leader"/>
    <s v="Household survey"/>
    <d v="2017-01-31T00:00:00"/>
    <s v="Returned in Individual Housing (Jan 2016)"/>
    <x v="3"/>
    <n v="1"/>
  </r>
  <r>
    <x v="3"/>
    <x v="0"/>
    <s v="MMR012"/>
    <s v="Sittwe"/>
    <s v="MMR012D001"/>
    <x v="8"/>
    <s v="MMR012005"/>
    <s v="Tha Yet Oke"/>
    <s v="MMR012005017"/>
    <s v="Tha Yet Oke"/>
    <n v="197062"/>
    <x v="51"/>
    <x v="50"/>
    <n v="93.258573999999996"/>
    <n v="20.587142"/>
    <m/>
    <n v="275"/>
    <n v="1707"/>
    <n v="5.9527272727272731"/>
    <s v="Accessible by All"/>
    <m/>
    <x v="3"/>
    <s v="Yes"/>
    <m/>
    <x v="0"/>
    <s v="Muslim"/>
    <x v="0"/>
    <s v="Rural"/>
    <x v="2"/>
    <x v="3"/>
    <s v="Camp/Community Leader"/>
    <s v="Household survey"/>
    <d v="2017-01-31T00:00:00"/>
    <s v="Returned in Individual Housing (Jan 2016)"/>
    <x v="3"/>
    <n v="1"/>
  </r>
  <r>
    <x v="3"/>
    <x v="0"/>
    <s v="MMR012"/>
    <s v="Sittwe"/>
    <s v="MMR012D001"/>
    <x v="6"/>
    <s v="MMR012003"/>
    <s v="Pu Rein"/>
    <s v="MMR012003004"/>
    <s v="Pu Rein"/>
    <n v="196428"/>
    <x v="52"/>
    <x v="51"/>
    <n v="93.245551000000006"/>
    <n v="20.576577"/>
    <m/>
    <n v="204"/>
    <n v="1265"/>
    <n v="5.5245098039215685"/>
    <s v="Accessible by All"/>
    <m/>
    <x v="3"/>
    <s v="Yes"/>
    <m/>
    <x v="0"/>
    <s v="Muslim"/>
    <x v="0"/>
    <s v="Rural"/>
    <x v="2"/>
    <x v="3"/>
    <s v="Camp/Community Leader"/>
    <s v="Household survey"/>
    <d v="2017-01-31T00:00:00"/>
    <s v="Returned in Individual Housing (Jan 2016)"/>
    <x v="3"/>
    <n v="1"/>
  </r>
  <r>
    <x v="3"/>
    <x v="0"/>
    <s v="MMR012"/>
    <s v="Sittwe"/>
    <s v="MMR012D001"/>
    <x v="6"/>
    <s v="MMR012003"/>
    <s v="Yin Thei"/>
    <s v="MMR012003026"/>
    <s v="Yin Thei"/>
    <n v="196507"/>
    <x v="53"/>
    <x v="52"/>
    <n v="93.217039999999997"/>
    <n v="20.501757999999999"/>
    <m/>
    <n v="365"/>
    <n v="2366"/>
    <n v="6.4821917808219176"/>
    <s v="Accessible by All"/>
    <m/>
    <x v="3"/>
    <s v="Yes"/>
    <m/>
    <x v="0"/>
    <s v="Muslim"/>
    <x v="0"/>
    <s v="Rural"/>
    <x v="2"/>
    <x v="3"/>
    <s v="Camp/Community Leader"/>
    <s v="Household survey"/>
    <d v="2017-01-31T00:00:00"/>
    <s v="Returned in Individual Housing (Jan 2016)"/>
    <x v="3"/>
    <n v="1"/>
  </r>
  <r>
    <x v="3"/>
    <x v="0"/>
    <s v="MMR012"/>
    <s v="Sittwe"/>
    <s v="MMR012D001"/>
    <x v="9"/>
    <s v="MMR012008"/>
    <s v="Ah Nauk Pyin"/>
    <s v="MMR012008072"/>
    <s v="Ah Nauk Pyin"/>
    <n v="197763"/>
    <x v="54"/>
    <x v="53"/>
    <n v="92.781294000000003"/>
    <n v="20.399269"/>
    <m/>
    <n v="32"/>
    <n v="157"/>
    <n v="5.21875"/>
    <s v="Accessible by All"/>
    <m/>
    <x v="3"/>
    <m/>
    <m/>
    <x v="0"/>
    <s v="Muslim"/>
    <x v="0"/>
    <s v="Rural"/>
    <x v="2"/>
    <x v="3"/>
    <s v="Camp/Community Leader"/>
    <s v="Estimate"/>
    <d v="2017-01-31T00:00:00"/>
    <s v="Returned in Individual Housing (Jan 2016)"/>
    <x v="3"/>
    <n v="1"/>
  </r>
  <r>
    <x v="3"/>
    <x v="0"/>
    <s v="MMR012"/>
    <s v="Sittwe"/>
    <s v="MMR012D001"/>
    <x v="9"/>
    <s v="MMR012008"/>
    <s v="Nyaung Pin Gyi"/>
    <s v="MMR012008082"/>
    <s v="Nyaung Pin Gyi  "/>
    <n v="197780"/>
    <x v="55"/>
    <x v="54"/>
    <n v="92.785706000000005"/>
    <n v="20.335864000000001"/>
    <m/>
    <n v="56"/>
    <n v="332"/>
    <n v="6.2857142857142856"/>
    <s v="Accessible by All"/>
    <m/>
    <x v="3"/>
    <m/>
    <m/>
    <x v="0"/>
    <s v="Muslim"/>
    <x v="0"/>
    <s v="Rural"/>
    <x v="2"/>
    <x v="3"/>
    <s v="Camp/Community Leader"/>
    <s v="Estimate"/>
    <d v="2017-01-31T00:00:00"/>
    <s v="Returned in Individual Housing (Jan 2016)"/>
    <x v="3"/>
    <n v="1"/>
  </r>
  <r>
    <x v="1"/>
    <x v="0"/>
    <s v="MMR012"/>
    <s v="Maungdaw"/>
    <s v="MMR012D002"/>
    <x v="7"/>
    <s v="MMR012009"/>
    <s v="Ba Gone Nar"/>
    <s v="MMR012009066"/>
    <s v="Baw Di Kone(No standard name yet"/>
    <n v="217897"/>
    <x v="56"/>
    <x v="55"/>
    <n v="92.416263999999998"/>
    <n v="20.796128"/>
    <m/>
    <m/>
    <m/>
    <n v="0"/>
    <s v="Accessible by All"/>
    <s v="IDP"/>
    <x v="0"/>
    <m/>
    <m/>
    <x v="0"/>
    <m/>
    <x v="5"/>
    <m/>
    <x v="2"/>
    <x v="6"/>
    <s v="Camp/Community Leader"/>
    <s v="Estimate"/>
    <d v="2013-09-03T00:00:00"/>
    <s v="Population (HH=25/ Ind=112)"/>
    <x v="6"/>
    <n v="0"/>
  </r>
  <r>
    <x v="1"/>
    <x v="0"/>
    <s v="MMR013"/>
    <s v="Maungdaw"/>
    <s v="MMR012D002"/>
    <x v="7"/>
    <s v="MMR012009"/>
    <s v="Urban"/>
    <s v="MMR012009701"/>
    <m/>
    <m/>
    <x v="57"/>
    <x v="56"/>
    <n v="92.365618999999995"/>
    <n v="20.820316999999999"/>
    <m/>
    <m/>
    <m/>
    <n v="0"/>
    <s v="Accessible by All"/>
    <s v="IDP"/>
    <x v="0"/>
    <m/>
    <m/>
    <x v="0"/>
    <m/>
    <x v="5"/>
    <m/>
    <x v="2"/>
    <x v="6"/>
    <s v="Camp/Community Leader"/>
    <s v="Estimate"/>
    <d v="2013-10-01T00:00:00"/>
    <m/>
    <x v="6"/>
    <n v="0"/>
  </r>
  <r>
    <x v="1"/>
    <x v="0"/>
    <s v="MMR012"/>
    <s v="Maungdaw"/>
    <s v="MMR012D002"/>
    <x v="7"/>
    <s v="MMR012009"/>
    <s v="Ba Gone Nar"/>
    <s v="MMR012009066"/>
    <s v="Kan Thar Yar(No standard name yet)"/>
    <n v="217895"/>
    <x v="58"/>
    <x v="57"/>
    <n v="92.423364000000007"/>
    <n v="20.801544"/>
    <m/>
    <m/>
    <m/>
    <n v="0"/>
    <s v="Accessible by All"/>
    <s v="IDP"/>
    <x v="0"/>
    <m/>
    <m/>
    <x v="0"/>
    <m/>
    <x v="5"/>
    <m/>
    <x v="2"/>
    <x v="6"/>
    <s v="Camp/Community Leader"/>
    <s v="Estimate"/>
    <d v="2013-09-03T00:00:00"/>
    <s v="Population (HH=13/ Ind=72)"/>
    <x v="6"/>
    <n v="0"/>
  </r>
  <r>
    <x v="1"/>
    <x v="0"/>
    <s v="MMR012"/>
    <s v="Maungdaw"/>
    <s v="MMR012D002"/>
    <x v="7"/>
    <s v="MMR012009"/>
    <s v="(Du) Chee Yar Tan"/>
    <s v="MMR012009069"/>
    <s v="King Chaung(No standard name yet)"/>
    <n v="217898"/>
    <x v="59"/>
    <x v="58"/>
    <n v="92.424138999999997"/>
    <n v="20.762730999999999"/>
    <m/>
    <m/>
    <m/>
    <n v="0"/>
    <s v="Accessible by All"/>
    <s v="IDP"/>
    <x v="0"/>
    <m/>
    <m/>
    <x v="0"/>
    <m/>
    <x v="5"/>
    <m/>
    <x v="2"/>
    <x v="6"/>
    <s v="Camp/Community Leader"/>
    <s v="Estimate"/>
    <d v="2013-09-03T00:00:00"/>
    <s v="Population (HH=26/ Ind=138)"/>
    <x v="6"/>
    <n v="0"/>
  </r>
  <r>
    <x v="1"/>
    <x v="0"/>
    <s v="MMR012"/>
    <s v="Maungdaw"/>
    <s v="MMR012D002"/>
    <x v="7"/>
    <s v="MMR012009"/>
    <s v="NA"/>
    <s v="NA"/>
    <s v="NA"/>
    <s v="NA"/>
    <x v="60"/>
    <x v="59"/>
    <s v="NA"/>
    <s v="NA"/>
    <m/>
    <m/>
    <m/>
    <n v="0"/>
    <s v="Accessible by All"/>
    <s v="IDP"/>
    <x v="0"/>
    <m/>
    <m/>
    <x v="0"/>
    <m/>
    <x v="5"/>
    <m/>
    <x v="2"/>
    <x v="6"/>
    <s v="Camp/Community Leader"/>
    <s v="Estimate"/>
    <d v="2013-09-03T00:00:00"/>
    <m/>
    <x v="6"/>
    <n v="0"/>
  </r>
  <r>
    <x v="1"/>
    <x v="0"/>
    <s v="MMR012"/>
    <s v="Maungdaw"/>
    <s v="MMR012D002"/>
    <x v="7"/>
    <s v="MMR012009"/>
    <s v="NA"/>
    <s v="NA"/>
    <s v="NA"/>
    <s v="NA"/>
    <x v="61"/>
    <x v="60"/>
    <s v="NA"/>
    <s v="NA"/>
    <m/>
    <m/>
    <m/>
    <n v="0"/>
    <s v="Accessible by All"/>
    <s v="IDP"/>
    <x v="0"/>
    <m/>
    <m/>
    <x v="0"/>
    <m/>
    <x v="5"/>
    <m/>
    <x v="2"/>
    <x v="6"/>
    <s v="Camp/Community Leader"/>
    <s v="Estimate"/>
    <d v="2013-09-03T00:00:00"/>
    <m/>
    <x v="6"/>
    <n v="0"/>
  </r>
  <r>
    <x v="1"/>
    <x v="0"/>
    <s v="MMR012"/>
    <s v="Maungdaw"/>
    <s v="MMR012D002"/>
    <x v="7"/>
    <s v="MMR012009"/>
    <s v="Tha Yae Kone Tan"/>
    <s v="MMR012009080"/>
    <s v="Tha Ray Kon Baung"/>
    <n v="198016"/>
    <x v="62"/>
    <x v="61"/>
    <n v="92.429599999999994"/>
    <n v="20.729866999999999"/>
    <m/>
    <m/>
    <m/>
    <n v="0"/>
    <s v="Accessible by All"/>
    <s v="IDP"/>
    <x v="0"/>
    <m/>
    <m/>
    <x v="0"/>
    <m/>
    <x v="5"/>
    <m/>
    <x v="2"/>
    <x v="6"/>
    <s v="Camp/Community Leader"/>
    <s v="Estimate"/>
    <d v="2013-09-03T00:00:00"/>
    <s v="Population (HH=103/ Ind=485)"/>
    <x v="6"/>
    <n v="0"/>
  </r>
  <r>
    <x v="1"/>
    <x v="0"/>
    <s v="MMR014"/>
    <s v="Maungdaw"/>
    <s v="MMR012D002"/>
    <x v="7"/>
    <s v="MMR012009"/>
    <s v="Urban"/>
    <s v="MMR012009701"/>
    <m/>
    <m/>
    <x v="63"/>
    <x v="62"/>
    <n v="92.367536000000001"/>
    <n v="20.825500000000002"/>
    <m/>
    <m/>
    <m/>
    <n v="0"/>
    <s v="Accessible by All"/>
    <s v="IDP"/>
    <x v="0"/>
    <m/>
    <m/>
    <x v="0"/>
    <m/>
    <x v="5"/>
    <m/>
    <x v="2"/>
    <x v="6"/>
    <s v="Camp/Community Leader"/>
    <s v="Estimate"/>
    <d v="2013-10-01T00:00:00"/>
    <m/>
    <x v="6"/>
    <n v="0"/>
  </r>
  <r>
    <x v="1"/>
    <x v="0"/>
    <s v="MMR012"/>
    <s v="Maungdaw"/>
    <s v="MMR012D002"/>
    <x v="7"/>
    <s v="MMR012009"/>
    <s v="Zaw Ma Tet"/>
    <s v="MMR012009078"/>
    <s v="Hin Thar Ya"/>
    <n v="198049"/>
    <x v="64"/>
    <x v="63"/>
    <n v="92.435074999999998"/>
    <n v="20.714532999999999"/>
    <m/>
    <m/>
    <m/>
    <n v="0"/>
    <s v="Accessible by All"/>
    <s v="IDP"/>
    <x v="2"/>
    <m/>
    <m/>
    <x v="0"/>
    <m/>
    <x v="5"/>
    <m/>
    <x v="2"/>
    <x v="6"/>
    <s v="Camp/Community Leader"/>
    <s v="Estimate"/>
    <d v="2013-09-03T00:00:00"/>
    <s v="Population (HH=18/ Ind=123)"/>
    <x v="6"/>
    <n v="0"/>
  </r>
  <r>
    <x v="1"/>
    <x v="0"/>
    <s v="MMR012"/>
    <s v="Maungdaw"/>
    <s v="MMR012D002"/>
    <x v="7"/>
    <s v="MMR012009"/>
    <s v="Zaw Ma Tet"/>
    <s v="MMR012009078"/>
    <s v="Zaw Ma Tet"/>
    <n v="198045"/>
    <x v="65"/>
    <x v="64"/>
    <n v="92.426885999999996"/>
    <n v="20.717331000000001"/>
    <m/>
    <m/>
    <m/>
    <n v="0"/>
    <s v="Accessible by All"/>
    <s v="IDP"/>
    <x v="2"/>
    <m/>
    <m/>
    <x v="0"/>
    <m/>
    <x v="5"/>
    <m/>
    <x v="2"/>
    <x v="6"/>
    <s v="Camp/Community Leader"/>
    <s v="Estimate"/>
    <d v="2013-09-03T00:00:00"/>
    <s v="Population (HH=49/ Ind=309)"/>
    <x v="6"/>
    <n v="0"/>
  </r>
  <r>
    <x v="1"/>
    <x v="0"/>
    <s v="MMR015"/>
    <s v="Maungdaw"/>
    <s v="MMR012D002"/>
    <x v="7"/>
    <s v="MMR012009"/>
    <s v="Urban"/>
    <s v="MMR012009701"/>
    <m/>
    <m/>
    <x v="66"/>
    <x v="65"/>
    <n v="92.367932999999994"/>
    <n v="20.825417000000002"/>
    <m/>
    <m/>
    <m/>
    <n v="0"/>
    <s v="Accessible by All"/>
    <s v="IDP"/>
    <x v="2"/>
    <m/>
    <m/>
    <x v="0"/>
    <m/>
    <x v="5"/>
    <m/>
    <x v="2"/>
    <x v="6"/>
    <s v="Camp/Community Leader"/>
    <s v="Estimate"/>
    <d v="2013-10-01T00:00:00"/>
    <m/>
    <x v="6"/>
    <n v="0"/>
  </r>
  <r>
    <x v="1"/>
    <x v="0"/>
    <s v="MMR012"/>
    <m/>
    <m/>
    <x v="8"/>
    <s v="MMR012005"/>
    <s v="Shwe Ta Mar"/>
    <s v="MMR012005018"/>
    <s v="Na Ga Yar Pyin"/>
    <n v="197063"/>
    <x v="67"/>
    <x v="66"/>
    <n v="93.258476000000002"/>
    <n v="20.554084"/>
    <m/>
    <m/>
    <m/>
    <n v="0"/>
    <s v="Accessible by All"/>
    <s v="IDP"/>
    <x v="2"/>
    <m/>
    <m/>
    <x v="0"/>
    <m/>
    <x v="5"/>
    <m/>
    <x v="2"/>
    <x v="6"/>
    <s v="Camp/Community Leader"/>
    <s v="Estimate"/>
    <d v="2013-09-03T00:00:00"/>
    <s v="Population (HH=10/ Ind=80)"/>
    <x v="6"/>
    <n v="0"/>
  </r>
  <r>
    <x v="1"/>
    <x v="0"/>
    <s v="MMR012"/>
    <m/>
    <m/>
    <x v="8"/>
    <s v="MMR012005"/>
    <s v="San Bar Lay"/>
    <s v="MMR012005009"/>
    <s v="Thay Kan"/>
    <n v="197021"/>
    <x v="68"/>
    <x v="67"/>
    <n v="93.321956999999998"/>
    <n v="20.403735999999999"/>
    <m/>
    <m/>
    <m/>
    <n v="0"/>
    <s v="Accessible by All"/>
    <s v="IDP"/>
    <x v="2"/>
    <m/>
    <m/>
    <x v="0"/>
    <m/>
    <x v="5"/>
    <m/>
    <x v="2"/>
    <x v="6"/>
    <s v="Camp/Community Leader"/>
    <s v="Estimate"/>
    <d v="2013-09-03T00:00:00"/>
    <s v="Population (HH=15/ Ind=79)"/>
    <x v="6"/>
    <n v="0"/>
  </r>
  <r>
    <x v="1"/>
    <x v="0"/>
    <s v="MMR012"/>
    <s v="Sittwe"/>
    <s v="MMR012D001"/>
    <x v="6"/>
    <s v="MMR012003"/>
    <s v="Urban"/>
    <s v="MMR012003701"/>
    <m/>
    <m/>
    <x v="69"/>
    <x v="68"/>
    <n v="93.187995999999998"/>
    <n v="20.589569000000001"/>
    <s v="0"/>
    <m/>
    <m/>
    <n v="0"/>
    <s v="Accessible by All"/>
    <s v="IDP"/>
    <x v="5"/>
    <m/>
    <m/>
    <x v="0"/>
    <m/>
    <x v="5"/>
    <m/>
    <x v="2"/>
    <x v="6"/>
    <s v="Camp/Community Leader"/>
    <s v="Estimate"/>
    <d v="2013-10-01T00:00:00"/>
    <s v="Ward Name not available"/>
    <x v="6"/>
    <n v="0"/>
  </r>
  <r>
    <x v="1"/>
    <x v="0"/>
    <s v="MMR012"/>
    <s v="Sittwe"/>
    <s v="MMR012D001"/>
    <x v="0"/>
    <s v="MMR012007"/>
    <s v="Sin Tet Maw"/>
    <s v="MMR012007051"/>
    <s v="Sin Tet Maw  "/>
    <n v="197548"/>
    <x v="70"/>
    <x v="69"/>
    <n v="92.993758999999997"/>
    <n v="20.064226000000001"/>
    <m/>
    <m/>
    <m/>
    <n v="0"/>
    <s v="Accessible by All"/>
    <s v="IDP"/>
    <x v="2"/>
    <m/>
    <m/>
    <x v="0"/>
    <m/>
    <x v="5"/>
    <m/>
    <x v="2"/>
    <x v="6"/>
    <s v="Camp/Community Leader"/>
    <s v="Estimate"/>
    <d v="2016-03-18T00:00:00"/>
    <s v="Population (HH=1165/ Ind=7052)"/>
    <x v="6"/>
    <n v="0"/>
  </r>
  <r>
    <x v="1"/>
    <x v="0"/>
    <s v="MMR012"/>
    <s v="Sittwe"/>
    <s v="MMR012D001"/>
    <x v="1"/>
    <s v="MMR012001"/>
    <s v="Ywar Gyi (North) Ward"/>
    <s v="MMR012001701"/>
    <m/>
    <s v="MMR012001701515"/>
    <x v="71"/>
    <x v="70"/>
    <n v="92.895899999999997"/>
    <n v="20.1538"/>
    <m/>
    <m/>
    <m/>
    <n v="0"/>
    <s v="Accessible by All"/>
    <s v="IDP"/>
    <x v="5"/>
    <m/>
    <m/>
    <x v="0"/>
    <m/>
    <x v="5"/>
    <m/>
    <x v="2"/>
    <x v="6"/>
    <s v="Camp/Community Leader"/>
    <s v="Estimate"/>
    <d v="2013-09-03T00:00:00"/>
    <m/>
    <x v="6"/>
    <n v="0"/>
  </r>
  <r>
    <x v="1"/>
    <x v="0"/>
    <s v="MMR012"/>
    <s v="Sittwe"/>
    <s v="MMR012D001"/>
    <x v="1"/>
    <s v="MMR012001"/>
    <s v="Kyaung Tet Lan Ward"/>
    <s v="MMR012001701"/>
    <m/>
    <s v="MMR012001701519"/>
    <x v="72"/>
    <x v="71"/>
    <n v="92.894568000000007"/>
    <n v="20.145585000000001"/>
    <m/>
    <m/>
    <m/>
    <n v="0"/>
    <s v="Accessible by All"/>
    <s v="IDP"/>
    <x v="5"/>
    <m/>
    <m/>
    <x v="0"/>
    <m/>
    <x v="5"/>
    <m/>
    <x v="2"/>
    <x v="6"/>
    <s v="Camp/Community Leader"/>
    <s v="Estimate"/>
    <d v="2013-09-03T00:00:00"/>
    <m/>
    <x v="6"/>
    <n v="0"/>
  </r>
  <r>
    <x v="1"/>
    <x v="0"/>
    <s v="MMR012"/>
    <s v="Sittwe"/>
    <s v="MMR012D001"/>
    <x v="1"/>
    <s v="MMR012001"/>
    <s v="Bauk Thee Su Ward"/>
    <s v="MMR012001701"/>
    <m/>
    <s v="MMR012001701518"/>
    <x v="73"/>
    <x v="72"/>
    <n v="92.898398"/>
    <n v="20.152559"/>
    <m/>
    <m/>
    <m/>
    <n v="0"/>
    <s v="Accessible by All"/>
    <s v="IDP"/>
    <x v="5"/>
    <m/>
    <m/>
    <x v="0"/>
    <m/>
    <x v="5"/>
    <m/>
    <x v="2"/>
    <x v="6"/>
    <s v="Camp/Community Leader"/>
    <s v="Estimate"/>
    <d v="2013-09-03T00:00:00"/>
    <m/>
    <x v="6"/>
    <n v="0"/>
  </r>
  <r>
    <x v="1"/>
    <x v="0"/>
    <s v="MMR012"/>
    <s v="Sittwe"/>
    <s v="MMR012D001"/>
    <x v="1"/>
    <s v="MMR012001"/>
    <s v="Kyaung Tet Lan Ward"/>
    <s v="MMR012001701"/>
    <m/>
    <s v="MMR012001701519"/>
    <x v="74"/>
    <x v="73"/>
    <n v="92.895600000000002"/>
    <n v="20.146916999999998"/>
    <m/>
    <m/>
    <m/>
    <n v="0"/>
    <s v="Accessible by All"/>
    <s v="IDP"/>
    <x v="5"/>
    <m/>
    <m/>
    <x v="0"/>
    <m/>
    <x v="5"/>
    <m/>
    <x v="2"/>
    <x v="6"/>
    <s v="Camp/Community Leader"/>
    <s v="Estimate"/>
    <d v="2013-09-03T00:00:00"/>
    <m/>
    <x v="6"/>
    <n v="0"/>
  </r>
  <r>
    <x v="1"/>
    <x v="0"/>
    <s v="MMR012"/>
    <s v="Sittwe"/>
    <s v="MMR012D001"/>
    <x v="1"/>
    <s v="MMR012001"/>
    <s v="Ywar Gyi (North) Ward"/>
    <s v="MMR012001701"/>
    <m/>
    <s v="MMR012001701515"/>
    <x v="75"/>
    <x v="74"/>
    <n v="92.896409000000006"/>
    <n v="20.153753999999999"/>
    <m/>
    <m/>
    <m/>
    <n v="0"/>
    <s v="Accessible by All"/>
    <s v="IDP"/>
    <x v="5"/>
    <m/>
    <m/>
    <x v="0"/>
    <m/>
    <x v="5"/>
    <m/>
    <x v="2"/>
    <x v="6"/>
    <s v="Camp/Community Leader"/>
    <s v="Estimate"/>
    <d v="2013-09-03T00:00:00"/>
    <m/>
    <x v="6"/>
    <n v="0"/>
  </r>
  <r>
    <x v="1"/>
    <x v="0"/>
    <s v="MMR012"/>
    <s v="Sittwe"/>
    <s v="MMR012D001"/>
    <x v="1"/>
    <s v="MMR012001"/>
    <s v="Ywar Gyi (South) Ward"/>
    <s v="MMR012001701"/>
    <m/>
    <s v="MMR012001701516"/>
    <x v="76"/>
    <x v="75"/>
    <n v="92.894450000000006"/>
    <n v="20.147099999999998"/>
    <m/>
    <m/>
    <m/>
    <n v="0"/>
    <s v="Accessible by All"/>
    <s v="IDP"/>
    <x v="5"/>
    <m/>
    <m/>
    <x v="0"/>
    <m/>
    <x v="5"/>
    <m/>
    <x v="2"/>
    <x v="6"/>
    <s v="Camp/Community Leader"/>
    <s v="Estimate"/>
    <d v="2013-09-03T00:00:00"/>
    <m/>
    <x v="6"/>
    <n v="0"/>
  </r>
  <r>
    <x v="1"/>
    <x v="0"/>
    <s v="MMR012"/>
    <s v="Sittwe"/>
    <s v="MMR012D001"/>
    <x v="1"/>
    <s v="MMR012001"/>
    <s v="Sin Ku Lan Ward"/>
    <s v="MMR012001701"/>
    <m/>
    <s v="MMR012001701512"/>
    <x v="77"/>
    <x v="76"/>
    <n v="92.896006"/>
    <n v="20.154330999999999"/>
    <m/>
    <m/>
    <m/>
    <n v="0"/>
    <s v="Accessible by All"/>
    <s v="IDP"/>
    <x v="5"/>
    <m/>
    <m/>
    <x v="0"/>
    <m/>
    <x v="5"/>
    <m/>
    <x v="2"/>
    <x v="6"/>
    <s v="Camp/Community Leader"/>
    <s v="Estimate"/>
    <d v="2013-09-03T00:00:00"/>
    <m/>
    <x v="6"/>
    <n v="0"/>
  </r>
  <r>
    <x v="1"/>
    <x v="0"/>
    <s v="MMR012"/>
    <s v="Sittwe"/>
    <s v="MMR012D001"/>
    <x v="1"/>
    <s v="MMR012001"/>
    <m/>
    <m/>
    <m/>
    <m/>
    <x v="78"/>
    <x v="77"/>
    <n v="92.893904000000006"/>
    <n v="20.146673"/>
    <m/>
    <m/>
    <m/>
    <n v="0"/>
    <s v="Accessible by All"/>
    <s v="IDP"/>
    <x v="5"/>
    <m/>
    <m/>
    <x v="0"/>
    <m/>
    <x v="5"/>
    <m/>
    <x v="2"/>
    <x v="6"/>
    <s v="Camp/Community Leader"/>
    <s v="Estimate"/>
    <d v="2013-09-03T00:00:00"/>
    <m/>
    <x v="6"/>
    <n v="0"/>
  </r>
  <r>
    <x v="1"/>
    <x v="0"/>
    <s v="MMR012"/>
    <s v="Sittwe"/>
    <s v="MMR012D001"/>
    <x v="1"/>
    <s v="MMR012001"/>
    <s v=" Bauk Thee Su Ward"/>
    <s v="MMR012001701"/>
    <m/>
    <s v="MMR012001701518"/>
    <x v="79"/>
    <x v="78"/>
    <n v="92.897783000000004"/>
    <n v="20.151050000000001"/>
    <m/>
    <m/>
    <m/>
    <n v="0"/>
    <s v="Accessible by All"/>
    <s v="IDP"/>
    <x v="5"/>
    <m/>
    <m/>
    <x v="0"/>
    <m/>
    <x v="5"/>
    <m/>
    <x v="2"/>
    <x v="6"/>
    <s v="Camp/Community Leader"/>
    <s v="Estimate"/>
    <d v="2013-09-03T00:00:00"/>
    <m/>
    <x v="6"/>
    <n v="0"/>
  </r>
  <r>
    <x v="1"/>
    <x v="0"/>
    <s v="MMR012"/>
    <s v="Sittwe"/>
    <s v="MMR012D001"/>
    <x v="1"/>
    <s v="MMR012001"/>
    <s v="Baung Dut Ward"/>
    <s v="MMR012001701"/>
    <m/>
    <s v="MMR012001701517"/>
    <x v="80"/>
    <x v="79"/>
    <n v="92.896944000000005"/>
    <n v="20.150891999999999"/>
    <m/>
    <m/>
    <m/>
    <n v="0"/>
    <s v="Accessible by All"/>
    <s v="IDP"/>
    <x v="5"/>
    <m/>
    <m/>
    <x v="0"/>
    <m/>
    <x v="5"/>
    <m/>
    <x v="2"/>
    <x v="6"/>
    <s v="Camp/Community Leader"/>
    <s v="Estimate"/>
    <d v="2013-09-03T00:00:00"/>
    <m/>
    <x v="6"/>
    <n v="0"/>
  </r>
  <r>
    <x v="1"/>
    <x v="0"/>
    <s v="MMR012"/>
    <s v="Sittwe"/>
    <s v="MMR012D001"/>
    <x v="1"/>
    <s v="MMR012001"/>
    <s v="Ywar Gyi (North) Ward"/>
    <s v="MMR012001701"/>
    <m/>
    <s v="MMR012001701515"/>
    <x v="81"/>
    <x v="80"/>
    <n v="92.894499999999994"/>
    <n v="20.1462"/>
    <m/>
    <m/>
    <m/>
    <n v="0"/>
    <s v="Accessible by All"/>
    <s v="IDP"/>
    <x v="5"/>
    <m/>
    <m/>
    <x v="0"/>
    <m/>
    <x v="5"/>
    <m/>
    <x v="2"/>
    <x v="6"/>
    <s v="Camp/Community Leader"/>
    <s v="Estimate"/>
    <d v="2013-09-03T00:00:00"/>
    <m/>
    <x v="6"/>
    <n v="0"/>
  </r>
  <r>
    <x v="1"/>
    <x v="0"/>
    <s v="MMR012"/>
    <s v="Sittwe"/>
    <s v="MMR012D001"/>
    <x v="1"/>
    <s v="MMR012001"/>
    <s v="Sin Ku Lan Ward"/>
    <s v="MMR012001701"/>
    <m/>
    <s v="MMR012001701512"/>
    <x v="82"/>
    <x v="81"/>
    <n v="92.897932999999995"/>
    <n v="20.155850000000001"/>
    <m/>
    <m/>
    <m/>
    <n v="0"/>
    <s v="Accessible by All"/>
    <s v="IDP"/>
    <x v="5"/>
    <m/>
    <m/>
    <x v="0"/>
    <m/>
    <x v="5"/>
    <m/>
    <x v="2"/>
    <x v="6"/>
    <s v="Camp/Community Leader"/>
    <s v="Estimate"/>
    <d v="2013-09-03T00:00:00"/>
    <m/>
    <x v="6"/>
    <n v="0"/>
  </r>
  <r>
    <x v="1"/>
    <x v="0"/>
    <s v="MMR012"/>
    <s v="Sittwe"/>
    <s v="MMR012D001"/>
    <x v="1"/>
    <s v="MMR012001"/>
    <s v="Pyi Taw Thar Ward"/>
    <s v="MMR012001701"/>
    <m/>
    <s v="MMR012001701520"/>
    <x v="83"/>
    <x v="82"/>
    <n v="92.888949999999994"/>
    <n v="20.125032999999998"/>
    <m/>
    <m/>
    <m/>
    <n v="0"/>
    <s v="Accessible by All"/>
    <s v="IDP"/>
    <x v="5"/>
    <m/>
    <m/>
    <x v="0"/>
    <m/>
    <x v="5"/>
    <m/>
    <x v="2"/>
    <x v="6"/>
    <s v="Camp/Community Leader"/>
    <s v="Estimate"/>
    <d v="2013-09-03T00:00:00"/>
    <m/>
    <x v="6"/>
    <n v="0"/>
  </r>
  <r>
    <x v="1"/>
    <x v="0"/>
    <s v="MMR012"/>
    <s v="Sittwe"/>
    <s v="MMR012D001"/>
    <x v="1"/>
    <s v="MMR012001"/>
    <s v="Ywar Gyi (South) Ward"/>
    <s v="MMR012001701"/>
    <m/>
    <s v="MMR012001701516"/>
    <x v="84"/>
    <x v="83"/>
    <n v="92.892431999999999"/>
    <n v="20.146041"/>
    <m/>
    <m/>
    <m/>
    <n v="0"/>
    <s v="Accessible by All"/>
    <s v="IDP"/>
    <x v="5"/>
    <m/>
    <m/>
    <x v="0"/>
    <m/>
    <x v="5"/>
    <m/>
    <x v="2"/>
    <x v="6"/>
    <s v="Camp/Community Leader"/>
    <s v="Estimate"/>
    <d v="2013-09-03T00:00:00"/>
    <m/>
    <x v="6"/>
    <n v="0"/>
  </r>
  <r>
    <x v="1"/>
    <x v="0"/>
    <s v="MMR012"/>
    <s v="Sittwe"/>
    <s v="MMR012D001"/>
    <x v="1"/>
    <s v="MMR012001"/>
    <s v="Ywar Gyi (North) Ward"/>
    <s v="MMR012001701"/>
    <m/>
    <s v="MMR012001701515"/>
    <x v="85"/>
    <x v="84"/>
    <n v="92.896417999999997"/>
    <n v="20.152895000000001"/>
    <m/>
    <m/>
    <m/>
    <n v="0"/>
    <s v="Accessible by All"/>
    <s v="IDP"/>
    <x v="5"/>
    <m/>
    <m/>
    <x v="0"/>
    <m/>
    <x v="5"/>
    <m/>
    <x v="2"/>
    <x v="6"/>
    <s v="Camp/Community Leader"/>
    <s v="Estimate"/>
    <d v="2013-09-03T00:00:00"/>
    <m/>
    <x v="6"/>
    <n v="0"/>
  </r>
  <r>
    <x v="1"/>
    <x v="0"/>
    <s v="MMR012"/>
    <s v="Sittwe"/>
    <s v="MMR012D001"/>
    <x v="1"/>
    <s v="MMR012001"/>
    <s v="Sin Ku Lan Ward"/>
    <s v="MMR012001701"/>
    <m/>
    <s v="MMR012001701512"/>
    <x v="86"/>
    <x v="85"/>
    <n v="92.896533000000005"/>
    <n v="20.15465"/>
    <m/>
    <m/>
    <m/>
    <n v="0"/>
    <s v="Accessible by All"/>
    <s v="IDP"/>
    <x v="5"/>
    <m/>
    <m/>
    <x v="0"/>
    <m/>
    <x v="5"/>
    <m/>
    <x v="2"/>
    <x v="6"/>
    <s v="Camp/Community Leader"/>
    <s v="Estimate"/>
    <d v="2013-09-03T00:00:00"/>
    <m/>
    <x v="6"/>
    <n v="0"/>
  </r>
  <r>
    <x v="1"/>
    <x v="0"/>
    <s v="MMR012"/>
    <s v="Sittwe"/>
    <s v="MMR012D001"/>
    <x v="1"/>
    <s v="MMR012001"/>
    <s v="Ywar Gyi (South) Ward"/>
    <s v="MMR012001701"/>
    <m/>
    <s v="MMR012001701516"/>
    <x v="87"/>
    <x v="86"/>
    <n v="92.893332999999998"/>
    <n v="20.146117"/>
    <m/>
    <m/>
    <m/>
    <n v="0"/>
    <s v="Accessible by All"/>
    <s v="IDP"/>
    <x v="5"/>
    <m/>
    <m/>
    <x v="0"/>
    <m/>
    <x v="5"/>
    <m/>
    <x v="2"/>
    <x v="6"/>
    <s v="Camp/Community Leader"/>
    <s v="Estimate"/>
    <d v="2013-09-03T00:00:00"/>
    <m/>
    <x v="6"/>
    <n v="0"/>
  </r>
  <r>
    <x v="1"/>
    <x v="0"/>
    <s v="MMR012"/>
    <s v="Sittwe"/>
    <s v="MMR012D001"/>
    <x v="1"/>
    <s v="MMR012001"/>
    <s v="Khaung Doke Kar"/>
    <s v="MMR012001025"/>
    <s v="Baw Du Hpa"/>
    <n v="196192"/>
    <x v="88"/>
    <x v="87"/>
    <n v="92.807418999999996"/>
    <n v="20.181238"/>
    <m/>
    <m/>
    <m/>
    <n v="0"/>
    <s v="Accessible by All"/>
    <s v="IDP"/>
    <x v="0"/>
    <m/>
    <m/>
    <x v="0"/>
    <m/>
    <x v="5"/>
    <m/>
    <x v="2"/>
    <x v="6"/>
    <s v="Camp/Community Leader"/>
    <s v="Estimate"/>
    <d v="2013-10-01T00:00:00"/>
    <s v="Population (HH=2350/ Ind=14791)"/>
    <x v="6"/>
    <n v="0"/>
  </r>
  <r>
    <x v="1"/>
    <x v="0"/>
    <s v="MMR012"/>
    <s v="Sittwe"/>
    <s v="MMR012D001"/>
    <x v="1"/>
    <s v="MMR012001"/>
    <s v="Baw Lone Kwin Ward"/>
    <s v="MMR012001701"/>
    <m/>
    <s v="MMR012001701528"/>
    <x v="89"/>
    <x v="88"/>
    <n v="92.889384000000007"/>
    <n v="20.135473999999999"/>
    <m/>
    <m/>
    <m/>
    <n v="0"/>
    <s v="Accessible by All"/>
    <s v="IDP"/>
    <x v="0"/>
    <m/>
    <m/>
    <x v="0"/>
    <m/>
    <x v="5"/>
    <m/>
    <x v="2"/>
    <x v="6"/>
    <s v="Camp/Community Leader"/>
    <s v="Estimate"/>
    <d v="2013-09-03T00:00:00"/>
    <s v="Population (HH=70/ Ind=305)"/>
    <x v="6"/>
    <n v="0"/>
  </r>
  <r>
    <x v="1"/>
    <x v="0"/>
    <s v="MMR012"/>
    <s v="Sittwe"/>
    <s v="MMR012D001"/>
    <x v="1"/>
    <s v="MMR012001"/>
    <s v="Ywar Gyi (North) Ward"/>
    <s v="MMR012001701"/>
    <m/>
    <s v="MMR012001701515"/>
    <x v="90"/>
    <x v="89"/>
    <n v="92.897177999999997"/>
    <n v="20.153129"/>
    <m/>
    <m/>
    <m/>
    <n v="0"/>
    <s v="Accessible by All"/>
    <s v="IDP"/>
    <x v="0"/>
    <m/>
    <m/>
    <x v="0"/>
    <m/>
    <x v="5"/>
    <m/>
    <x v="2"/>
    <x v="6"/>
    <s v="Camp/Community Leader"/>
    <s v="Estimate"/>
    <d v="2013-09-03T00:00:00"/>
    <s v="Population (HH=200/ Ind=978)"/>
    <x v="6"/>
    <n v="0"/>
  </r>
  <r>
    <x v="1"/>
    <x v="0"/>
    <s v="MMR012"/>
    <s v="Sittwe"/>
    <s v="MMR012D001"/>
    <x v="1"/>
    <s v="MMR012001"/>
    <s v="Khaung Doke Kar"/>
    <s v="MMR012001025"/>
    <m/>
    <m/>
    <x v="91"/>
    <x v="90"/>
    <n v="92.816638999999995"/>
    <n v="20.180194"/>
    <m/>
    <m/>
    <m/>
    <n v="0"/>
    <s v="Accessible by All"/>
    <s v="IDP"/>
    <x v="0"/>
    <m/>
    <m/>
    <x v="0"/>
    <m/>
    <x v="5"/>
    <m/>
    <x v="2"/>
    <x v="6"/>
    <s v="Camp/Community Leader"/>
    <s v="Estimate"/>
    <d v="2013-10-01T00:00:00"/>
    <m/>
    <x v="6"/>
    <n v="0"/>
  </r>
  <r>
    <x v="1"/>
    <x v="0"/>
    <s v="MMR012"/>
    <s v="Sittwe"/>
    <s v="MMR012D001"/>
    <x v="1"/>
    <s v="MMR012001"/>
    <s v="Bu May"/>
    <s v="MMR012001027"/>
    <s v="Hman Zi"/>
    <n v="196207"/>
    <x v="92"/>
    <x v="91"/>
    <n v="92.826407000000003"/>
    <n v="20.175169"/>
    <m/>
    <m/>
    <m/>
    <n v="0"/>
    <s v="Accessible by All"/>
    <s v="IDP"/>
    <x v="0"/>
    <m/>
    <m/>
    <x v="0"/>
    <m/>
    <x v="5"/>
    <m/>
    <x v="2"/>
    <x v="6"/>
    <s v="Camp/Community Leader"/>
    <s v="Estimate"/>
    <d v="2013-09-03T00:00:00"/>
    <s v="Population (HH=204/ Ind=1092)"/>
    <x v="6"/>
    <n v="0"/>
  </r>
  <r>
    <x v="1"/>
    <x v="0"/>
    <s v="MMR012"/>
    <s v="Sittwe"/>
    <s v="MMR012D001"/>
    <x v="1"/>
    <s v="MMR012001"/>
    <s v="Ye New Su Ward"/>
    <s v="MMR012001701"/>
    <m/>
    <s v="MMR012001701523"/>
    <x v="93"/>
    <x v="92"/>
    <n v="92.886889999999994"/>
    <n v="20.132694999999998"/>
    <m/>
    <m/>
    <m/>
    <n v="0"/>
    <s v="Accessible by All"/>
    <s v="IDP"/>
    <x v="0"/>
    <m/>
    <m/>
    <x v="0"/>
    <m/>
    <x v="5"/>
    <m/>
    <x v="2"/>
    <x v="6"/>
    <s v="Camp/Community Leader"/>
    <s v="Estimate"/>
    <d v="2013-09-03T00:00:00"/>
    <s v="Population (HH=120/ Ind=572)"/>
    <x v="6"/>
    <n v="0"/>
  </r>
  <r>
    <x v="1"/>
    <x v="0"/>
    <s v="MMR012"/>
    <s v="Sittwe"/>
    <s v="MMR012D001"/>
    <x v="1"/>
    <s v="MMR012001"/>
    <s v="Min Gan Ward"/>
    <s v="MMR012001701"/>
    <m/>
    <s v="MMR012001701532"/>
    <x v="26"/>
    <x v="93"/>
    <n v="92.860598999999993"/>
    <n v="20.154343000000001"/>
    <m/>
    <m/>
    <m/>
    <n v="0"/>
    <s v="Accessible by All"/>
    <s v="IDP"/>
    <x v="0"/>
    <m/>
    <m/>
    <x v="0"/>
    <m/>
    <x v="5"/>
    <m/>
    <x v="2"/>
    <x v="6"/>
    <s v="Camp/Community Leader"/>
    <s v="Estimate"/>
    <d v="2013-09-03T00:00:00"/>
    <s v="Population (HH=80/ Ind=353)"/>
    <x v="6"/>
    <n v="0"/>
  </r>
  <r>
    <x v="1"/>
    <x v="0"/>
    <s v="MMR012"/>
    <s v="Sittwe"/>
    <s v="MMR012D001"/>
    <x v="1"/>
    <s v="MMR012001"/>
    <s v="Khaung Doke Kar"/>
    <s v="MMR012001025"/>
    <s v="Baw Du Hpa"/>
    <n v="196192"/>
    <x v="94"/>
    <x v="94"/>
    <n v="92.798676999999998"/>
    <n v="20.187750999999999"/>
    <m/>
    <m/>
    <m/>
    <n v="0"/>
    <s v="Accessible by All"/>
    <s v="IDP"/>
    <x v="0"/>
    <m/>
    <m/>
    <x v="0"/>
    <m/>
    <x v="5"/>
    <m/>
    <x v="2"/>
    <x v="6"/>
    <s v="Camp/Community Leader"/>
    <s v="Estimate"/>
    <d v="2013-10-01T00:00:00"/>
    <s v="Population (HH=1073/ Ind=6225)"/>
    <x v="6"/>
    <n v="0"/>
  </r>
  <r>
    <x v="1"/>
    <x v="0"/>
    <s v="MMR012"/>
    <s v="Sittwe"/>
    <s v="MMR012D001"/>
    <x v="1"/>
    <s v="MMR012001"/>
    <s v="Khaung Doke Kar"/>
    <s v="MMR012001025"/>
    <s v="Baw Du Hpa"/>
    <n v="196192"/>
    <x v="95"/>
    <x v="95"/>
    <n v="92.800693999999993"/>
    <n v="20.190055999999998"/>
    <m/>
    <m/>
    <m/>
    <n v="0"/>
    <s v="Accessible by All"/>
    <s v="IDP"/>
    <x v="0"/>
    <m/>
    <m/>
    <x v="0"/>
    <m/>
    <x v="5"/>
    <m/>
    <x v="2"/>
    <x v="6"/>
    <s v="Camp/Community Leader"/>
    <s v="Estimate"/>
    <d v="2013-10-01T00:00:00"/>
    <s v="Population (HH=212/ Ind=1177)"/>
    <x v="6"/>
    <n v="0"/>
  </r>
  <r>
    <x v="1"/>
    <x v="0"/>
    <s v="MMR012"/>
    <s v="Sittwe"/>
    <s v="MMR012D001"/>
    <x v="1"/>
    <s v="MMR012001"/>
    <s v="Khaung Doke Kar"/>
    <s v="MMR012001025"/>
    <s v="Baw Du Hpa"/>
    <n v="196192"/>
    <x v="96"/>
    <x v="96"/>
    <n v="92.800528"/>
    <n v="20.185583000000001"/>
    <m/>
    <m/>
    <m/>
    <n v="0"/>
    <s v="Accessible by All"/>
    <s v="IDP"/>
    <x v="0"/>
    <m/>
    <m/>
    <x v="0"/>
    <m/>
    <x v="5"/>
    <m/>
    <x v="2"/>
    <x v="6"/>
    <s v="Camp/Community Leader"/>
    <s v="Estimate"/>
    <d v="2013-10-01T00:00:00"/>
    <s v="Population (HH=849/ Ind=5974) This HH and Total population is for Both camps Ohn Taw Gyi 4 and 5 because information is only possible to get combine information for 2 camps."/>
    <x v="6"/>
    <n v="0"/>
  </r>
  <r>
    <x v="1"/>
    <x v="0"/>
    <s v="MMR012"/>
    <s v="Sittwe"/>
    <s v="MMR012D001"/>
    <x v="1"/>
    <s v="MMR012001"/>
    <s v="Khaung Doke Kar"/>
    <s v="MMR012001025"/>
    <s v="Baw Du Hpa"/>
    <n v="196192"/>
    <x v="97"/>
    <x v="97"/>
    <n v="92.799861000000007"/>
    <n v="20.185193999999999"/>
    <m/>
    <m/>
    <m/>
    <n v="0"/>
    <s v="Accessible by All"/>
    <s v="IDP"/>
    <x v="0"/>
    <m/>
    <m/>
    <x v="0"/>
    <m/>
    <x v="5"/>
    <m/>
    <x v="2"/>
    <x v="6"/>
    <s v="Camp/Community Leader"/>
    <s v="Estimate"/>
    <d v="2013-10-01T00:00:00"/>
    <s v="Population (HH=849/ Ind=5973)"/>
    <x v="6"/>
    <n v="0"/>
  </r>
  <r>
    <x v="1"/>
    <x v="0"/>
    <s v="MMR012"/>
    <s v="Sittwe"/>
    <s v="MMR012D001"/>
    <x v="1"/>
    <s v="MMR012001"/>
    <s v="Aung Daing"/>
    <s v="MMR012001005"/>
    <s v="Hpwe Ywar Kone"/>
    <n v="196157"/>
    <x v="98"/>
    <x v="98"/>
    <n v="92.788177000000005"/>
    <n v="20.207284999999999"/>
    <m/>
    <m/>
    <m/>
    <n v="0"/>
    <s v="Accessible by All"/>
    <s v="IDP"/>
    <x v="0"/>
    <m/>
    <m/>
    <x v="0"/>
    <m/>
    <x v="5"/>
    <m/>
    <x v="2"/>
    <x v="6"/>
    <s v="Camp/Community Leader"/>
    <s v="Estimate"/>
    <d v="2013-10-01T00:00:00"/>
    <s v="Population (HH=350/ Ind=2115)"/>
    <x v="6"/>
    <n v="0"/>
  </r>
  <r>
    <x v="1"/>
    <x v="0"/>
    <s v="MMR012"/>
    <s v="Sittwe"/>
    <s v="MMR012D001"/>
    <x v="1"/>
    <s v="MMR012001"/>
    <s v="Bu May"/>
    <s v="MMR012001027"/>
    <s v="Thea Chaung Let Tha Mar Kone"/>
    <n v="196209"/>
    <x v="99"/>
    <x v="99"/>
    <n v="92.847966999999997"/>
    <n v="20.147107999999999"/>
    <m/>
    <m/>
    <m/>
    <n v="0"/>
    <s v="Accessible by All"/>
    <s v="IDP"/>
    <x v="2"/>
    <m/>
    <m/>
    <x v="0"/>
    <m/>
    <x v="5"/>
    <m/>
    <x v="2"/>
    <x v="6"/>
    <s v="Camp/Community Leader"/>
    <s v="Estimate"/>
    <d v="2013-09-03T00:00:00"/>
    <s v="Population (HH=414/ Ind=2722)"/>
    <x v="6"/>
    <n v="0"/>
  </r>
  <r>
    <x v="1"/>
    <x v="0"/>
    <s v="MMR012"/>
    <s v="Sittwe"/>
    <s v="MMR012D001"/>
    <x v="1"/>
    <s v="MMR012001"/>
    <s v="Bu May"/>
    <s v="MMR012001027"/>
    <s v="Tin Bi"/>
    <n v="196216"/>
    <x v="100"/>
    <x v="100"/>
    <n v="92.848348000000001"/>
    <n v="20.133385000000001"/>
    <m/>
    <m/>
    <m/>
    <n v="0"/>
    <s v="Accessible by All"/>
    <s v="IDP"/>
    <x v="2"/>
    <m/>
    <m/>
    <x v="0"/>
    <m/>
    <x v="5"/>
    <m/>
    <x v="2"/>
    <x v="6"/>
    <s v="Camp/Community Leader"/>
    <s v="Estimate"/>
    <d v="2013-09-03T00:00:00"/>
    <m/>
    <x v="6"/>
    <n v="0"/>
  </r>
  <r>
    <x v="1"/>
    <x v="0"/>
    <s v="MMR012"/>
    <s v="Sittwe"/>
    <s v="MMR012D001"/>
    <x v="1"/>
    <s v="MMR012001"/>
    <s v="Say Tha Mar"/>
    <s v="MMR012001010"/>
    <s v="Say Tha Mar Gyi"/>
    <n v="196154"/>
    <x v="101"/>
    <x v="101"/>
    <n v="92.792958999999996"/>
    <n v="20.205295"/>
    <m/>
    <m/>
    <m/>
    <n v="0"/>
    <s v="Accessible by All"/>
    <s v="IDP"/>
    <x v="2"/>
    <m/>
    <m/>
    <x v="0"/>
    <m/>
    <x v="5"/>
    <m/>
    <x v="2"/>
    <x v="6"/>
    <s v="Camp/Community Leader"/>
    <s v="Estimate"/>
    <d v="2013-09-03T00:00:00"/>
    <s v="Population (HH=326/ Ind=2411)"/>
    <x v="6"/>
    <n v="0"/>
  </r>
  <r>
    <x v="1"/>
    <x v="0"/>
    <s v="MMR012"/>
    <s v="Sittwe"/>
    <s v="MMR012D001"/>
    <x v="1"/>
    <s v="MMR012001"/>
    <s v="Urban"/>
    <s v="MMR012001701"/>
    <s v="Sut Yoe Kya Ward"/>
    <s v="MMR012001701531"/>
    <x v="102"/>
    <x v="102"/>
    <n v="92.887277999999995"/>
    <n v="20.151471999999998"/>
    <m/>
    <m/>
    <m/>
    <n v="0"/>
    <s v="Accessible by All"/>
    <s v="IDP"/>
    <x v="2"/>
    <m/>
    <m/>
    <x v="0"/>
    <m/>
    <x v="5"/>
    <m/>
    <x v="2"/>
    <x v="6"/>
    <s v="Camp/Community Leader"/>
    <s v="Estimate"/>
    <d v="2013-10-01T00:00:00"/>
    <s v="Population (HH=500/ Ind=2989)"/>
    <x v="6"/>
    <n v="0"/>
  </r>
  <r>
    <x v="1"/>
    <x v="0"/>
    <s v="MMR012"/>
    <s v="Sittwe"/>
    <s v="MMR012D001"/>
    <x v="1"/>
    <s v="MMR012001"/>
    <s v="Bu May"/>
    <s v="MMR012001027"/>
    <s v="Thea Chaung  "/>
    <n v="196211"/>
    <x v="103"/>
    <x v="103"/>
    <n v="92.837576999999996"/>
    <n v="20.156842000000001"/>
    <m/>
    <m/>
    <m/>
    <n v="0"/>
    <s v="Accessible by All"/>
    <s v="IDP"/>
    <x v="2"/>
    <m/>
    <m/>
    <x v="0"/>
    <m/>
    <x v="5"/>
    <m/>
    <x v="2"/>
    <x v="6"/>
    <s v="Camp/Community Leader"/>
    <s v="Estimate"/>
    <d v="2013-11-01T00:00:00"/>
    <s v="(HH=460/ Ind=1879)Counted within Thae Chaung  Population "/>
    <x v="6"/>
    <n v="0"/>
  </r>
  <r>
    <x v="1"/>
    <x v="0"/>
    <s v="MMR012"/>
    <s v="Sittwe"/>
    <s v="MMR012D001"/>
    <x v="1"/>
    <s v="MMR012001"/>
    <s v="Bu May"/>
    <s v="MMR012001027"/>
    <s v="Thea Chaung  "/>
    <n v="196211"/>
    <x v="104"/>
    <x v="104"/>
    <n v="92.839166000000006"/>
    <n v="20.157311"/>
    <m/>
    <m/>
    <m/>
    <m/>
    <s v="Accessible by All"/>
    <s v="IDP"/>
    <x v="1"/>
    <m/>
    <m/>
    <x v="0"/>
    <m/>
    <x v="1"/>
    <m/>
    <x v="2"/>
    <x v="3"/>
    <m/>
    <m/>
    <d v="2015-10-01T00:00:00"/>
    <s v="LWF reported Thea Chaung Camp and Thea Chaung host families as a combine one (Thea Chaung)"/>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A4:C110" firstHeaderRow="1" firstDataRow="1" firstDataCol="2" rowPageCount="2" colPageCount="1"/>
  <pivotFields count="37">
    <pivotField axis="axisPage" compact="0" outline="0" multipleItemSelectionAllowed="1" showAll="0" defaultSubtotal="0">
      <items count="5">
        <item x="1"/>
        <item x="0"/>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
        <item x="4"/>
        <item x="3"/>
        <item x="7"/>
        <item x="8"/>
        <item x="6"/>
        <item x="5"/>
        <item x="0"/>
        <item x="2"/>
        <item x="9"/>
        <item x="1"/>
        <item x="1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axis="axisPage" compact="0" outline="0"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extLst>
        <ext xmlns:x14="http://schemas.microsoft.com/office/spreadsheetml/2009/9/main" uri="{2946ED86-A175-432a-8AC1-64E0C546D7DE}">
          <x14:pivotField fillDownLabels="1"/>
        </ext>
      </extLst>
    </pivotField>
  </pivotFields>
  <rowFields count="2">
    <field x="5"/>
    <field x="11"/>
  </rowFields>
  <rowItems count="106">
    <i>
      <x/>
      <x v="30"/>
    </i>
    <i r="1">
      <x v="38"/>
    </i>
    <i>
      <x v="1"/>
      <x/>
    </i>
    <i r="1">
      <x v="1"/>
    </i>
    <i r="1">
      <x v="4"/>
    </i>
    <i r="1">
      <x v="24"/>
    </i>
    <i r="1">
      <x v="29"/>
    </i>
    <i r="1">
      <x v="35"/>
    </i>
    <i r="1">
      <x v="42"/>
    </i>
    <i r="1">
      <x v="53"/>
    </i>
    <i r="1">
      <x v="79"/>
    </i>
    <i r="1">
      <x v="85"/>
    </i>
    <i r="1">
      <x v="102"/>
    </i>
    <i>
      <x v="2"/>
      <x v="5"/>
    </i>
    <i r="1">
      <x v="10"/>
    </i>
    <i r="1">
      <x v="15"/>
    </i>
    <i r="1">
      <x v="32"/>
    </i>
    <i r="1">
      <x v="36"/>
    </i>
    <i r="1">
      <x v="37"/>
    </i>
    <i r="1">
      <x v="40"/>
    </i>
    <i r="1">
      <x v="46"/>
    </i>
    <i r="1">
      <x v="55"/>
    </i>
    <i r="1">
      <x v="88"/>
    </i>
    <i r="1">
      <x v="103"/>
    </i>
    <i r="1">
      <x v="104"/>
    </i>
    <i>
      <x v="3"/>
      <x v="7"/>
    </i>
    <i r="1">
      <x v="50"/>
    </i>
    <i r="1">
      <x v="65"/>
    </i>
    <i r="1">
      <x v="71"/>
    </i>
    <i r="1">
      <x v="72"/>
    </i>
    <i r="1">
      <x v="77"/>
    </i>
    <i r="1">
      <x v="87"/>
    </i>
    <i r="1">
      <x v="89"/>
    </i>
    <i r="1">
      <x v="94"/>
    </i>
    <i>
      <x v="4"/>
      <x v="48"/>
    </i>
    <i r="1">
      <x v="64"/>
    </i>
    <i r="1">
      <x v="70"/>
    </i>
    <i r="1">
      <x v="98"/>
    </i>
    <i r="1">
      <x v="101"/>
    </i>
    <i>
      <x v="5"/>
      <x v="31"/>
    </i>
    <i r="1">
      <x v="86"/>
    </i>
    <i>
      <x v="6"/>
      <x v="3"/>
    </i>
    <i r="1">
      <x v="8"/>
    </i>
    <i r="1">
      <x v="39"/>
    </i>
    <i r="1">
      <x v="51"/>
    </i>
    <i r="1">
      <x v="52"/>
    </i>
    <i r="1">
      <x v="82"/>
    </i>
    <i r="1">
      <x v="83"/>
    </i>
    <i>
      <x v="7"/>
      <x v="68"/>
    </i>
    <i r="1">
      <x v="69"/>
    </i>
    <i>
      <x v="8"/>
      <x v="2"/>
    </i>
    <i r="1">
      <x v="54"/>
    </i>
    <i>
      <x v="9"/>
      <x v="6"/>
    </i>
    <i r="1">
      <x v="9"/>
    </i>
    <i r="1">
      <x v="11"/>
    </i>
    <i r="1">
      <x v="12"/>
    </i>
    <i r="1">
      <x v="13"/>
    </i>
    <i r="1">
      <x v="14"/>
    </i>
    <i r="1">
      <x v="16"/>
    </i>
    <i r="1">
      <x v="17"/>
    </i>
    <i r="1">
      <x v="18"/>
    </i>
    <i r="1">
      <x v="19"/>
    </i>
    <i r="1">
      <x v="20"/>
    </i>
    <i r="1">
      <x v="21"/>
    </i>
    <i r="1">
      <x v="22"/>
    </i>
    <i r="1">
      <x v="23"/>
    </i>
    <i r="1">
      <x v="25"/>
    </i>
    <i r="1">
      <x v="26"/>
    </i>
    <i r="1">
      <x v="27"/>
    </i>
    <i r="1">
      <x v="28"/>
    </i>
    <i r="1">
      <x v="33"/>
    </i>
    <i r="1">
      <x v="34"/>
    </i>
    <i r="1">
      <x v="41"/>
    </i>
    <i r="1">
      <x v="43"/>
    </i>
    <i r="1">
      <x v="44"/>
    </i>
    <i r="1">
      <x v="45"/>
    </i>
    <i r="1">
      <x v="47"/>
    </i>
    <i r="1">
      <x v="49"/>
    </i>
    <i r="1">
      <x v="56"/>
    </i>
    <i r="1">
      <x v="57"/>
    </i>
    <i r="1">
      <x v="58"/>
    </i>
    <i r="1">
      <x v="59"/>
    </i>
    <i r="1">
      <x v="60"/>
    </i>
    <i r="1">
      <x v="61"/>
    </i>
    <i r="1">
      <x v="62"/>
    </i>
    <i r="1">
      <x v="63"/>
    </i>
    <i r="1">
      <x v="66"/>
    </i>
    <i r="1">
      <x v="67"/>
    </i>
    <i r="1">
      <x v="73"/>
    </i>
    <i r="1">
      <x v="74"/>
    </i>
    <i r="1">
      <x v="75"/>
    </i>
    <i r="1">
      <x v="76"/>
    </i>
    <i r="1">
      <x v="78"/>
    </i>
    <i r="1">
      <x v="80"/>
    </i>
    <i r="1">
      <x v="81"/>
    </i>
    <i r="1">
      <x v="84"/>
    </i>
    <i r="1">
      <x v="90"/>
    </i>
    <i r="1">
      <x v="91"/>
    </i>
    <i r="1">
      <x v="92"/>
    </i>
    <i r="1">
      <x v="93"/>
    </i>
    <i r="1">
      <x v="95"/>
    </i>
    <i r="1">
      <x v="96"/>
    </i>
    <i r="1">
      <x v="97"/>
    </i>
    <i r="1">
      <x v="99"/>
    </i>
    <i r="1">
      <x v="100"/>
    </i>
    <i>
      <x v="10"/>
      <x v="105"/>
    </i>
  </rowItems>
  <colItems count="1">
    <i/>
  </colItems>
  <pageFields count="2">
    <pageField fld="0" hier="-1"/>
    <pageField fld="36" hier="-1"/>
  </pageFields>
  <dataFields count="1">
    <dataField name="Count of Township_Pco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0.xml><?xml version="1.0" encoding="utf-8"?>
<pivotTableDefinition xmlns="http://schemas.openxmlformats.org/spreadsheetml/2006/main" name="PivotTable2"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M11:N23" firstHeaderRow="1" firstDataRow="1" firstDataCol="1" rowPageCount="1" colPageCount="1"/>
  <pivotFields count="37">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ubtotalTop="0" showAll="0" sortType="descending">
      <items count="12">
        <item x="3"/>
        <item x="7"/>
        <item x="8"/>
        <item x="0"/>
        <item x="2"/>
        <item x="9"/>
        <item x="1"/>
        <item x="5"/>
        <item x="4"/>
        <item x="6"/>
        <item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ubtotalTop="0"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ubtotalTop="0" showAll="0"/>
    <pivotField subtotalTop="0" showAll="0"/>
    <pivotField subtotalTop="0" showAl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1">
    <field x="5"/>
  </rowFields>
  <rowItems count="12">
    <i>
      <x v="6"/>
    </i>
    <i>
      <x v="3"/>
    </i>
    <i>
      <x/>
    </i>
    <i>
      <x v="2"/>
    </i>
    <i>
      <x v="9"/>
    </i>
    <i>
      <x v="7"/>
    </i>
    <i>
      <x v="8"/>
    </i>
    <i>
      <x v="5"/>
    </i>
    <i>
      <x v="1"/>
    </i>
    <i>
      <x v="10"/>
    </i>
    <i>
      <x v="4"/>
    </i>
    <i t="grand">
      <x/>
    </i>
  </rowItems>
  <colItems count="1">
    <i/>
  </colItems>
  <pageFields count="1">
    <pageField fld="1" hier="-1"/>
  </pageFields>
  <dataFields count="1">
    <dataField name="Population" fld="17" baseField="5" baseItem="22"/>
  </dataFields>
  <formats count="7">
    <format dxfId="1132">
      <pivotArea type="all" dataOnly="0" outline="0" fieldPosition="0"/>
    </format>
    <format dxfId="1131">
      <pivotArea field="1" type="button" dataOnly="0" labelOnly="1" outline="0" axis="axisPage" fieldPosition="0"/>
    </format>
    <format dxfId="1130">
      <pivotArea dataOnly="0" labelOnly="1" outline="0" fieldPosition="0">
        <references count="1">
          <reference field="1" count="1">
            <x v="0"/>
          </reference>
        </references>
      </pivotArea>
    </format>
    <format dxfId="1129">
      <pivotArea field="5" type="button" dataOnly="0" labelOnly="1" outline="0" axis="axisRow" fieldPosition="0"/>
    </format>
    <format dxfId="1128">
      <pivotArea dataOnly="0" labelOnly="1" outline="0" fieldPosition="0">
        <references count="1">
          <reference field="4294967294" count="1">
            <x v="0"/>
          </reference>
        </references>
      </pivotArea>
    </format>
    <format dxfId="1127">
      <pivotArea grandRow="1" outline="0" collapsedLevelsAreSubtotals="1" fieldPosition="0"/>
    </format>
    <format dxfId="1126">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4" cacheId="19"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location ref="A45:D47"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0"/>
        <item x="1"/>
        <item x="2"/>
      </items>
    </pivotField>
    <pivotField showAll="0" defaultSubtotal="0"/>
    <pivotField showAll="0"/>
    <pivotField showAll="0"/>
    <pivotField numFmtId="15" showAll="0"/>
    <pivotField showAl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Items count="1">
    <i/>
  </rowItems>
  <colFields count="1">
    <field x="28"/>
  </colFields>
  <colItems count="3">
    <i>
      <x/>
    </i>
    <i>
      <x v="1"/>
    </i>
    <i t="grand">
      <x/>
    </i>
  </colItems>
  <pageFields count="1">
    <pageField fld="0" hier="-1"/>
  </pageFields>
  <dataFields count="1">
    <dataField name="# Ind." fld="17" baseField="20" baseItem="4"/>
  </dataFields>
  <formats count="5">
    <format dxfId="1137">
      <pivotArea field="0" type="button" dataOnly="0" labelOnly="1" outline="0" axis="axisPage" fieldPosition="0"/>
    </format>
    <format dxfId="1136">
      <pivotArea dataOnly="0" labelOnly="1" outline="0" fieldPosition="0">
        <references count="1">
          <reference field="0" count="0"/>
        </references>
      </pivotArea>
    </format>
    <format dxfId="1135">
      <pivotArea type="all" dataOnly="0" outline="0" fieldPosition="0"/>
    </format>
    <format dxfId="1134">
      <pivotArea field="0" type="button" dataOnly="0" labelOnly="1" outline="0" axis="axisPage" fieldPosition="0"/>
    </format>
    <format dxfId="1133">
      <pivotArea dataOnly="0" labelOnly="1" outline="0" fieldPosition="0">
        <references count="1">
          <reference field="0" count="0"/>
        </references>
      </pivotArea>
    </format>
  </formats>
  <chartFormats count="14">
    <chartFormat chart="2" format="24" series="1">
      <pivotArea type="data" outline="0" fieldPosition="0">
        <references count="2">
          <reference field="4294967294" count="1" selected="0">
            <x v="0"/>
          </reference>
          <reference field="28" count="1" selected="0">
            <x v="1"/>
          </reference>
        </references>
      </pivotArea>
    </chartFormat>
    <chartFormat chart="2" format="26" series="1">
      <pivotArea type="data" outline="0" fieldPosition="0">
        <references count="1">
          <reference field="4294967294" count="1" selected="0">
            <x v="0"/>
          </reference>
        </references>
      </pivotArea>
    </chartFormat>
    <chartFormat chart="2" format="30" series="1">
      <pivotArea type="data" outline="0" fieldPosition="0">
        <references count="2">
          <reference field="4294967294" count="1" selected="0">
            <x v="0"/>
          </reference>
          <reference field="28" count="1" selected="0">
            <x v="0"/>
          </reference>
        </references>
      </pivotArea>
    </chartFormat>
    <chartFormat chart="2" format="31">
      <pivotArea type="data" outline="0" fieldPosition="0">
        <references count="2">
          <reference field="4294967294" count="1" selected="0">
            <x v="0"/>
          </reference>
          <reference field="28" count="1" selected="0">
            <x v="0"/>
          </reference>
        </references>
      </pivotArea>
    </chartFormat>
    <chartFormat chart="2" format="32">
      <pivotArea type="data" outline="0" fieldPosition="0">
        <references count="2">
          <reference field="4294967294" count="1" selected="0">
            <x v="0"/>
          </reference>
          <reference field="28" count="1" selected="0">
            <x v="1"/>
          </reference>
        </references>
      </pivotArea>
    </chartFormat>
    <chartFormat chart="3" format="0" series="1">
      <pivotArea type="data" outline="0" fieldPosition="0">
        <references count="2">
          <reference field="4294967294" count="1" selected="0">
            <x v="0"/>
          </reference>
          <reference field="28" count="1" selected="0">
            <x v="0"/>
          </reference>
        </references>
      </pivotArea>
    </chartFormat>
    <chartFormat chart="3" format="1" series="1">
      <pivotArea type="data" outline="0" fieldPosition="0">
        <references count="2">
          <reference field="4294967294" count="1" selected="0">
            <x v="0"/>
          </reference>
          <reference field="28" count="1" selected="0">
            <x v="1"/>
          </reference>
        </references>
      </pivotArea>
    </chartFormat>
    <chartFormat chart="4" format="2" series="1">
      <pivotArea type="data" outline="0" fieldPosition="0">
        <references count="2">
          <reference field="4294967294" count="1" selected="0">
            <x v="0"/>
          </reference>
          <reference field="28" count="1" selected="0">
            <x v="0"/>
          </reference>
        </references>
      </pivotArea>
    </chartFormat>
    <chartFormat chart="4" format="3" series="1">
      <pivotArea type="data" outline="0" fieldPosition="0">
        <references count="2">
          <reference field="4294967294" count="1" selected="0">
            <x v="0"/>
          </reference>
          <reference field="28" count="1" selected="0">
            <x v="1"/>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2">
          <reference field="4294967294" count="1" selected="0">
            <x v="0"/>
          </reference>
          <reference field="28" count="1" selected="0">
            <x v="2"/>
          </reference>
        </references>
      </pivotArea>
    </chartFormat>
    <chartFormat chart="5" format="7">
      <pivotArea type="data" outline="0" fieldPosition="0">
        <references count="2">
          <reference field="4294967294" count="1" selected="0">
            <x v="0"/>
          </reference>
          <reference field="28" count="1" selected="0">
            <x v="0"/>
          </reference>
        </references>
      </pivotArea>
    </chartFormat>
    <chartFormat chart="5" format="8">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9:D36" firstHeaderRow="0" firstDataRow="1" firstDataCol="1" rowPageCount="1" colPageCount="1"/>
  <pivotFields count="37">
    <pivotField axis="axisRow" multipleItemSelectionAllowed="1" showAll="0">
      <items count="6">
        <item x="1"/>
        <item x="0"/>
        <item x="2"/>
        <item x="3"/>
        <item x="4"/>
        <item t="default"/>
      </items>
    </pivotField>
    <pivotField axis="axisPage" subtotalTop="0" multipleItemSelectionAllowed="1" showAll="0">
      <items count="3">
        <item x="0"/>
        <item h="1" x="1"/>
        <item t="default"/>
      </items>
    </pivotField>
    <pivotField showAll="0" defaultSubtotal="0"/>
    <pivotField showAll="0" defaultSubtotal="0"/>
    <pivotField showAll="0" defaultSubtotal="0"/>
    <pivotField axis="axisRow" subtotalTop="0" showAll="0">
      <items count="12">
        <item x="3"/>
        <item x="7"/>
        <item x="8"/>
        <item x="0"/>
        <item x="2"/>
        <item x="9"/>
        <item x="1"/>
        <item x="5"/>
        <item x="4"/>
        <item x="6"/>
        <item x="10"/>
        <item t="default"/>
      </items>
    </pivotField>
    <pivotField showAll="0" defaultSubtotal="0"/>
    <pivotField showAll="0" defaultSubtotal="0"/>
    <pivotField showAll="0" defaultSubtotal="0"/>
    <pivotField showAll="0" defaultSubtotal="0"/>
    <pivotField showAll="0" defaultSubtotal="0"/>
    <pivotField dataField="1" subtotalTop="0"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ubtotalTop="0" showAll="0"/>
    <pivotField subtotalTop="0" showAll="0"/>
    <pivotField subtotalTop="0" showAll="0"/>
    <pivotField showAll="0" defaultSubtota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2">
    <field x="0"/>
    <field x="5"/>
  </rowFields>
  <rowItems count="27">
    <i>
      <x/>
    </i>
    <i r="1">
      <x v="1"/>
    </i>
    <i r="1">
      <x v="2"/>
    </i>
    <i r="1">
      <x v="3"/>
    </i>
    <i r="1">
      <x v="4"/>
    </i>
    <i r="1">
      <x v="6"/>
    </i>
    <i r="1">
      <x v="9"/>
    </i>
    <i>
      <x v="1"/>
    </i>
    <i r="1">
      <x/>
    </i>
    <i r="1">
      <x v="3"/>
    </i>
    <i r="1">
      <x v="6"/>
    </i>
    <i r="1">
      <x v="7"/>
    </i>
    <i r="1">
      <x v="8"/>
    </i>
    <i>
      <x v="2"/>
    </i>
    <i r="1">
      <x/>
    </i>
    <i r="1">
      <x v="3"/>
    </i>
    <i r="1">
      <x v="6"/>
    </i>
    <i r="1">
      <x v="7"/>
    </i>
    <i r="1">
      <x v="8"/>
    </i>
    <i r="1">
      <x v="9"/>
    </i>
    <i>
      <x v="3"/>
    </i>
    <i r="1">
      <x/>
    </i>
    <i r="1">
      <x v="1"/>
    </i>
    <i r="1">
      <x v="2"/>
    </i>
    <i r="1">
      <x v="5"/>
    </i>
    <i r="1">
      <x v="9"/>
    </i>
    <i t="grand">
      <x/>
    </i>
  </rowItems>
  <colFields count="1">
    <field x="-2"/>
  </colFields>
  <colItems count="3">
    <i>
      <x/>
    </i>
    <i i="1">
      <x v="1"/>
    </i>
    <i i="2">
      <x v="2"/>
    </i>
  </colItems>
  <pageFields count="1">
    <pageField fld="1" hier="-1"/>
  </pageFields>
  <dataFields count="3">
    <dataField name="# of Camps" fld="11" subtotal="count" baseField="2" baseItem="0"/>
    <dataField name="Households" fld="16" baseField="2" baseItem="0"/>
    <dataField name="Population" fld="17" baseField="2" baseItem="0"/>
  </dataFields>
  <formats count="6">
    <format dxfId="1143">
      <pivotArea type="all" dataOnly="0" outline="0" fieldPosition="0"/>
    </format>
    <format dxfId="1142">
      <pivotArea field="1" type="button" dataOnly="0" labelOnly="1" outline="0" axis="axisPage" fieldPosition="0"/>
    </format>
    <format dxfId="1141">
      <pivotArea dataOnly="0" labelOnly="1" outline="0" fieldPosition="0">
        <references count="1">
          <reference field="1" count="0"/>
        </references>
      </pivotArea>
    </format>
    <format dxfId="1140">
      <pivotArea type="all" dataOnly="0" outline="0" fieldPosition="0"/>
    </format>
    <format dxfId="1139">
      <pivotArea field="1" type="button" dataOnly="0" labelOnly="1" outline="0" axis="axisPage" fieldPosition="0"/>
    </format>
    <format dxfId="1138">
      <pivotArea dataOnly="0" labelOnly="1" outline="0" fieldPosition="0">
        <references count="1">
          <reference field="1" count="0"/>
        </references>
      </pivotArea>
    </format>
  </formats>
  <chartFormats count="7">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1">
          <reference field="4294967294" count="1" selected="0">
            <x v="2"/>
          </reference>
        </references>
      </pivotArea>
    </chartFormat>
    <chartFormat chart="9" format="20">
      <pivotArea type="data" outline="0" fieldPosition="0">
        <references count="3">
          <reference field="4294967294" count="1" selected="0">
            <x v="0"/>
          </reference>
          <reference field="0" count="1" selected="0">
            <x v="1"/>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rowHeaderCaption="Township">
  <location ref="A200:D206" firstHeaderRow="0" firstDataRow="1"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dataField="1"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 x="24"/>
        <item x="12"/>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s>
  <rowFields count="1">
    <field x="5"/>
  </rowFields>
  <rowItems count="6">
    <i>
      <x/>
    </i>
    <i>
      <x v="3"/>
    </i>
    <i>
      <x v="4"/>
    </i>
    <i>
      <x v="7"/>
    </i>
    <i>
      <x v="8"/>
    </i>
    <i t="grand">
      <x/>
    </i>
  </rowItems>
  <colFields count="1">
    <field x="-2"/>
  </colFields>
  <colItems count="3">
    <i>
      <x/>
    </i>
    <i i="1">
      <x v="1"/>
    </i>
    <i i="2">
      <x v="2"/>
    </i>
  </colItems>
  <pageFields count="1">
    <pageField fld="0" hier="-1"/>
  </pageFields>
  <dataFields count="3">
    <dataField name="# of  Camp" fld="11" subtotal="count" baseField="5" baseItem="0"/>
    <dataField name="Household" fld="16" baseField="5" baseItem="0"/>
    <dataField name="Population" fld="17" baseField="5" baseItem="0"/>
  </dataFields>
  <chartFormats count="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14"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1" rowHeaderCaption="Township">
  <location ref="A186:F193" firstHeaderRow="1" firstDataRow="2" firstDataCol="1" rowPageCount="1" colPageCount="1"/>
  <pivotFields count="37">
    <pivotField axis="axisPage" showAll="0">
      <items count="6">
        <item x="1"/>
        <item x="0"/>
        <item x="2"/>
        <item x="3"/>
        <item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 x="24"/>
        <item x="12"/>
        <item t="default"/>
      </items>
    </pivotField>
    <pivotField showAll="0"/>
    <pivotField showAll="0"/>
    <pivotField showAll="0"/>
    <pivotField showAll="0"/>
    <pivotField showAll="0"/>
    <pivotField dataField="1" showAll="0"/>
    <pivotField showAll="0"/>
    <pivotField showAll="0"/>
    <pivotField showAll="0"/>
    <pivotField axis="axisCol" showAll="0">
      <items count="7">
        <item x="5"/>
        <item x="1"/>
        <item x="0"/>
        <item x="2"/>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s>
  <rowFields count="1">
    <field x="5"/>
  </rowFields>
  <rowItems count="6">
    <i>
      <x/>
    </i>
    <i>
      <x v="3"/>
    </i>
    <i>
      <x v="4"/>
    </i>
    <i>
      <x v="7"/>
    </i>
    <i>
      <x v="8"/>
    </i>
    <i t="grand">
      <x/>
    </i>
  </rowItems>
  <colFields count="1">
    <field x="21"/>
  </colFields>
  <colItems count="5">
    <i>
      <x v="1"/>
    </i>
    <i>
      <x v="2"/>
    </i>
    <i>
      <x v="3"/>
    </i>
    <i>
      <x v="4"/>
    </i>
    <i t="grand">
      <x/>
    </i>
  </colItems>
  <pageFields count="1">
    <pageField fld="0" item="1" hier="-1"/>
  </pageFields>
  <dataFields count="1">
    <dataField name="Sum of Total" fld="17" baseField="5" baseItem="0"/>
  </dataFields>
  <chartFormats count="31">
    <chartFormat chart="3" format="0" series="1">
      <pivotArea type="data" outline="0" fieldPosition="0">
        <references count="2">
          <reference field="4294967294" count="1" selected="0">
            <x v="0"/>
          </reference>
          <reference field="21" count="1" selected="0">
            <x v="1"/>
          </reference>
        </references>
      </pivotArea>
    </chartFormat>
    <chartFormat chart="3" format="1" series="1">
      <pivotArea type="data" outline="0" fieldPosition="0">
        <references count="2">
          <reference field="4294967294" count="1" selected="0">
            <x v="0"/>
          </reference>
          <reference field="21" count="1" selected="0">
            <x v="2"/>
          </reference>
        </references>
      </pivotArea>
    </chartFormat>
    <chartFormat chart="3" format="2" series="1">
      <pivotArea type="data" outline="0" fieldPosition="0">
        <references count="2">
          <reference field="4294967294" count="1" selected="0">
            <x v="0"/>
          </reference>
          <reference field="21" count="1" selected="0">
            <x v="3"/>
          </reference>
        </references>
      </pivotArea>
    </chartFormat>
    <chartFormat chart="6" format="6" series="1">
      <pivotArea type="data" outline="0" fieldPosition="0">
        <references count="2">
          <reference field="4294967294" count="1" selected="0">
            <x v="0"/>
          </reference>
          <reference field="21" count="1" selected="0">
            <x v="1"/>
          </reference>
        </references>
      </pivotArea>
    </chartFormat>
    <chartFormat chart="6" format="7" series="1">
      <pivotArea type="data" outline="0" fieldPosition="0">
        <references count="2">
          <reference field="4294967294" count="1" selected="0">
            <x v="0"/>
          </reference>
          <reference field="21" count="1" selected="0">
            <x v="2"/>
          </reference>
        </references>
      </pivotArea>
    </chartFormat>
    <chartFormat chart="6" format="8" series="1">
      <pivotArea type="data" outline="0" fieldPosition="0">
        <references count="2">
          <reference field="4294967294" count="1" selected="0">
            <x v="0"/>
          </reference>
          <reference field="21" count="1" selected="0">
            <x v="3"/>
          </reference>
        </references>
      </pivotArea>
    </chartFormat>
    <chartFormat chart="9" format="6" series="1">
      <pivotArea type="data" outline="0" fieldPosition="0">
        <references count="2">
          <reference field="4294967294" count="1" selected="0">
            <x v="0"/>
          </reference>
          <reference field="21" count="1" selected="0">
            <x v="1"/>
          </reference>
        </references>
      </pivotArea>
    </chartFormat>
    <chartFormat chart="9" format="7" series="1">
      <pivotArea type="data" outline="0" fieldPosition="0">
        <references count="2">
          <reference field="4294967294" count="1" selected="0">
            <x v="0"/>
          </reference>
          <reference field="21" count="1" selected="0">
            <x v="2"/>
          </reference>
        </references>
      </pivotArea>
    </chartFormat>
    <chartFormat chart="9" format="8" series="1">
      <pivotArea type="data" outline="0" fieldPosition="0">
        <references count="2">
          <reference field="4294967294" count="1" selected="0">
            <x v="0"/>
          </reference>
          <reference field="21" count="1" selected="0">
            <x v="3"/>
          </reference>
        </references>
      </pivotArea>
    </chartFormat>
    <chartFormat chart="9" format="9">
      <pivotArea type="data" outline="0" fieldPosition="0">
        <references count="3">
          <reference field="4294967294" count="1" selected="0">
            <x v="0"/>
          </reference>
          <reference field="5" count="1" selected="0">
            <x v="6"/>
          </reference>
          <reference field="21" count="1" selected="0">
            <x v="3"/>
          </reference>
        </references>
      </pivotArea>
    </chartFormat>
    <chartFormat chart="9" format="10">
      <pivotArea type="data" outline="0" fieldPosition="0">
        <references count="3">
          <reference field="4294967294" count="1" selected="0">
            <x v="0"/>
          </reference>
          <reference field="5" count="1" selected="0">
            <x v="5"/>
          </reference>
          <reference field="21" count="1" selected="0">
            <x v="3"/>
          </reference>
        </references>
      </pivotArea>
    </chartFormat>
    <chartFormat chart="9" format="12">
      <pivotArea type="data" outline="0" fieldPosition="0">
        <references count="3">
          <reference field="4294967294" count="1" selected="0">
            <x v="0"/>
          </reference>
          <reference field="5" count="1" selected="0">
            <x v="3"/>
          </reference>
          <reference field="21" count="1" selected="0">
            <x v="2"/>
          </reference>
        </references>
      </pivotArea>
    </chartFormat>
    <chartFormat chart="9" format="13">
      <pivotArea type="data" outline="0" fieldPosition="0">
        <references count="3">
          <reference field="4294967294" count="1" selected="0">
            <x v="0"/>
          </reference>
          <reference field="5" count="1" selected="0">
            <x v="1"/>
          </reference>
          <reference field="21" count="1" selected="0">
            <x v="3"/>
          </reference>
        </references>
      </pivotArea>
    </chartFormat>
    <chartFormat chart="9" format="14">
      <pivotArea type="data" outline="0" fieldPosition="0">
        <references count="3">
          <reference field="4294967294" count="1" selected="0">
            <x v="0"/>
          </reference>
          <reference field="5" count="1" selected="0">
            <x v="0"/>
          </reference>
          <reference field="21" count="1" selected="0">
            <x v="3"/>
          </reference>
        </references>
      </pivotArea>
    </chartFormat>
    <chartFormat chart="9" format="15">
      <pivotArea type="data" outline="0" fieldPosition="0">
        <references count="3">
          <reference field="4294967294" count="1" selected="0">
            <x v="0"/>
          </reference>
          <reference field="5" count="1" selected="0">
            <x v="5"/>
          </reference>
          <reference field="21" count="1" selected="0">
            <x v="2"/>
          </reference>
        </references>
      </pivotArea>
    </chartFormat>
    <chartFormat chart="9" format="16">
      <pivotArea type="data" outline="0" fieldPosition="0">
        <references count="3">
          <reference field="4294967294" count="1" selected="0">
            <x v="0"/>
          </reference>
          <reference field="5" count="1" selected="0">
            <x v="7"/>
          </reference>
          <reference field="21" count="1" selected="0">
            <x v="1"/>
          </reference>
        </references>
      </pivotArea>
    </chartFormat>
    <chartFormat chart="11" format="0" series="1">
      <pivotArea type="data" outline="0" fieldPosition="0">
        <references count="2">
          <reference field="4294967294" count="1" selected="0">
            <x v="0"/>
          </reference>
          <reference field="21" count="1" selected="0">
            <x v="1"/>
          </reference>
        </references>
      </pivotArea>
    </chartFormat>
    <chartFormat chart="11" format="1" series="1">
      <pivotArea type="data" outline="0" fieldPosition="0">
        <references count="2">
          <reference field="4294967294" count="1" selected="0">
            <x v="0"/>
          </reference>
          <reference field="21" count="1" selected="0">
            <x v="2"/>
          </reference>
        </references>
      </pivotArea>
    </chartFormat>
    <chartFormat chart="11" format="2" series="1">
      <pivotArea type="data" outline="0" fieldPosition="0">
        <references count="2">
          <reference field="4294967294" count="1" selected="0">
            <x v="0"/>
          </reference>
          <reference field="21" count="1" selected="0">
            <x v="3"/>
          </reference>
        </references>
      </pivotArea>
    </chartFormat>
    <chartFormat chart="12" format="3" series="1">
      <pivotArea type="data" outline="0" fieldPosition="0">
        <references count="2">
          <reference field="4294967294" count="1" selected="0">
            <x v="0"/>
          </reference>
          <reference field="21" count="1" selected="0">
            <x v="1"/>
          </reference>
        </references>
      </pivotArea>
    </chartFormat>
    <chartFormat chart="12" format="4" series="1">
      <pivotArea type="data" outline="0" fieldPosition="0">
        <references count="2">
          <reference field="4294967294" count="1" selected="0">
            <x v="0"/>
          </reference>
          <reference field="21" count="1" selected="0">
            <x v="2"/>
          </reference>
        </references>
      </pivotArea>
    </chartFormat>
    <chartFormat chart="12" format="5" series="1">
      <pivotArea type="data" outline="0" fieldPosition="0">
        <references count="2">
          <reference field="4294967294" count="1" selected="0">
            <x v="0"/>
          </reference>
          <reference field="21" count="1" selected="0">
            <x v="3"/>
          </reference>
        </references>
      </pivotArea>
    </chartFormat>
    <chartFormat chart="13" format="6" series="1">
      <pivotArea type="data" outline="0" fieldPosition="0">
        <references count="2">
          <reference field="4294967294" count="1" selected="0">
            <x v="0"/>
          </reference>
          <reference field="21" count="1" selected="0">
            <x v="1"/>
          </reference>
        </references>
      </pivotArea>
    </chartFormat>
    <chartFormat chart="13" format="7" series="1">
      <pivotArea type="data" outline="0" fieldPosition="0">
        <references count="2">
          <reference field="4294967294" count="1" selected="0">
            <x v="0"/>
          </reference>
          <reference field="21" count="1" selected="0">
            <x v="2"/>
          </reference>
        </references>
      </pivotArea>
    </chartFormat>
    <chartFormat chart="13" format="8" series="1">
      <pivotArea type="data" outline="0" fieldPosition="0">
        <references count="2">
          <reference field="4294967294" count="1" selected="0">
            <x v="0"/>
          </reference>
          <reference field="21" count="1" selected="0">
            <x v="3"/>
          </reference>
        </references>
      </pivotArea>
    </chartFormat>
    <chartFormat chart="13" format="9" series="1">
      <pivotArea type="data" outline="0" fieldPosition="0">
        <references count="2">
          <reference field="4294967294" count="1" selected="0">
            <x v="0"/>
          </reference>
          <reference field="21" count="1" selected="0">
            <x v="4"/>
          </reference>
        </references>
      </pivotArea>
    </chartFormat>
    <chartFormat chart="11" format="3" series="1">
      <pivotArea type="data" outline="0" fieldPosition="0">
        <references count="2">
          <reference field="4294967294" count="1" selected="0">
            <x v="0"/>
          </reference>
          <reference field="21" count="1" selected="0">
            <x v="4"/>
          </reference>
        </references>
      </pivotArea>
    </chartFormat>
    <chartFormat chart="20" format="10" series="1">
      <pivotArea type="data" outline="0" fieldPosition="0">
        <references count="2">
          <reference field="4294967294" count="1" selected="0">
            <x v="0"/>
          </reference>
          <reference field="21" count="1" selected="0">
            <x v="1"/>
          </reference>
        </references>
      </pivotArea>
    </chartFormat>
    <chartFormat chart="20" format="11" series="1">
      <pivotArea type="data" outline="0" fieldPosition="0">
        <references count="2">
          <reference field="4294967294" count="1" selected="0">
            <x v="0"/>
          </reference>
          <reference field="21" count="1" selected="0">
            <x v="2"/>
          </reference>
        </references>
      </pivotArea>
    </chartFormat>
    <chartFormat chart="20" format="12" series="1">
      <pivotArea type="data" outline="0" fieldPosition="0">
        <references count="2">
          <reference field="4294967294" count="1" selected="0">
            <x v="0"/>
          </reference>
          <reference field="21" count="1" selected="0">
            <x v="3"/>
          </reference>
        </references>
      </pivotArea>
    </chartFormat>
    <chartFormat chart="20" format="13" series="1">
      <pivotArea type="data" outline="0" fieldPosition="0">
        <references count="2">
          <reference field="4294967294" count="1" selected="0">
            <x v="0"/>
          </reference>
          <reference field="2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7"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98:D103" firstHeaderRow="1" firstDataRow="3" firstDataCol="1" rowPageCount="2"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showAll="0">
      <items count="12">
        <item x="3"/>
        <item h="1" x="7"/>
        <item x="8"/>
        <item h="1" x="0"/>
        <item h="1" x="2"/>
        <item h="1" x="9"/>
        <item h="1" x="1"/>
        <item h="1" x="5"/>
        <item h="1" x="4"/>
        <item h="1" x="6"/>
        <item h="1" x="10"/>
        <item t="default"/>
      </items>
    </pivotField>
    <pivotField showAll="0"/>
    <pivotField showAll="0"/>
    <pivotField showAll="0"/>
    <pivotField showAll="0"/>
    <pivotField showAll="0"/>
    <pivotField axis="axisRow" showAll="0" sortType="ascending">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numFmtId="169" showAll="0"/>
    <pivotField showAll="0" defaultSubtotal="0"/>
    <pivotField showAll="0"/>
    <pivotField axis="axisCol" showAll="0" defaultSubtotal="0">
      <items count="6">
        <item x="0"/>
        <item x="2"/>
        <item x="1"/>
        <item x="5"/>
        <item x="3"/>
        <item x="4"/>
      </items>
    </pivotField>
    <pivotField showAll="0" defaultSubtotal="0"/>
    <pivotField showAll="0"/>
    <pivotField axis="axisCol" showAll="0">
      <items count="5">
        <item x="3"/>
        <item x="1"/>
        <item x="0"/>
        <item x="2"/>
        <item t="default"/>
      </items>
    </pivotField>
    <pivotField showAll="0"/>
    <pivotField showAll="0" defaultSubtotal="0"/>
    <pivotField showAll="0" defaultSubtotal="0"/>
    <pivotField showAll="0"/>
    <pivotField showAll="0"/>
    <pivotField showAll="0"/>
    <pivotField showAll="0"/>
    <pivotField numFmtId="15" showAll="0"/>
    <pivotField showAll="0"/>
    <pivotField showAll="0" defaultSubtotal="0"/>
    <pivotField numFmtId="9" showAll="0" defaultSubtotal="0"/>
    <pivotField axis="axisPage" showAll="0" defaultSubtotal="0">
      <items count="65">
        <item n="Zone 1"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2">
    <field x="5"/>
    <field x="11"/>
  </rowFields>
  <rowItems count="3">
    <i>
      <x/>
    </i>
    <i r="1">
      <x v="50"/>
    </i>
    <i t="grand">
      <x/>
    </i>
  </rowItems>
  <colFields count="2">
    <field x="24"/>
    <field x="21"/>
  </colFields>
  <colItems count="3">
    <i>
      <x v="2"/>
      <x v="1"/>
    </i>
    <i t="default">
      <x v="2"/>
    </i>
    <i t="grand">
      <x/>
    </i>
  </colItems>
  <pageFields count="2">
    <pageField fld="0" hier="-1"/>
    <pageField fld="36" hier="-1"/>
  </pageFields>
  <dataFields count="1">
    <dataField name="Sum of Total" fld="17" baseField="11" baseItem="1" numFmtId="3"/>
  </dataFields>
  <formats count="5">
    <format dxfId="1148">
      <pivotArea field="0" type="button" dataOnly="0" labelOnly="1" outline="0" axis="axisPage" fieldPosition="0"/>
    </format>
    <format dxfId="1147">
      <pivotArea dataOnly="0" labelOnly="1" outline="0" fieldPosition="0">
        <references count="1">
          <reference field="0" count="0"/>
        </references>
      </pivotArea>
    </format>
    <format dxfId="1146">
      <pivotArea field="36" type="button" dataOnly="0" labelOnly="1" outline="0" axis="axisPage" fieldPosition="1"/>
    </format>
    <format dxfId="1145">
      <pivotArea dataOnly="0" labelOnly="1" outline="0" fieldPosition="0">
        <references count="1">
          <reference field="36" count="0"/>
        </references>
      </pivotArea>
    </format>
    <format dxfId="114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3:AE27" firstHeaderRow="1" firstDataRow="3" firstDataCol="1"/>
  <pivotFields count="6">
    <pivotField axis="axisRow" showAll="0">
      <items count="4">
        <item x="0"/>
        <item x="1"/>
        <item x="2"/>
        <item t="default"/>
      </items>
    </pivotField>
    <pivotField axis="axisRow" showAll="0">
      <items count="19">
        <item x="5"/>
        <item x="10"/>
        <item x="11"/>
        <item x="12"/>
        <item x="13"/>
        <item x="17"/>
        <item x="3"/>
        <item x="4"/>
        <item x="6"/>
        <item x="9"/>
        <item x="16"/>
        <item x="0"/>
        <item x="15"/>
        <item x="14"/>
        <item x="1"/>
        <item x="2"/>
        <item x="8"/>
        <item x="7"/>
        <item t="default"/>
      </items>
    </pivotField>
    <pivotField showAll="0" defaultSubtotal="0"/>
    <pivotField axis="axisCol" multipleItemSelectionAllowed="1" showAll="0" nonAutoSortDefault="1">
      <items count="8">
        <item x="0"/>
        <item x="1"/>
        <item x="2"/>
        <item x="3"/>
        <item x="4"/>
        <item x="5"/>
        <item h="1" m="1" x="6"/>
        <item t="default"/>
      </items>
    </pivotField>
    <pivotField axis="axisCol" showAll="0">
      <items count="4">
        <item x="1"/>
        <item x="0"/>
        <item m="1" x="2"/>
        <item t="default"/>
      </items>
    </pivotField>
    <pivotField dataField="1" numFmtId="165" showAll="0"/>
  </pivotFields>
  <rowFields count="2">
    <field x="0"/>
    <field x="1"/>
  </rowFields>
  <rowItems count="22">
    <i>
      <x/>
    </i>
    <i r="1">
      <x/>
    </i>
    <i r="1">
      <x v="4"/>
    </i>
    <i r="1">
      <x v="11"/>
    </i>
    <i r="1">
      <x v="16"/>
    </i>
    <i r="1">
      <x v="17"/>
    </i>
    <i>
      <x v="1"/>
    </i>
    <i r="1">
      <x v="1"/>
    </i>
    <i r="1">
      <x v="2"/>
    </i>
    <i r="1">
      <x v="3"/>
    </i>
    <i r="1">
      <x v="5"/>
    </i>
    <i r="1">
      <x v="6"/>
    </i>
    <i r="1">
      <x v="7"/>
    </i>
    <i r="1">
      <x v="8"/>
    </i>
    <i r="1">
      <x v="9"/>
    </i>
    <i r="1">
      <x v="10"/>
    </i>
    <i r="1">
      <x v="12"/>
    </i>
    <i r="1">
      <x v="14"/>
    </i>
    <i r="1">
      <x v="15"/>
    </i>
    <i>
      <x v="2"/>
    </i>
    <i r="1">
      <x v="13"/>
    </i>
    <i t="grand">
      <x/>
    </i>
  </rowItems>
  <colFields count="2">
    <field x="3"/>
    <field x="4"/>
  </colFields>
  <colItems count="19">
    <i>
      <x/>
      <x/>
    </i>
    <i r="1">
      <x v="1"/>
    </i>
    <i t="default">
      <x/>
    </i>
    <i>
      <x v="1"/>
      <x/>
    </i>
    <i r="1">
      <x v="1"/>
    </i>
    <i t="default">
      <x v="1"/>
    </i>
    <i>
      <x v="2"/>
      <x/>
    </i>
    <i r="1">
      <x v="1"/>
    </i>
    <i t="default">
      <x v="2"/>
    </i>
    <i>
      <x v="3"/>
      <x/>
    </i>
    <i r="1">
      <x v="1"/>
    </i>
    <i t="default">
      <x v="3"/>
    </i>
    <i>
      <x v="4"/>
      <x/>
    </i>
    <i r="1">
      <x v="1"/>
    </i>
    <i t="default">
      <x v="4"/>
    </i>
    <i>
      <x v="5"/>
      <x/>
    </i>
    <i r="1">
      <x v="1"/>
    </i>
    <i t="default">
      <x v="5"/>
    </i>
    <i t="grand">
      <x/>
    </i>
  </colItems>
  <dataFields count="1">
    <dataField name="Sum of Total" fld="5" baseField="0" baseItem="0" numFmtId="1"/>
  </dataFields>
  <formats count="55">
    <format dxfId="1079">
      <pivotArea outline="0" collapsedLevelsAreSubtotals="1" fieldPosition="0"/>
    </format>
    <format dxfId="1078">
      <pivotArea dataOnly="0" labelOnly="1" fieldPosition="0">
        <references count="1">
          <reference field="3" count="1" defaultSubtotal="1">
            <x v="2"/>
          </reference>
        </references>
      </pivotArea>
    </format>
    <format dxfId="1077">
      <pivotArea dataOnly="0" labelOnly="1" grandCol="1" outline="0" fieldPosition="0"/>
    </format>
    <format dxfId="1076">
      <pivotArea dataOnly="0" labelOnly="1" fieldPosition="0">
        <references count="2">
          <reference field="3" count="1" selected="0">
            <x v="2"/>
          </reference>
          <reference field="4" count="0"/>
        </references>
      </pivotArea>
    </format>
    <format dxfId="1075">
      <pivotArea type="origin" dataOnly="0" labelOnly="1" outline="0" offset="A1" fieldPosition="0"/>
    </format>
    <format dxfId="1074">
      <pivotArea field="3" type="button" dataOnly="0" labelOnly="1" outline="0" axis="axisCol" fieldPosition="0"/>
    </format>
    <format dxfId="1073">
      <pivotArea field="4" type="button" dataOnly="0" labelOnly="1" outline="0" axis="axisCol" fieldPosition="1"/>
    </format>
    <format dxfId="1072">
      <pivotArea type="topRight" dataOnly="0" labelOnly="1" outline="0" fieldPosition="0"/>
    </format>
    <format dxfId="1071">
      <pivotArea field="0" type="button" dataOnly="0" labelOnly="1" outline="0" axis="axisRow" fieldPosition="0"/>
    </format>
    <format dxfId="1070">
      <pivotArea dataOnly="0" labelOnly="1" fieldPosition="0">
        <references count="1">
          <reference field="0" count="0"/>
        </references>
      </pivotArea>
    </format>
    <format dxfId="1069">
      <pivotArea dataOnly="0" labelOnly="1" fieldPosition="0">
        <references count="2">
          <reference field="0" count="1" selected="0">
            <x v="0"/>
          </reference>
          <reference field="1" count="0"/>
        </references>
      </pivotArea>
    </format>
    <format dxfId="1068">
      <pivotArea collapsedLevelsAreSubtotals="1" fieldPosition="0">
        <references count="1">
          <reference field="0" count="1">
            <x v="0"/>
          </reference>
        </references>
      </pivotArea>
    </format>
    <format dxfId="1067">
      <pivotArea collapsedLevelsAreSubtotals="1" fieldPosition="0">
        <references count="2">
          <reference field="0" count="1" selected="0">
            <x v="0"/>
          </reference>
          <reference field="1" count="2">
            <x v="0"/>
            <x v="4"/>
          </reference>
        </references>
      </pivotArea>
    </format>
    <format dxfId="1066">
      <pivotArea collapsedLevelsAreSubtotals="1" fieldPosition="0">
        <references count="1">
          <reference field="0" count="1">
            <x v="1"/>
          </reference>
        </references>
      </pivotArea>
    </format>
    <format dxfId="1065">
      <pivotArea collapsedLevelsAreSubtotals="1" fieldPosition="0">
        <references count="2">
          <reference field="0" count="1" selected="0">
            <x v="1"/>
          </reference>
          <reference field="1" count="9">
            <x v="1"/>
            <x v="2"/>
            <x v="3"/>
            <x v="5"/>
            <x v="6"/>
            <x v="7"/>
            <x v="8"/>
            <x v="9"/>
            <x v="10"/>
          </reference>
        </references>
      </pivotArea>
    </format>
    <format dxfId="1064">
      <pivotArea dataOnly="0" labelOnly="1" fieldPosition="0">
        <references count="1">
          <reference field="0" count="0"/>
        </references>
      </pivotArea>
    </format>
    <format dxfId="1063">
      <pivotArea dataOnly="0" labelOnly="1" fieldPosition="0">
        <references count="2">
          <reference field="0" count="1" selected="0">
            <x v="0"/>
          </reference>
          <reference field="1" count="0"/>
        </references>
      </pivotArea>
    </format>
    <format dxfId="1062">
      <pivotArea grandRow="1" outline="0" collapsedLevelsAreSubtotals="1" fieldPosition="0"/>
    </format>
    <format dxfId="1061">
      <pivotArea dataOnly="0" labelOnly="1" grandRow="1" outline="0" fieldPosition="0"/>
    </format>
    <format dxfId="1060">
      <pivotArea dataOnly="0" labelOnly="1" fieldPosition="0">
        <references count="1">
          <reference field="0" count="1">
            <x v="2"/>
          </reference>
        </references>
      </pivotArea>
    </format>
    <format dxfId="1059">
      <pivotArea dataOnly="0" labelOnly="1" fieldPosition="0">
        <references count="2">
          <reference field="0" count="1" selected="0">
            <x v="1"/>
          </reference>
          <reference field="1" count="8">
            <x v="2"/>
            <x v="3"/>
            <x v="5"/>
            <x v="7"/>
            <x v="8"/>
            <x v="9"/>
            <x v="10"/>
            <x v="12"/>
          </reference>
        </references>
      </pivotArea>
    </format>
    <format dxfId="1058">
      <pivotArea collapsedLevelsAreSubtotals="1" fieldPosition="0">
        <references count="1">
          <reference field="0" count="1">
            <x v="0"/>
          </reference>
        </references>
      </pivotArea>
    </format>
    <format dxfId="1057">
      <pivotArea collapsedLevelsAreSubtotals="1" fieldPosition="0">
        <references count="2">
          <reference field="0" count="1" selected="0">
            <x v="0"/>
          </reference>
          <reference field="1" count="3">
            <x v="0"/>
            <x v="4"/>
            <x v="11"/>
          </reference>
        </references>
      </pivotArea>
    </format>
    <format dxfId="1056">
      <pivotArea collapsedLevelsAreSubtotals="1" fieldPosition="0">
        <references count="1">
          <reference field="0" count="1">
            <x v="1"/>
          </reference>
        </references>
      </pivotArea>
    </format>
    <format dxfId="1055">
      <pivotArea collapsedLevelsAreSubtotals="1" fieldPosition="0">
        <references count="2">
          <reference field="0" count="1" selected="0">
            <x v="1"/>
          </reference>
          <reference field="1" count="8">
            <x v="2"/>
            <x v="3"/>
            <x v="5"/>
            <x v="7"/>
            <x v="8"/>
            <x v="9"/>
            <x v="10"/>
            <x v="12"/>
          </reference>
        </references>
      </pivotArea>
    </format>
    <format dxfId="1054">
      <pivotArea collapsedLevelsAreSubtotals="1" fieldPosition="0">
        <references count="2">
          <reference field="0" count="1" selected="0">
            <x v="2"/>
          </reference>
          <reference field="1" count="1">
            <x v="13"/>
          </reference>
        </references>
      </pivotArea>
    </format>
    <format dxfId="1053">
      <pivotArea collapsedLevelsAreSubtotals="1" fieldPosition="0">
        <references count="2">
          <reference field="0" count="1" selected="0">
            <x v="0"/>
          </reference>
          <reference field="1" count="1">
            <x v="11"/>
          </reference>
        </references>
      </pivotArea>
    </format>
    <format dxfId="1052">
      <pivotArea collapsedLevelsAreSubtotals="1" fieldPosition="0">
        <references count="2">
          <reference field="0" count="1" selected="0">
            <x v="0"/>
          </reference>
          <reference field="1" count="1">
            <x v="11"/>
          </reference>
        </references>
      </pivotArea>
    </format>
    <format dxfId="1051">
      <pivotArea dataOnly="0" labelOnly="1" fieldPosition="0">
        <references count="2">
          <reference field="0" count="1" selected="0">
            <x v="2"/>
          </reference>
          <reference field="1" count="1">
            <x v="13"/>
          </reference>
        </references>
      </pivotArea>
    </format>
    <format dxfId="1050">
      <pivotArea collapsedLevelsAreSubtotals="1" fieldPosition="0">
        <references count="2">
          <reference field="0" count="1" selected="0">
            <x v="1"/>
          </reference>
          <reference field="1" count="1">
            <x v="12"/>
          </reference>
        </references>
      </pivotArea>
    </format>
    <format dxfId="1049">
      <pivotArea collapsedLevelsAreSubtotals="1" fieldPosition="0">
        <references count="2">
          <reference field="0" count="1" selected="0">
            <x v="2"/>
          </reference>
          <reference field="1" count="1">
            <x v="13"/>
          </reference>
        </references>
      </pivotArea>
    </format>
    <format dxfId="1048">
      <pivotArea collapsedLevelsAreSubtotals="1" fieldPosition="0">
        <references count="2">
          <reference field="0" count="1" selected="0">
            <x v="1"/>
          </reference>
          <reference field="1" count="1">
            <x v="12"/>
          </reference>
        </references>
      </pivotArea>
    </format>
    <format dxfId="1047">
      <pivotArea collapsedLevelsAreSubtotals="1" fieldPosition="0">
        <references count="1">
          <reference field="0" count="1">
            <x v="2"/>
          </reference>
        </references>
      </pivotArea>
    </format>
    <format dxfId="1046">
      <pivotArea type="all" dataOnly="0" outline="0" fieldPosition="0"/>
    </format>
    <format dxfId="1045">
      <pivotArea dataOnly="0" labelOnly="1" fieldPosition="0">
        <references count="2">
          <reference field="0" count="1" selected="0">
            <x v="1"/>
          </reference>
          <reference field="1" count="4">
            <x v="10"/>
            <x v="12"/>
            <x v="14"/>
            <x v="15"/>
          </reference>
        </references>
      </pivotArea>
    </format>
    <format dxfId="1044">
      <pivotArea collapsedLevelsAreSubtotals="1" fieldPosition="0">
        <references count="2">
          <reference field="0" count="1" selected="0">
            <x v="1"/>
          </reference>
          <reference field="1" count="2">
            <x v="14"/>
            <x v="15"/>
          </reference>
        </references>
      </pivotArea>
    </format>
    <format dxfId="1043">
      <pivotArea collapsedLevelsAreSubtotals="1" fieldPosition="0">
        <references count="1">
          <reference field="0" count="1">
            <x v="2"/>
          </reference>
        </references>
      </pivotArea>
    </format>
    <format dxfId="1042">
      <pivotArea collapsedLevelsAreSubtotals="1" fieldPosition="0">
        <references count="2">
          <reference field="0" count="1" selected="0">
            <x v="1"/>
          </reference>
          <reference field="1" count="1">
            <x v="14"/>
          </reference>
        </references>
      </pivotArea>
    </format>
    <format dxfId="1041">
      <pivotArea collapsedLevelsAreSubtotals="1" fieldPosition="0">
        <references count="1">
          <reference field="0" count="1">
            <x v="2"/>
          </reference>
        </references>
      </pivotArea>
    </format>
    <format dxfId="1040">
      <pivotArea dataOnly="0" labelOnly="1" fieldPosition="0">
        <references count="2">
          <reference field="0" count="1" selected="0">
            <x v="1"/>
          </reference>
          <reference field="1" count="1">
            <x v="5"/>
          </reference>
        </references>
      </pivotArea>
    </format>
    <format dxfId="1039">
      <pivotArea dataOnly="0" labelOnly="1" fieldPosition="0">
        <references count="2">
          <reference field="0" count="1" selected="0">
            <x v="1"/>
          </reference>
          <reference field="1" count="1">
            <x v="6"/>
          </reference>
        </references>
      </pivotArea>
    </format>
    <format dxfId="1038">
      <pivotArea grandRow="1" outline="0" collapsedLevelsAreSubtotals="1" fieldPosition="0"/>
    </format>
    <format dxfId="1037">
      <pivotArea outline="0" collapsedLevelsAreSubtotals="1" fieldPosition="0"/>
    </format>
    <format dxfId="1036">
      <pivotArea dataOnly="0" labelOnly="1" fieldPosition="0">
        <references count="1">
          <reference field="0" count="0"/>
        </references>
      </pivotArea>
    </format>
    <format dxfId="1035">
      <pivotArea dataOnly="0" labelOnly="1" grandRow="1" outline="0" fieldPosition="0"/>
    </format>
    <format dxfId="1034">
      <pivotArea dataOnly="0" labelOnly="1" fieldPosition="0">
        <references count="2">
          <reference field="0" count="1" selected="0">
            <x v="0"/>
          </reference>
          <reference field="1" count="0"/>
        </references>
      </pivotArea>
    </format>
    <format dxfId="1033">
      <pivotArea dataOnly="0" labelOnly="1" fieldPosition="0">
        <references count="1">
          <reference field="3" count="0"/>
        </references>
      </pivotArea>
    </format>
    <format dxfId="1032">
      <pivotArea dataOnly="0" labelOnly="1" fieldPosition="0">
        <references count="1">
          <reference field="3" count="0" defaultSubtotal="1"/>
        </references>
      </pivotArea>
    </format>
    <format dxfId="1031">
      <pivotArea dataOnly="0" labelOnly="1" grandCol="1" outline="0" fieldPosition="0"/>
    </format>
    <format dxfId="1030">
      <pivotArea dataOnly="0" labelOnly="1" fieldPosition="0">
        <references count="2">
          <reference field="3" count="1" selected="0">
            <x v="1"/>
          </reference>
          <reference field="4" count="0"/>
        </references>
      </pivotArea>
    </format>
    <format dxfId="1029">
      <pivotArea dataOnly="0" labelOnly="1" fieldPosition="0">
        <references count="2">
          <reference field="3" count="1" selected="0">
            <x v="2"/>
          </reference>
          <reference field="4" count="0"/>
        </references>
      </pivotArea>
    </format>
    <format dxfId="1028">
      <pivotArea dataOnly="0" labelOnly="1" fieldPosition="0">
        <references count="2">
          <reference field="3" count="1" selected="0">
            <x v="3"/>
          </reference>
          <reference field="4" count="0"/>
        </references>
      </pivotArea>
    </format>
    <format dxfId="1027">
      <pivotArea dataOnly="0" labelOnly="1" fieldPosition="0">
        <references count="2">
          <reference field="3" count="1" selected="0">
            <x v="4"/>
          </reference>
          <reference field="4" count="0"/>
        </references>
      </pivotArea>
    </format>
    <format dxfId="1026">
      <pivotArea dataOnly="0" labelOnly="1" fieldPosition="0">
        <references count="2">
          <reference field="3" count="1" selected="0">
            <x v="5"/>
          </reference>
          <reference field="4" count="0"/>
        </references>
      </pivotArea>
    </format>
    <format dxfId="102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chartFormat="31">
  <location ref="L33:N41" firstHeaderRow="1" firstDataRow="2" firstDataCol="1" rowPageCount="2" colPageCount="1"/>
  <pivotFields count="10">
    <pivotField showAll="0" defaultSubtotal="0"/>
    <pivotField axis="axisPage" showAll="0">
      <items count="4">
        <item x="0"/>
        <item x="1"/>
        <item x="2"/>
        <item t="default"/>
      </items>
    </pivotField>
    <pivotField axis="axisPage" multipleItemSelectionAllowed="1" showAll="0">
      <items count="26">
        <item x="5"/>
        <item x="10"/>
        <item x="11"/>
        <item x="12"/>
        <item x="13"/>
        <item x="17"/>
        <item x="3"/>
        <item x="4"/>
        <item x="6"/>
        <item x="9"/>
        <item m="1" x="20"/>
        <item m="1" x="23"/>
        <item x="16"/>
        <item x="0"/>
        <item m="1" x="22"/>
        <item m="1" x="21"/>
        <item x="15"/>
        <item m="1" x="24"/>
        <item m="1" x="19"/>
        <item m="1" x="18"/>
        <item x="14"/>
        <item x="1"/>
        <item x="2"/>
        <item x="8"/>
        <item x="7"/>
        <item t="default"/>
      </items>
    </pivotField>
    <pivotField showAll="0" defaultSubtotal="0"/>
    <pivotField axis="axisRow" showAll="0">
      <items count="20">
        <item m="1" x="9"/>
        <item m="1" x="14"/>
        <item m="1" x="10"/>
        <item m="1" x="16"/>
        <item m="1" x="11"/>
        <item m="1" x="12"/>
        <item m="1" x="17"/>
        <item m="1" x="15"/>
        <item m="1" x="7"/>
        <item x="5"/>
        <item m="1" x="18"/>
        <item m="1" x="13"/>
        <item m="1" x="8"/>
        <item m="1" x="6"/>
        <item x="4"/>
        <item x="3"/>
        <item x="2"/>
        <item x="1"/>
        <item x="0"/>
        <item t="default"/>
      </items>
    </pivotField>
    <pivotField axis="axisCol" showAll="0">
      <items count="5">
        <item x="1"/>
        <item x="0"/>
        <item m="1" x="3"/>
        <item m="1" x="2"/>
        <item t="default"/>
      </items>
    </pivotField>
    <pivotField numFmtId="165" showAll="0"/>
    <pivotField dataField="1" showAll="0" defaultSubtotal="0"/>
    <pivotField showAll="0" defaultSubtotal="0"/>
    <pivotField showAll="0" defaultSubtotal="0"/>
  </pivotFields>
  <rowFields count="1">
    <field x="4"/>
  </rowFields>
  <rowItems count="7">
    <i>
      <x v="9"/>
    </i>
    <i>
      <x v="14"/>
    </i>
    <i>
      <x v="15"/>
    </i>
    <i>
      <x v="16"/>
    </i>
    <i>
      <x v="17"/>
    </i>
    <i>
      <x v="18"/>
    </i>
    <i t="grand">
      <x/>
    </i>
  </rowItems>
  <colFields count="1">
    <field x="5"/>
  </colFields>
  <colItems count="2">
    <i>
      <x/>
    </i>
    <i>
      <x v="1"/>
    </i>
  </colItems>
  <pageFields count="2">
    <pageField fld="1" hier="-1"/>
    <pageField fld="2" hier="-1"/>
  </pageFields>
  <dataFields count="1">
    <dataField name="Sum of Total2" fld="7" baseField="4" baseItem="9"/>
  </dataFields>
  <formats count="32">
    <format dxfId="1111">
      <pivotArea outline="0" collapsedLevelsAreSubtotals="1" fieldPosition="0"/>
    </format>
    <format dxfId="1110">
      <pivotArea dataOnly="0" labelOnly="1" fieldPosition="0">
        <references count="1">
          <reference field="4" count="1" defaultSubtotal="1">
            <x v="0"/>
          </reference>
        </references>
      </pivotArea>
    </format>
    <format dxfId="1109">
      <pivotArea dataOnly="0" labelOnly="1" fieldPosition="0">
        <references count="1">
          <reference field="4" count="1" defaultSubtotal="1">
            <x v="16"/>
          </reference>
        </references>
      </pivotArea>
    </format>
    <format dxfId="1108">
      <pivotArea dataOnly="0" labelOnly="1" fieldPosition="0">
        <references count="1">
          <reference field="4" count="1" defaultSubtotal="1">
            <x v="4"/>
          </reference>
        </references>
      </pivotArea>
    </format>
    <format dxfId="1107">
      <pivotArea dataOnly="0" labelOnly="1" fieldPosition="0">
        <references count="1">
          <reference field="4" count="1" defaultSubtotal="1">
            <x v="1"/>
          </reference>
        </references>
      </pivotArea>
    </format>
    <format dxfId="1106">
      <pivotArea dataOnly="0" labelOnly="1" fieldPosition="0">
        <references count="1">
          <reference field="4" count="1" defaultSubtotal="1">
            <x v="5"/>
          </reference>
        </references>
      </pivotArea>
    </format>
    <format dxfId="1105">
      <pivotArea dataOnly="0" labelOnly="1" grandCol="1" outline="0" fieldPosition="0"/>
    </format>
    <format dxfId="1104">
      <pivotArea dataOnly="0" labelOnly="1" fieldPosition="0">
        <references count="2">
          <reference field="4" count="1" selected="0">
            <x v="0"/>
          </reference>
          <reference field="5" count="0"/>
        </references>
      </pivotArea>
    </format>
    <format dxfId="1103">
      <pivotArea dataOnly="0" labelOnly="1" fieldPosition="0">
        <references count="2">
          <reference field="4" count="1" selected="0">
            <x v="16"/>
          </reference>
          <reference field="5" count="0"/>
        </references>
      </pivotArea>
    </format>
    <format dxfId="1102">
      <pivotArea dataOnly="0" labelOnly="1" fieldPosition="0">
        <references count="2">
          <reference field="4" count="1" selected="0">
            <x v="4"/>
          </reference>
          <reference field="5" count="0"/>
        </references>
      </pivotArea>
    </format>
    <format dxfId="1101">
      <pivotArea dataOnly="0" labelOnly="1" fieldPosition="0">
        <references count="2">
          <reference field="4" count="1" selected="0">
            <x v="1"/>
          </reference>
          <reference field="5" count="0"/>
        </references>
      </pivotArea>
    </format>
    <format dxfId="1100">
      <pivotArea dataOnly="0" labelOnly="1" fieldPosition="0">
        <references count="2">
          <reference field="4" count="1" selected="0">
            <x v="5"/>
          </reference>
          <reference field="5" count="0"/>
        </references>
      </pivotArea>
    </format>
    <format dxfId="1099">
      <pivotArea field="1" type="button" dataOnly="0" labelOnly="1" outline="0" axis="axisPage" fieldPosition="0"/>
    </format>
    <format dxfId="1098">
      <pivotArea dataOnly="0" labelOnly="1" outline="0" fieldPosition="0">
        <references count="1">
          <reference field="1" count="0"/>
        </references>
      </pivotArea>
    </format>
    <format dxfId="1097">
      <pivotArea field="2" type="button" dataOnly="0" labelOnly="1" outline="0" axis="axisPage" fieldPosition="1"/>
    </format>
    <format dxfId="1096">
      <pivotArea dataOnly="0" labelOnly="1" outline="0" fieldPosition="0">
        <references count="1">
          <reference field="2" count="0"/>
        </references>
      </pivotArea>
    </format>
    <format dxfId="1095">
      <pivotArea type="origin" dataOnly="0" labelOnly="1" outline="0" fieldPosition="0"/>
    </format>
    <format dxfId="1094">
      <pivotArea field="4" type="button" dataOnly="0" labelOnly="1" outline="0" axis="axisRow" fieldPosition="0"/>
    </format>
    <format dxfId="1093">
      <pivotArea field="5" type="button" dataOnly="0" labelOnly="1" outline="0" axis="axisCol" fieldPosition="0"/>
    </format>
    <format dxfId="1092">
      <pivotArea dataOnly="0" labelOnly="1" fieldPosition="0">
        <references count="1">
          <reference field="5" count="1">
            <x v="0"/>
          </reference>
        </references>
      </pivotArea>
    </format>
    <format dxfId="1091">
      <pivotArea type="topRight" dataOnly="0" labelOnly="1" outline="0" offset="A1" fieldPosition="0"/>
    </format>
    <format dxfId="1090">
      <pivotArea dataOnly="0" labelOnly="1" fieldPosition="0">
        <references count="1">
          <reference field="5" count="1">
            <x v="1"/>
          </reference>
        </references>
      </pivotArea>
    </format>
    <format dxfId="1089">
      <pivotArea type="topRight" dataOnly="0" labelOnly="1" outline="0" offset="B1" fieldPosition="0"/>
    </format>
    <format dxfId="1088">
      <pivotArea dataOnly="0" labelOnly="1" grandCol="1" outline="0" fieldPosition="0"/>
    </format>
    <format dxfId="1087">
      <pivotArea collapsedLevelsAreSubtotals="1" fieldPosition="0">
        <references count="1">
          <reference field="4" count="0"/>
        </references>
      </pivotArea>
    </format>
    <format dxfId="1086">
      <pivotArea dataOnly="0" labelOnly="1" fieldPosition="0">
        <references count="1">
          <reference field="4" count="0"/>
        </references>
      </pivotArea>
    </format>
    <format dxfId="1085">
      <pivotArea grandRow="1" outline="0" collapsedLevelsAreSubtotals="1" fieldPosition="0"/>
    </format>
    <format dxfId="1084">
      <pivotArea dataOnly="0" labelOnly="1" grandRow="1" outline="0" fieldPosition="0"/>
    </format>
    <format dxfId="1083">
      <pivotArea field="1" type="button" dataOnly="0" labelOnly="1" outline="0" axis="axisPage" fieldPosition="0"/>
    </format>
    <format dxfId="1082">
      <pivotArea dataOnly="0" labelOnly="1" outline="0" fieldPosition="0">
        <references count="1">
          <reference field="1" count="0"/>
        </references>
      </pivotArea>
    </format>
    <format dxfId="1081">
      <pivotArea dataOnly="0" labelOnly="1" fieldPosition="0">
        <references count="1">
          <reference field="5" count="1">
            <x v="2"/>
          </reference>
        </references>
      </pivotArea>
    </format>
    <format dxfId="1080">
      <pivotArea outline="0" collapsedLevelsAreSubtotals="1" fieldPosition="0"/>
    </format>
  </formats>
  <chartFormats count="17">
    <chartFormat chart="0" format="35" series="1">
      <pivotArea type="data" outline="0" fieldPosition="0">
        <references count="1">
          <reference field="5" count="1" selected="0">
            <x v="0"/>
          </reference>
        </references>
      </pivotArea>
    </chartFormat>
    <chartFormat chart="0" format="36" series="1">
      <pivotArea type="data" outline="0" fieldPosition="0">
        <references count="1">
          <reference field="5" count="1" selected="0">
            <x v="1"/>
          </reference>
        </references>
      </pivotArea>
    </chartFormat>
    <chartFormat chart="0" format="37" series="1">
      <pivotArea type="data" outline="0" fieldPosition="0">
        <references count="2">
          <reference field="4294967294" count="1" selected="0">
            <x v="0"/>
          </reference>
          <reference field="5" count="1" selected="0">
            <x v="1"/>
          </reference>
        </references>
      </pivotArea>
    </chartFormat>
    <chartFormat chart="0" format="38" series="1">
      <pivotArea type="data" outline="0" fieldPosition="0">
        <references count="2">
          <reference field="4294967294" count="1" selected="0">
            <x v="0"/>
          </reference>
          <reference field="5" count="1" selected="0">
            <x v="0"/>
          </reference>
        </references>
      </pivotArea>
    </chartFormat>
    <chartFormat chart="0" format="38" series="1">
      <pivotArea type="data" outline="0" fieldPosition="0">
        <references count="2">
          <reference field="4294967294" count="1" selected="0">
            <x v="0"/>
          </reference>
          <reference field="5" count="1" selected="0">
            <x v="0"/>
          </reference>
        </references>
      </pivotArea>
    </chartFormat>
    <chartFormat chart="0" format="39">
      <pivotArea type="data" outline="0" fieldPosition="0">
        <references count="3">
          <reference field="4294967294" count="1" selected="0">
            <x v="0"/>
          </reference>
          <reference field="4" count="1" selected="0">
            <x v="18"/>
          </reference>
          <reference field="5" count="1" selected="0">
            <x v="0"/>
          </reference>
        </references>
      </pivotArea>
    </chartFormat>
    <chartFormat chart="0" format="40">
      <pivotArea type="data" outline="0" fieldPosition="0">
        <references count="3">
          <reference field="4294967294" count="1" selected="0">
            <x v="0"/>
          </reference>
          <reference field="4" count="1" selected="0">
            <x v="17"/>
          </reference>
          <reference field="5" count="1" selected="0">
            <x v="0"/>
          </reference>
        </references>
      </pivotArea>
    </chartFormat>
    <chartFormat chart="0" format="41">
      <pivotArea type="data" outline="0" fieldPosition="0">
        <references count="3">
          <reference field="4294967294" count="1" selected="0">
            <x v="0"/>
          </reference>
          <reference field="4" count="1" selected="0">
            <x v="16"/>
          </reference>
          <reference field="5" count="1" selected="0">
            <x v="0"/>
          </reference>
        </references>
      </pivotArea>
    </chartFormat>
    <chartFormat chart="0" format="42">
      <pivotArea type="data" outline="0" fieldPosition="0">
        <references count="3">
          <reference field="4294967294" count="1" selected="0">
            <x v="0"/>
          </reference>
          <reference field="4" count="1" selected="0">
            <x v="15"/>
          </reference>
          <reference field="5" count="1" selected="0">
            <x v="0"/>
          </reference>
        </references>
      </pivotArea>
    </chartFormat>
    <chartFormat chart="0" format="43">
      <pivotArea type="data" outline="0" fieldPosition="0">
        <references count="3">
          <reference field="4294967294" count="1" selected="0">
            <x v="0"/>
          </reference>
          <reference field="4" count="1" selected="0">
            <x v="14"/>
          </reference>
          <reference field="5" count="1" selected="0">
            <x v="0"/>
          </reference>
        </references>
      </pivotArea>
    </chartFormat>
    <chartFormat chart="0" format="44">
      <pivotArea type="data" outline="0" fieldPosition="0">
        <references count="3">
          <reference field="4294967294" count="1" selected="0">
            <x v="0"/>
          </reference>
          <reference field="4" count="1" selected="0">
            <x v="9"/>
          </reference>
          <reference field="5" count="1" selected="0">
            <x v="0"/>
          </reference>
        </references>
      </pivotArea>
    </chartFormat>
    <chartFormat chart="0" format="45">
      <pivotArea type="data" outline="0" fieldPosition="0">
        <references count="3">
          <reference field="4294967294" count="1" selected="0">
            <x v="0"/>
          </reference>
          <reference field="4" count="1" selected="0">
            <x v="18"/>
          </reference>
          <reference field="5" count="1" selected="0">
            <x v="1"/>
          </reference>
        </references>
      </pivotArea>
    </chartFormat>
    <chartFormat chart="0" format="46">
      <pivotArea type="data" outline="0" fieldPosition="0">
        <references count="3">
          <reference field="4294967294" count="1" selected="0">
            <x v="0"/>
          </reference>
          <reference field="4" count="1" selected="0">
            <x v="17"/>
          </reference>
          <reference field="5" count="1" selected="0">
            <x v="1"/>
          </reference>
        </references>
      </pivotArea>
    </chartFormat>
    <chartFormat chart="0" format="47">
      <pivotArea type="data" outline="0" fieldPosition="0">
        <references count="3">
          <reference field="4294967294" count="1" selected="0">
            <x v="0"/>
          </reference>
          <reference field="4" count="1" selected="0">
            <x v="16"/>
          </reference>
          <reference field="5" count="1" selected="0">
            <x v="1"/>
          </reference>
        </references>
      </pivotArea>
    </chartFormat>
    <chartFormat chart="0" format="48">
      <pivotArea type="data" outline="0" fieldPosition="0">
        <references count="3">
          <reference field="4294967294" count="1" selected="0">
            <x v="0"/>
          </reference>
          <reference field="4" count="1" selected="0">
            <x v="15"/>
          </reference>
          <reference field="5" count="1" selected="0">
            <x v="1"/>
          </reference>
        </references>
      </pivotArea>
    </chartFormat>
    <chartFormat chart="0" format="49">
      <pivotArea type="data" outline="0" fieldPosition="0">
        <references count="3">
          <reference field="4294967294" count="1" selected="0">
            <x v="0"/>
          </reference>
          <reference field="4" count="1" selected="0">
            <x v="14"/>
          </reference>
          <reference field="5" count="1" selected="0">
            <x v="1"/>
          </reference>
        </references>
      </pivotArea>
    </chartFormat>
    <chartFormat chart="0" format="50">
      <pivotArea type="data" outline="0" fieldPosition="0">
        <references count="3">
          <reference field="4294967294" count="1" selected="0">
            <x v="0"/>
          </reference>
          <reference field="4" count="1" selected="0">
            <x v="9"/>
          </reference>
          <reference field="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4">
  <location ref="M39:Q50" firstHeaderRow="1" firstDataRow="2" firstDataCol="1"/>
  <pivotFields count="10">
    <pivotField showAll="0" defaultSubtotal="0"/>
    <pivotField axis="axisCol" showAll="0" sortType="descending" defaultSubtotal="0">
      <items count="3">
        <item x="1"/>
        <item x="0"/>
        <item x="2"/>
      </items>
    </pivotField>
    <pivotField showAll="0" defaultSubtotal="0"/>
    <pivotField showAll="0" defaultSubtotal="0"/>
    <pivotField axis="axisRow" showAll="0">
      <items count="23">
        <item m="1" x="9"/>
        <item m="1" x="19"/>
        <item m="1" x="20"/>
        <item m="1" x="12"/>
        <item m="1" x="10"/>
        <item m="1" x="14"/>
        <item m="1" x="16"/>
        <item x="7"/>
        <item x="8"/>
        <item m="1" x="17"/>
        <item m="1" x="13"/>
        <item m="1" x="21"/>
        <item m="1" x="11"/>
        <item m="1" x="18"/>
        <item m="1" x="15"/>
        <item x="0"/>
        <item x="1"/>
        <item x="2"/>
        <item x="3"/>
        <item x="4"/>
        <item x="5"/>
        <item x="6"/>
        <item t="default"/>
      </items>
    </pivotField>
    <pivotField showAll="0" defaultSubtotal="0"/>
    <pivotField showAll="0" defaultSubtotal="0"/>
    <pivotField dataField="1" showAll="0" defaultSubtotal="0"/>
    <pivotField showAll="0" defaultSubtotal="0"/>
    <pivotField showAll="0" defaultSubtotal="0"/>
  </pivotFields>
  <rowFields count="1">
    <field x="4"/>
  </rowFields>
  <rowItems count="10">
    <i>
      <x v="7"/>
    </i>
    <i>
      <x v="8"/>
    </i>
    <i>
      <x v="15"/>
    </i>
    <i>
      <x v="16"/>
    </i>
    <i>
      <x v="17"/>
    </i>
    <i>
      <x v="18"/>
    </i>
    <i>
      <x v="19"/>
    </i>
    <i>
      <x v="20"/>
    </i>
    <i>
      <x v="21"/>
    </i>
    <i t="grand">
      <x/>
    </i>
  </rowItems>
  <colFields count="1">
    <field x="1"/>
  </colFields>
  <colItems count="4">
    <i>
      <x/>
    </i>
    <i>
      <x v="1"/>
    </i>
    <i>
      <x v="2"/>
    </i>
    <i t="grand">
      <x/>
    </i>
  </colItems>
  <dataFields count="1">
    <dataField name="Sum of Total" fld="7" baseField="0" baseItem="0" numFmtId="165"/>
  </dataFields>
  <formats count="14">
    <format dxfId="1009">
      <pivotArea field="4" type="button" dataOnly="0" labelOnly="1" outline="0" axis="axisRow" fieldPosition="0"/>
    </format>
    <format dxfId="1008">
      <pivotArea dataOnly="0" labelOnly="1" outline="0" axis="axisValues" fieldPosition="0"/>
    </format>
    <format dxfId="1007">
      <pivotArea dataOnly="0" labelOnly="1" fieldPosition="0">
        <references count="1">
          <reference field="4" count="0"/>
        </references>
      </pivotArea>
    </format>
    <format dxfId="1006">
      <pivotArea collapsedLevelsAreSubtotals="1" fieldPosition="0">
        <references count="1">
          <reference field="4" count="0"/>
        </references>
      </pivotArea>
    </format>
    <format dxfId="1005">
      <pivotArea grandRow="1" outline="0" collapsedLevelsAreSubtotals="1" fieldPosition="0"/>
    </format>
    <format dxfId="1004">
      <pivotArea dataOnly="0" labelOnly="1" grandRow="1" outline="0" fieldPosition="0"/>
    </format>
    <format dxfId="1003">
      <pivotArea outline="0" collapsedLevelsAreSubtotals="1" fieldPosition="0"/>
    </format>
    <format dxfId="1002">
      <pivotArea type="origin" dataOnly="0" labelOnly="1" outline="0" fieldPosition="0"/>
    </format>
    <format dxfId="1001">
      <pivotArea field="1" type="button" dataOnly="0" labelOnly="1" outline="0" axis="axisCol" fieldPosition="0"/>
    </format>
    <format dxfId="1000">
      <pivotArea collapsedLevelsAreSubtotals="1" fieldPosition="0">
        <references count="1">
          <reference field="4" count="0"/>
        </references>
      </pivotArea>
    </format>
    <format dxfId="999">
      <pivotArea field="4" type="button" dataOnly="0" labelOnly="1" outline="0" axis="axisRow" fieldPosition="0"/>
    </format>
    <format dxfId="998">
      <pivotArea dataOnly="0" labelOnly="1" fieldPosition="0">
        <references count="1">
          <reference field="4" count="0"/>
        </references>
      </pivotArea>
    </format>
    <format dxfId="997">
      <pivotArea dataOnly="0" labelOnly="1" fieldPosition="0">
        <references count="1">
          <reference field="1" count="0"/>
        </references>
      </pivotArea>
    </format>
    <format dxfId="996">
      <pivotArea dataOnly="0" labelOnly="1" grandCol="1" outline="0" fieldPosition="0"/>
    </format>
  </formats>
  <chartFormats count="16">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0"/>
          </reference>
        </references>
      </pivotArea>
    </chartFormat>
    <chartFormat chart="0" format="5">
      <pivotArea type="data" outline="0" fieldPosition="0">
        <references count="3">
          <reference field="4294967294" count="1" selected="0">
            <x v="0"/>
          </reference>
          <reference field="1" count="1" selected="0">
            <x v="1"/>
          </reference>
          <reference field="4" count="1" selected="0">
            <x v="14"/>
          </reference>
        </references>
      </pivotArea>
    </chartFormat>
    <chartFormat chart="0" format="6">
      <pivotArea type="data" outline="0" fieldPosition="0">
        <references count="3">
          <reference field="4294967294" count="1" selected="0">
            <x v="0"/>
          </reference>
          <reference field="1" count="1" selected="0">
            <x v="1"/>
          </reference>
          <reference field="4" count="1" selected="0">
            <x v="13"/>
          </reference>
        </references>
      </pivotArea>
    </chartFormat>
    <chartFormat chart="0" format="7">
      <pivotArea type="data" outline="0" fieldPosition="0">
        <references count="3">
          <reference field="4294967294" count="1" selected="0">
            <x v="0"/>
          </reference>
          <reference field="1" count="1" selected="0">
            <x v="1"/>
          </reference>
          <reference field="4" count="1" selected="0">
            <x v="11"/>
          </reference>
        </references>
      </pivotArea>
    </chartFormat>
    <chartFormat chart="0" format="8">
      <pivotArea type="data" outline="0" fieldPosition="0">
        <references count="3">
          <reference field="4294967294" count="1" selected="0">
            <x v="0"/>
          </reference>
          <reference field="1" count="1" selected="0">
            <x v="0"/>
          </reference>
          <reference field="4" count="1" selected="0">
            <x v="21"/>
          </reference>
        </references>
      </pivotArea>
    </chartFormat>
    <chartFormat chart="0" format="9">
      <pivotArea type="data" outline="0" fieldPosition="0">
        <references count="3">
          <reference field="4294967294" count="1" selected="0">
            <x v="0"/>
          </reference>
          <reference field="1" count="1" selected="0">
            <x v="0"/>
          </reference>
          <reference field="4" count="1" selected="0">
            <x v="20"/>
          </reference>
        </references>
      </pivotArea>
    </chartFormat>
    <chartFormat chart="0" format="10">
      <pivotArea type="data" outline="0" fieldPosition="0">
        <references count="3">
          <reference field="4294967294" count="1" selected="0">
            <x v="0"/>
          </reference>
          <reference field="1" count="1" selected="0">
            <x v="0"/>
          </reference>
          <reference field="4" count="1" selected="0">
            <x v="19"/>
          </reference>
        </references>
      </pivotArea>
    </chartFormat>
    <chartFormat chart="0" format="11">
      <pivotArea type="data" outline="0" fieldPosition="0">
        <references count="3">
          <reference field="4294967294" count="1" selected="0">
            <x v="0"/>
          </reference>
          <reference field="1" count="1" selected="0">
            <x v="0"/>
          </reference>
          <reference field="4" count="1" selected="0">
            <x v="18"/>
          </reference>
        </references>
      </pivotArea>
    </chartFormat>
    <chartFormat chart="0" format="12">
      <pivotArea type="data" outline="0" fieldPosition="0">
        <references count="3">
          <reference field="4294967294" count="1" selected="0">
            <x v="0"/>
          </reference>
          <reference field="1" count="1" selected="0">
            <x v="0"/>
          </reference>
          <reference field="4" count="1" selected="0">
            <x v="17"/>
          </reference>
        </references>
      </pivotArea>
    </chartFormat>
    <chartFormat chart="0" format="13">
      <pivotArea type="data" outline="0" fieldPosition="0">
        <references count="3">
          <reference field="4294967294" count="1" selected="0">
            <x v="0"/>
          </reference>
          <reference field="1" count="1" selected="0">
            <x v="0"/>
          </reference>
          <reference field="4" count="1" selected="0">
            <x v="16"/>
          </reference>
        </references>
      </pivotArea>
    </chartFormat>
    <chartFormat chart="0" format="14">
      <pivotArea type="data" outline="0" fieldPosition="0">
        <references count="3">
          <reference field="4294967294" count="1" selected="0">
            <x v="0"/>
          </reference>
          <reference field="1" count="1" selected="0">
            <x v="0"/>
          </reference>
          <reference field="4" count="1" selected="0">
            <x v="15"/>
          </reference>
        </references>
      </pivotArea>
    </chartFormat>
    <chartFormat chart="0" format="15">
      <pivotArea type="data" outline="0" fieldPosition="0">
        <references count="3">
          <reference field="4294967294" count="1" selected="0">
            <x v="0"/>
          </reference>
          <reference field="1" count="1" selected="0">
            <x v="0"/>
          </reference>
          <reference field="4" count="1" selected="0">
            <x v="8"/>
          </reference>
        </references>
      </pivotArea>
    </chartFormat>
    <chartFormat chart="0" format="16">
      <pivotArea type="data" outline="0" fieldPosition="0">
        <references count="3">
          <reference field="4294967294" count="1" selected="0">
            <x v="0"/>
          </reference>
          <reference field="1" count="1" selected="0">
            <x v="0"/>
          </reference>
          <reference field="4"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J32" firstHeaderRow="0" firstDataRow="1" firstDataCol="6"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3"/>
        <item h="1" x="7"/>
        <item h="1" x="8"/>
        <item x="0"/>
        <item h="1" x="2"/>
        <item h="1" x="9"/>
        <item x="1"/>
        <item x="5"/>
        <item h="1" x="4"/>
        <item h="1" x="6"/>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0"/>
        <item x="1"/>
        <item x="2"/>
      </items>
    </pivotField>
    <pivotField axis="axisRow" compact="0" outline="0" showAll="0" defaultSubtotal="0">
      <items count="7">
        <item x="1"/>
        <item x="2"/>
        <item x="5"/>
        <item x="6"/>
        <item x="0"/>
        <item x="3"/>
        <item x="4"/>
      </items>
    </pivotField>
    <pivotField compact="0" outline="0" showAll="0"/>
    <pivotField compact="0" outline="0" showAll="0"/>
    <pivotField compact="0" numFmtId="15" outline="0" showAll="0"/>
    <pivotField compact="0" outline="0" showAll="0"/>
    <pivotField axis="axisRow" compact="0" outline="0" showAll="0" defaultSubtotal="0">
      <items count="7">
        <item x="6"/>
        <item n="Yadu Shreska, Emergency Project Coordinator, campro.mmr@lwfdws.org " x="0"/>
        <item x="3"/>
        <item x="5"/>
        <item x="1"/>
        <item x="4"/>
        <item x="2"/>
      </items>
    </pivotField>
    <pivotField compact="0" numFmtId="9" outline="0" showAll="0" defaultSubtotal="0"/>
    <pivotField compact="0" outline="0"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6">
    <field x="5"/>
    <field x="29"/>
    <field x="28"/>
    <field x="34"/>
    <field x="11"/>
    <field x="12"/>
  </rowFields>
  <rowItems count="24">
    <i>
      <x v="3"/>
      <x v="1"/>
      <x/>
      <x v="6"/>
      <x v="38"/>
      <x v="17"/>
    </i>
    <i r="4">
      <x v="79"/>
      <x v="18"/>
    </i>
    <i r="1">
      <x v="4"/>
      <x/>
      <x v="1"/>
      <x v="3"/>
      <x v="15"/>
    </i>
    <i r="4">
      <x v="105"/>
      <x v="16"/>
    </i>
    <i t="default">
      <x v="3"/>
    </i>
    <i>
      <x v="6"/>
      <x/>
      <x v="1"/>
      <x v="4"/>
      <x v="12"/>
      <x v="92"/>
    </i>
    <i r="4">
      <x v="22"/>
      <x v="86"/>
    </i>
    <i r="4">
      <x v="94"/>
      <x v="82"/>
    </i>
    <i r="1">
      <x v="1"/>
      <x/>
      <x v="6"/>
      <x v="13"/>
      <x v="100"/>
    </i>
    <i r="4">
      <x v="14"/>
      <x v="101"/>
    </i>
    <i r="4">
      <x v="21"/>
      <x v="38"/>
    </i>
    <i r="4">
      <x v="53"/>
      <x v="87"/>
    </i>
    <i r="4">
      <x v="54"/>
      <x v="102"/>
    </i>
    <i r="4">
      <x v="73"/>
      <x v="42"/>
    </i>
    <i r="1">
      <x v="4"/>
      <x/>
      <x v="1"/>
      <x v="9"/>
      <x v="36"/>
    </i>
    <i r="4">
      <x v="33"/>
      <x v="39"/>
    </i>
    <i r="4">
      <x v="55"/>
      <x v="103"/>
    </i>
    <i r="4">
      <x v="87"/>
      <x v="43"/>
    </i>
    <i r="1">
      <x v="6"/>
      <x/>
      <x v="5"/>
      <x v="44"/>
      <x v="83"/>
    </i>
    <i r="4">
      <x v="93"/>
      <x v="45"/>
    </i>
    <i t="default">
      <x v="6"/>
    </i>
    <i>
      <x v="7"/>
      <x v="2"/>
      <x v="1"/>
      <x v="3"/>
      <x v="83"/>
      <x v="13"/>
    </i>
    <i t="default">
      <x v="7"/>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130">
    <format dxfId="980">
      <pivotArea dataOnly="0" outline="0" fieldPosition="0">
        <references count="1">
          <reference field="5" count="0" defaultSubtotal="1"/>
        </references>
      </pivotArea>
    </format>
    <format dxfId="979">
      <pivotArea outline="0" fieldPosition="0">
        <references count="1">
          <reference field="4294967294" count="1">
            <x v="0"/>
          </reference>
        </references>
      </pivotArea>
    </format>
    <format dxfId="978">
      <pivotArea field="11" type="button" dataOnly="0" labelOnly="1" outline="0" axis="axisRow" fieldPosition="4"/>
    </format>
    <format dxfId="977">
      <pivotArea dataOnly="0" labelOnly="1" outline="0" axis="axisValues" fieldPosition="0"/>
    </format>
    <format dxfId="976">
      <pivotArea outline="0" collapsedLevelsAreSubtotals="1" fieldPosition="0">
        <references count="4">
          <reference field="5" count="1" selected="0">
            <x v="3"/>
          </reference>
          <reference field="11" count="4" selected="0">
            <x v="3"/>
            <x v="8"/>
            <x v="38"/>
            <x v="79"/>
          </reference>
          <reference field="28" count="1" selected="0">
            <x v="1"/>
          </reference>
          <reference field="29" count="1" selected="0">
            <x v="0"/>
          </reference>
        </references>
      </pivotArea>
    </format>
    <format dxfId="975">
      <pivotArea dataOnly="0" labelOnly="1" outline="0" fieldPosition="0">
        <references count="2">
          <reference field="5" count="1" selected="0">
            <x v="3"/>
          </reference>
          <reference field="29" count="1">
            <x v="0"/>
          </reference>
        </references>
      </pivotArea>
    </format>
    <format dxfId="974">
      <pivotArea dataOnly="0" labelOnly="1" outline="0" fieldPosition="0">
        <references count="4">
          <reference field="5" count="1" selected="0">
            <x v="3"/>
          </reference>
          <reference field="11" count="2">
            <x v="3"/>
            <x v="8"/>
          </reference>
          <reference field="28" count="1" selected="0">
            <x v="1"/>
          </reference>
          <reference field="29" count="1" selected="0">
            <x v="0"/>
          </reference>
        </references>
      </pivotArea>
    </format>
    <format dxfId="973">
      <pivotArea outline="0" collapsedLevelsAreSubtotals="1" fieldPosition="0">
        <references count="1">
          <reference field="5" count="1" selected="0" defaultSubtotal="1">
            <x v="3"/>
          </reference>
        </references>
      </pivotArea>
    </format>
    <format dxfId="972">
      <pivotArea dataOnly="0" labelOnly="1" outline="0" fieldPosition="0">
        <references count="1">
          <reference field="5" count="1" defaultSubtotal="1">
            <x v="3"/>
          </reference>
        </references>
      </pivotArea>
    </format>
    <format dxfId="971">
      <pivotArea dataOnly="0" labelOnly="1" outline="0" fieldPosition="0">
        <references count="2">
          <reference field="5" count="1" selected="0">
            <x v="6"/>
          </reference>
          <reference field="29" count="1">
            <x v="0"/>
          </reference>
        </references>
      </pivotArea>
    </format>
    <format dxfId="970">
      <pivotArea dataOnly="0" labelOnly="1" outline="0" fieldPosition="0">
        <references count="4">
          <reference field="5" count="1" selected="0">
            <x v="6"/>
          </reference>
          <reference field="11" count="3">
            <x v="72"/>
            <x v="75"/>
            <x v="87"/>
          </reference>
          <reference field="28" count="1" selected="0">
            <x v="1"/>
          </reference>
          <reference field="29" count="1" selected="0">
            <x v="0"/>
          </reference>
        </references>
      </pivotArea>
    </format>
    <format dxfId="969">
      <pivotArea dataOnly="0" labelOnly="1" outline="0" fieldPosition="0">
        <references count="1">
          <reference field="5" count="1" defaultSubtotal="1">
            <x v="6"/>
          </reference>
        </references>
      </pivotArea>
    </format>
    <format dxfId="968">
      <pivotArea grandRow="1" outline="0" collapsedLevelsAreSubtotals="1" fieldPosition="0"/>
    </format>
    <format dxfId="967">
      <pivotArea dataOnly="0" labelOnly="1" grandRow="1" outline="0" fieldPosition="0"/>
    </format>
    <format dxfId="966">
      <pivotArea type="all" dataOnly="0" outline="0" fieldPosition="0"/>
    </format>
    <format dxfId="965">
      <pivotArea dataOnly="0" labelOnly="1" outline="0" fieldPosition="0">
        <references count="1">
          <reference field="11" count="0"/>
        </references>
      </pivotArea>
    </format>
    <format dxfId="964">
      <pivotArea dataOnly="0" labelOnly="1" outline="0" fieldPosition="0">
        <references count="1">
          <reference field="5" count="0"/>
        </references>
      </pivotArea>
    </format>
    <format dxfId="963">
      <pivotArea dataOnly="0" labelOnly="1" outline="0" fieldPosition="0">
        <references count="2">
          <reference field="5" count="1" selected="0">
            <x v="3"/>
          </reference>
          <reference field="29" count="1">
            <x v="0"/>
          </reference>
        </references>
      </pivotArea>
    </format>
    <format dxfId="962">
      <pivotArea dataOnly="0" labelOnly="1" outline="0" fieldPosition="0">
        <references count="2">
          <reference field="5" count="1" selected="0">
            <x v="6"/>
          </reference>
          <reference field="29" count="2">
            <x v="1"/>
            <x v="4"/>
          </reference>
        </references>
      </pivotArea>
    </format>
    <format dxfId="961">
      <pivotArea dataOnly="0" labelOnly="1" outline="0" fieldPosition="0">
        <references count="3">
          <reference field="5" count="1" selected="0">
            <x v="3"/>
          </reference>
          <reference field="28" count="1" selected="0">
            <x v="1"/>
          </reference>
          <reference field="29" count="1">
            <x v="0"/>
          </reference>
        </references>
      </pivotArea>
    </format>
    <format dxfId="960">
      <pivotArea field="11" type="button" dataOnly="0" labelOnly="1" outline="0" axis="axisRow" fieldPosition="4"/>
    </format>
    <format dxfId="959">
      <pivotArea field="12" type="button" dataOnly="0" labelOnly="1" outline="0" axis="axisRow" fieldPosition="5"/>
    </format>
    <format dxfId="958">
      <pivotArea outline="0" collapsedLevelsAreSubtotals="1" fieldPosition="0">
        <references count="1">
          <reference field="4294967294" count="1" selected="0">
            <x v="0"/>
          </reference>
        </references>
      </pivotArea>
    </format>
    <format dxfId="957">
      <pivotArea dataOnly="0" labelOnly="1" outline="0" fieldPosition="0">
        <references count="1">
          <reference field="4294967294" count="1">
            <x v="0"/>
          </reference>
        </references>
      </pivotArea>
    </format>
    <format dxfId="956">
      <pivotArea outline="0" collapsedLevelsAreSubtotals="1" fieldPosition="0">
        <references count="1">
          <reference field="4294967294" count="1" selected="0">
            <x v="0"/>
          </reference>
        </references>
      </pivotArea>
    </format>
    <format dxfId="955">
      <pivotArea dataOnly="0" labelOnly="1" outline="0" fieldPosition="0">
        <references count="1">
          <reference field="4294967294" count="1">
            <x v="0"/>
          </reference>
        </references>
      </pivotArea>
    </format>
    <format dxfId="954">
      <pivotArea outline="0" collapsedLevelsAreSubtotals="1" fieldPosition="0">
        <references count="1">
          <reference field="5" count="1" selected="0" defaultSubtotal="1">
            <x v="3"/>
          </reference>
        </references>
      </pivotArea>
    </format>
    <format dxfId="953">
      <pivotArea dataOnly="0" labelOnly="1" outline="0" fieldPosition="0">
        <references count="1">
          <reference field="34" count="0"/>
        </references>
      </pivotArea>
    </format>
    <format dxfId="952">
      <pivotArea outline="0" collapsedLevelsAreSubtotals="1" fieldPosition="0">
        <references count="1">
          <reference field="4294967294" count="1" selected="0">
            <x v="1"/>
          </reference>
        </references>
      </pivotArea>
    </format>
    <format dxfId="951">
      <pivotArea dataOnly="0" labelOnly="1" outline="0" fieldPosition="0">
        <references count="1">
          <reference field="4294967294" count="1">
            <x v="1"/>
          </reference>
        </references>
      </pivotArea>
    </format>
    <format dxfId="950">
      <pivotArea field="34" type="button" dataOnly="0" labelOnly="1" outline="0" axis="axisRow" fieldPosition="3"/>
    </format>
    <format dxfId="949">
      <pivotArea outline="0" collapsedLevelsAreSubtotals="1" fieldPosition="0">
        <references count="1">
          <reference field="5" count="1" selected="0" defaultSubtotal="1">
            <x v="3"/>
          </reference>
        </references>
      </pivotArea>
    </format>
    <format dxfId="948">
      <pivotArea dataOnly="0" labelOnly="1" grandRow="1" outline="0" fieldPosition="0"/>
    </format>
    <format dxfId="947">
      <pivotArea grandRow="1" outline="0" collapsedLevelsAreSubtotals="1" fieldPosition="0"/>
    </format>
    <format dxfId="946">
      <pivotArea dataOnly="0" labelOnly="1" grandRow="1" outline="0" fieldPosition="0"/>
    </format>
    <format dxfId="945">
      <pivotArea type="all" dataOnly="0" outline="0" fieldPosition="0"/>
    </format>
    <format dxfId="944">
      <pivotArea outline="0" collapsedLevelsAreSubtotals="1" fieldPosition="0">
        <references count="1">
          <reference field="4294967294" count="1" selected="0">
            <x v="2"/>
          </reference>
        </references>
      </pivotArea>
    </format>
    <format dxfId="943">
      <pivotArea type="all" dataOnly="0" outline="0" fieldPosition="0"/>
    </format>
    <format dxfId="942">
      <pivotArea dataOnly="0" labelOnly="1" outline="0" fieldPosition="0">
        <references count="1">
          <reference field="5" count="0"/>
        </references>
      </pivotArea>
    </format>
    <format dxfId="941">
      <pivotArea dataOnly="0" labelOnly="1" outline="0" fieldPosition="0">
        <references count="1">
          <reference field="5" count="0" defaultSubtotal="1"/>
        </references>
      </pivotArea>
    </format>
    <format dxfId="940">
      <pivotArea dataOnly="0" labelOnly="1" outline="0" fieldPosition="0">
        <references count="2">
          <reference field="5" count="1" selected="0">
            <x v="3"/>
          </reference>
          <reference field="29" count="2">
            <x v="1"/>
            <x v="4"/>
          </reference>
        </references>
      </pivotArea>
    </format>
    <format dxfId="939">
      <pivotArea dataOnly="0" labelOnly="1" outline="0" fieldPosition="0">
        <references count="2">
          <reference field="5" count="1" selected="0">
            <x v="6"/>
          </reference>
          <reference field="29" count="4">
            <x v="0"/>
            <x v="1"/>
            <x v="4"/>
            <x v="6"/>
          </reference>
        </references>
      </pivotArea>
    </format>
    <format dxfId="938">
      <pivotArea dataOnly="0" labelOnly="1" outline="0" fieldPosition="0">
        <references count="2">
          <reference field="5" count="1" selected="0">
            <x v="7"/>
          </reference>
          <reference field="29" count="1">
            <x v="2"/>
          </reference>
        </references>
      </pivotArea>
    </format>
    <format dxfId="937">
      <pivotArea dataOnly="0" labelOnly="1" outline="0" fieldPosition="0">
        <references count="3">
          <reference field="5" count="1" selected="0">
            <x v="3"/>
          </reference>
          <reference field="28" count="1">
            <x v="0"/>
          </reference>
          <reference field="29" count="1" selected="0">
            <x v="1"/>
          </reference>
        </references>
      </pivotArea>
    </format>
    <format dxfId="936">
      <pivotArea dataOnly="0" labelOnly="1" outline="0" fieldPosition="0">
        <references count="3">
          <reference field="5" count="1" selected="0">
            <x v="6"/>
          </reference>
          <reference field="28" count="1">
            <x v="1"/>
          </reference>
          <reference field="29" count="1" selected="0">
            <x v="0"/>
          </reference>
        </references>
      </pivotArea>
    </format>
    <format dxfId="935">
      <pivotArea dataOnly="0" labelOnly="1" outline="0" fieldPosition="0">
        <references count="3">
          <reference field="5" count="1" selected="0">
            <x v="6"/>
          </reference>
          <reference field="28" count="1">
            <x v="0"/>
          </reference>
          <reference field="29" count="1" selected="0">
            <x v="1"/>
          </reference>
        </references>
      </pivotArea>
    </format>
    <format dxfId="934">
      <pivotArea dataOnly="0" labelOnly="1" outline="0" fieldPosition="0">
        <references count="3">
          <reference field="5" count="1" selected="0">
            <x v="7"/>
          </reference>
          <reference field="28" count="1">
            <x v="1"/>
          </reference>
          <reference field="29" count="1" selected="0">
            <x v="2"/>
          </reference>
        </references>
      </pivotArea>
    </format>
    <format dxfId="933">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932">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931">
      <pivotArea dataOnly="0" labelOnly="1" outline="0" fieldPosition="0">
        <references count="5">
          <reference field="5" count="1" selected="0">
            <x v="3"/>
          </reference>
          <reference field="11" count="1">
            <x v="3"/>
          </reference>
          <reference field="28" count="1" selected="0">
            <x v="0"/>
          </reference>
          <reference field="29" count="1" selected="0">
            <x v="4"/>
          </reference>
          <reference field="34" count="1" selected="0">
            <x v="1"/>
          </reference>
        </references>
      </pivotArea>
    </format>
    <format dxfId="930">
      <pivotArea dataOnly="0" labelOnly="1" outline="0" fieldPosition="0">
        <references count="5">
          <reference field="5" count="1" selected="0">
            <x v="6"/>
          </reference>
          <reference field="11" count="4">
            <x v="9"/>
            <x v="33"/>
            <x v="55"/>
            <x v="87"/>
          </reference>
          <reference field="28" count="1" selected="0">
            <x v="0"/>
          </reference>
          <reference field="29" count="1" selected="0">
            <x v="4"/>
          </reference>
          <reference field="34" count="1" selected="0">
            <x v="1"/>
          </reference>
        </references>
      </pivotArea>
    </format>
    <format dxfId="929">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928">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927">
      <pivotArea dataOnly="0" labelOnly="1" outline="0" fieldPosition="0">
        <references count="6">
          <reference field="5" count="1" selected="0">
            <x v="6"/>
          </reference>
          <reference field="11" count="1" selected="0">
            <x v="33"/>
          </reference>
          <reference field="12" count="1">
            <x v="39"/>
          </reference>
          <reference field="28" count="1" selected="0">
            <x v="0"/>
          </reference>
          <reference field="29" count="1" selected="0">
            <x v="4"/>
          </reference>
          <reference field="34" count="1" selected="0">
            <x v="1"/>
          </reference>
        </references>
      </pivotArea>
    </format>
    <format dxfId="926">
      <pivotArea dataOnly="0" labelOnly="1" outline="0" fieldPosition="0">
        <references count="6">
          <reference field="5" count="1" selected="0">
            <x v="6"/>
          </reference>
          <reference field="11" count="1" selected="0">
            <x v="55"/>
          </reference>
          <reference field="12" count="1">
            <x v="103"/>
          </reference>
          <reference field="28" count="1" selected="0">
            <x v="0"/>
          </reference>
          <reference field="29" count="1" selected="0">
            <x v="4"/>
          </reference>
          <reference field="34" count="1" selected="0">
            <x v="1"/>
          </reference>
        </references>
      </pivotArea>
    </format>
    <format dxfId="925">
      <pivotArea dataOnly="0" labelOnly="1" outline="0" fieldPosition="0">
        <references count="6">
          <reference field="5" count="1" selected="0">
            <x v="6"/>
          </reference>
          <reference field="11" count="1" selected="0">
            <x v="87"/>
          </reference>
          <reference field="12" count="1">
            <x v="43"/>
          </reference>
          <reference field="28" count="1" selected="0">
            <x v="0"/>
          </reference>
          <reference field="29" count="1" selected="0">
            <x v="4"/>
          </reference>
          <reference field="34" count="1" selected="0">
            <x v="1"/>
          </reference>
        </references>
      </pivotArea>
    </format>
    <format dxfId="924">
      <pivotArea dataOnly="0" labelOnly="1" outline="0" fieldPosition="0">
        <references count="1">
          <reference field="5" count="0"/>
        </references>
      </pivotArea>
    </format>
    <format dxfId="923">
      <pivotArea dataOnly="0" labelOnly="1" outline="0" fieldPosition="0">
        <references count="1">
          <reference field="5" count="2" defaultSubtotal="1">
            <x v="3"/>
            <x v="6"/>
          </reference>
        </references>
      </pivotArea>
    </format>
    <format dxfId="922">
      <pivotArea dataOnly="0" labelOnly="1" outline="0" fieldPosition="0">
        <references count="2">
          <reference field="5" count="1" selected="0">
            <x v="3"/>
          </reference>
          <reference field="29" count="2">
            <x v="1"/>
            <x v="4"/>
          </reference>
        </references>
      </pivotArea>
    </format>
    <format dxfId="921">
      <pivotArea dataOnly="0" labelOnly="1" outline="0" fieldPosition="0">
        <references count="2">
          <reference field="5" count="1" selected="0">
            <x v="6"/>
          </reference>
          <reference field="29" count="4">
            <x v="0"/>
            <x v="1"/>
            <x v="4"/>
            <x v="6"/>
          </reference>
        </references>
      </pivotArea>
    </format>
    <format dxfId="920">
      <pivotArea dataOnly="0" labelOnly="1" outline="0" fieldPosition="0">
        <references count="2">
          <reference field="5" count="1" selected="0">
            <x v="7"/>
          </reference>
          <reference field="29" count="1">
            <x v="2"/>
          </reference>
        </references>
      </pivotArea>
    </format>
    <format dxfId="919">
      <pivotArea dataOnly="0" labelOnly="1" outline="0" fieldPosition="0">
        <references count="3">
          <reference field="5" count="1" selected="0">
            <x v="3"/>
          </reference>
          <reference field="28" count="1">
            <x v="0"/>
          </reference>
          <reference field="29" count="1" selected="0">
            <x v="1"/>
          </reference>
        </references>
      </pivotArea>
    </format>
    <format dxfId="918">
      <pivotArea dataOnly="0" labelOnly="1" outline="0" fieldPosition="0">
        <references count="3">
          <reference field="5" count="1" selected="0">
            <x v="6"/>
          </reference>
          <reference field="28" count="1">
            <x v="1"/>
          </reference>
          <reference field="29" count="1" selected="0">
            <x v="0"/>
          </reference>
        </references>
      </pivotArea>
    </format>
    <format dxfId="917">
      <pivotArea dataOnly="0" labelOnly="1" outline="0" fieldPosition="0">
        <references count="3">
          <reference field="5" count="1" selected="0">
            <x v="6"/>
          </reference>
          <reference field="28" count="1">
            <x v="0"/>
          </reference>
          <reference field="29" count="1" selected="0">
            <x v="1"/>
          </reference>
        </references>
      </pivotArea>
    </format>
    <format dxfId="916">
      <pivotArea dataOnly="0" labelOnly="1" outline="0" fieldPosition="0">
        <references count="3">
          <reference field="5" count="1" selected="0">
            <x v="7"/>
          </reference>
          <reference field="28" count="1">
            <x v="1"/>
          </reference>
          <reference field="29" count="1" selected="0">
            <x v="2"/>
          </reference>
        </references>
      </pivotArea>
    </format>
    <format dxfId="915">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914">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913">
      <pivotArea dataOnly="0" labelOnly="1" outline="0" fieldPosition="0">
        <references count="5">
          <reference field="5" count="1" selected="0">
            <x v="3"/>
          </reference>
          <reference field="11" count="1">
            <x v="3"/>
          </reference>
          <reference field="28" count="1" selected="0">
            <x v="0"/>
          </reference>
          <reference field="29" count="1" selected="0">
            <x v="4"/>
          </reference>
          <reference field="34" count="1" selected="0">
            <x v="1"/>
          </reference>
        </references>
      </pivotArea>
    </format>
    <format dxfId="912">
      <pivotArea dataOnly="0" labelOnly="1" outline="0" fieldPosition="0">
        <references count="5">
          <reference field="5" count="1" selected="0">
            <x v="6"/>
          </reference>
          <reference field="11" count="4">
            <x v="9"/>
            <x v="33"/>
            <x v="55"/>
            <x v="87"/>
          </reference>
          <reference field="28" count="1" selected="0">
            <x v="0"/>
          </reference>
          <reference field="29" count="1" selected="0">
            <x v="4"/>
          </reference>
          <reference field="34" count="1" selected="0">
            <x v="1"/>
          </reference>
        </references>
      </pivotArea>
    </format>
    <format dxfId="911">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910">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909">
      <pivotArea dataOnly="0" labelOnly="1" outline="0" fieldPosition="0">
        <references count="6">
          <reference field="5" count="1" selected="0">
            <x v="6"/>
          </reference>
          <reference field="11" count="1" selected="0">
            <x v="33"/>
          </reference>
          <reference field="12" count="1">
            <x v="39"/>
          </reference>
          <reference field="28" count="1" selected="0">
            <x v="0"/>
          </reference>
          <reference field="29" count="1" selected="0">
            <x v="4"/>
          </reference>
          <reference field="34" count="1" selected="0">
            <x v="1"/>
          </reference>
        </references>
      </pivotArea>
    </format>
    <format dxfId="908">
      <pivotArea dataOnly="0" labelOnly="1" outline="0" fieldPosition="0">
        <references count="6">
          <reference field="5" count="1" selected="0">
            <x v="6"/>
          </reference>
          <reference field="11" count="1" selected="0">
            <x v="55"/>
          </reference>
          <reference field="12" count="1">
            <x v="103"/>
          </reference>
          <reference field="28" count="1" selected="0">
            <x v="0"/>
          </reference>
          <reference field="29" count="1" selected="0">
            <x v="4"/>
          </reference>
          <reference field="34" count="1" selected="0">
            <x v="1"/>
          </reference>
        </references>
      </pivotArea>
    </format>
    <format dxfId="907">
      <pivotArea dataOnly="0" labelOnly="1" outline="0" fieldPosition="0">
        <references count="6">
          <reference field="5" count="1" selected="0">
            <x v="6"/>
          </reference>
          <reference field="11" count="1" selected="0">
            <x v="87"/>
          </reference>
          <reference field="12" count="1">
            <x v="43"/>
          </reference>
          <reference field="28" count="1" selected="0">
            <x v="0"/>
          </reference>
          <reference field="29" count="1" selected="0">
            <x v="4"/>
          </reference>
          <reference field="34" count="1" selected="0">
            <x v="1"/>
          </reference>
        </references>
      </pivotArea>
    </format>
    <format dxfId="906">
      <pivotArea type="all" dataOnly="0" outline="0" fieldPosition="0"/>
    </format>
    <format dxfId="905">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904">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903">
      <pivotArea type="all" dataOnly="0" outline="0" fieldPosition="0"/>
    </format>
    <format dxfId="902">
      <pivotArea outline="0" collapsedLevelsAreSubtotals="1" fieldPosition="0"/>
    </format>
    <format dxfId="901">
      <pivotArea field="5" type="button" dataOnly="0" labelOnly="1" outline="0" axis="axisRow" fieldPosition="0"/>
    </format>
    <format dxfId="900">
      <pivotArea field="29" type="button" dataOnly="0" labelOnly="1" outline="0" axis="axisRow" fieldPosition="1"/>
    </format>
    <format dxfId="899">
      <pivotArea field="28" type="button" dataOnly="0" labelOnly="1" outline="0" axis="axisRow" fieldPosition="2"/>
    </format>
    <format dxfId="898">
      <pivotArea field="34" type="button" dataOnly="0" labelOnly="1" outline="0" axis="axisRow" fieldPosition="3"/>
    </format>
    <format dxfId="897">
      <pivotArea field="11" type="button" dataOnly="0" labelOnly="1" outline="0" axis="axisRow" fieldPosition="4"/>
    </format>
    <format dxfId="896">
      <pivotArea field="12" type="button" dataOnly="0" labelOnly="1" outline="0" axis="axisRow" fieldPosition="5"/>
    </format>
    <format dxfId="895">
      <pivotArea dataOnly="0" labelOnly="1" outline="0" fieldPosition="0">
        <references count="1">
          <reference field="5" count="0"/>
        </references>
      </pivotArea>
    </format>
    <format dxfId="894">
      <pivotArea dataOnly="0" labelOnly="1" outline="0" fieldPosition="0">
        <references count="1">
          <reference field="5" count="0" defaultSubtotal="1"/>
        </references>
      </pivotArea>
    </format>
    <format dxfId="893">
      <pivotArea dataOnly="0" labelOnly="1" grandRow="1" outline="0" fieldPosition="0"/>
    </format>
    <format dxfId="892">
      <pivotArea dataOnly="0" labelOnly="1" outline="0" fieldPosition="0">
        <references count="2">
          <reference field="5" count="1" selected="0">
            <x v="3"/>
          </reference>
          <reference field="29" count="2">
            <x v="1"/>
            <x v="4"/>
          </reference>
        </references>
      </pivotArea>
    </format>
    <format dxfId="891">
      <pivotArea dataOnly="0" labelOnly="1" outline="0" fieldPosition="0">
        <references count="2">
          <reference field="5" count="1" selected="0">
            <x v="6"/>
          </reference>
          <reference field="29" count="4">
            <x v="0"/>
            <x v="1"/>
            <x v="4"/>
            <x v="6"/>
          </reference>
        </references>
      </pivotArea>
    </format>
    <format dxfId="890">
      <pivotArea dataOnly="0" labelOnly="1" outline="0" fieldPosition="0">
        <references count="2">
          <reference field="5" count="1" selected="0">
            <x v="7"/>
          </reference>
          <reference field="29" count="1">
            <x v="2"/>
          </reference>
        </references>
      </pivotArea>
    </format>
    <format dxfId="889">
      <pivotArea dataOnly="0" labelOnly="1" outline="0" fieldPosition="0">
        <references count="3">
          <reference field="5" count="1" selected="0">
            <x v="3"/>
          </reference>
          <reference field="28" count="1">
            <x v="0"/>
          </reference>
          <reference field="29" count="1" selected="0">
            <x v="1"/>
          </reference>
        </references>
      </pivotArea>
    </format>
    <format dxfId="888">
      <pivotArea dataOnly="0" labelOnly="1" outline="0" fieldPosition="0">
        <references count="3">
          <reference field="5" count="1" selected="0">
            <x v="6"/>
          </reference>
          <reference field="28" count="1">
            <x v="1"/>
          </reference>
          <reference field="29" count="1" selected="0">
            <x v="0"/>
          </reference>
        </references>
      </pivotArea>
    </format>
    <format dxfId="887">
      <pivotArea dataOnly="0" labelOnly="1" outline="0" fieldPosition="0">
        <references count="3">
          <reference field="5" count="1" selected="0">
            <x v="6"/>
          </reference>
          <reference field="28" count="1">
            <x v="0"/>
          </reference>
          <reference field="29" count="1" selected="0">
            <x v="1"/>
          </reference>
        </references>
      </pivotArea>
    </format>
    <format dxfId="886">
      <pivotArea dataOnly="0" labelOnly="1" outline="0" fieldPosition="0">
        <references count="3">
          <reference field="5" count="1" selected="0">
            <x v="7"/>
          </reference>
          <reference field="28" count="1">
            <x v="1"/>
          </reference>
          <reference field="29" count="1" selected="0">
            <x v="2"/>
          </reference>
        </references>
      </pivotArea>
    </format>
    <format dxfId="885">
      <pivotArea dataOnly="0" labelOnly="1" outline="0" fieldPosition="0">
        <references count="4">
          <reference field="5" count="1" selected="0">
            <x v="3"/>
          </reference>
          <reference field="28" count="1" selected="0">
            <x v="0"/>
          </reference>
          <reference field="29" count="1" selected="0">
            <x v="1"/>
          </reference>
          <reference field="34" count="1">
            <x v="6"/>
          </reference>
        </references>
      </pivotArea>
    </format>
    <format dxfId="884">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883">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882">
      <pivotArea dataOnly="0" labelOnly="1" outline="0" fieldPosition="0">
        <references count="4">
          <reference field="5" count="1" selected="0">
            <x v="6"/>
          </reference>
          <reference field="28" count="1" selected="0">
            <x v="0"/>
          </reference>
          <reference field="29" count="1" selected="0">
            <x v="1"/>
          </reference>
          <reference field="34" count="1">
            <x v="6"/>
          </reference>
        </references>
      </pivotArea>
    </format>
    <format dxfId="881">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880">
      <pivotArea dataOnly="0" labelOnly="1" outline="0" fieldPosition="0">
        <references count="4">
          <reference field="5" count="1" selected="0">
            <x v="6"/>
          </reference>
          <reference field="28" count="1" selected="0">
            <x v="0"/>
          </reference>
          <reference field="29" count="1" selected="0">
            <x v="6"/>
          </reference>
          <reference field="34" count="1">
            <x v="5"/>
          </reference>
        </references>
      </pivotArea>
    </format>
    <format dxfId="879">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878">
      <pivotArea dataOnly="0" labelOnly="1" outline="0" fieldPosition="0">
        <references count="5">
          <reference field="5" count="1" selected="0">
            <x v="3"/>
          </reference>
          <reference field="11" count="2">
            <x v="38"/>
            <x v="79"/>
          </reference>
          <reference field="28" count="1" selected="0">
            <x v="0"/>
          </reference>
          <reference field="29" count="1" selected="0">
            <x v="1"/>
          </reference>
          <reference field="34" count="1" selected="0">
            <x v="6"/>
          </reference>
        </references>
      </pivotArea>
    </format>
    <format dxfId="877">
      <pivotArea dataOnly="0" labelOnly="1" outline="0" fieldPosition="0">
        <references count="5">
          <reference field="5" count="1" selected="0">
            <x v="3"/>
          </reference>
          <reference field="11" count="2">
            <x v="3"/>
            <x v="105"/>
          </reference>
          <reference field="28" count="1" selected="0">
            <x v="0"/>
          </reference>
          <reference field="29" count="1" selected="0">
            <x v="4"/>
          </reference>
          <reference field="34" count="1" selected="0">
            <x v="1"/>
          </reference>
        </references>
      </pivotArea>
    </format>
    <format dxfId="876">
      <pivotArea dataOnly="0" labelOnly="1" outline="0" fieldPosition="0">
        <references count="5">
          <reference field="5" count="1" selected="0">
            <x v="6"/>
          </reference>
          <reference field="11" count="3">
            <x v="12"/>
            <x v="22"/>
            <x v="94"/>
          </reference>
          <reference field="28" count="1" selected="0">
            <x v="1"/>
          </reference>
          <reference field="29" count="1" selected="0">
            <x v="0"/>
          </reference>
          <reference field="34" count="1" selected="0">
            <x v="4"/>
          </reference>
        </references>
      </pivotArea>
    </format>
    <format dxfId="875">
      <pivotArea dataOnly="0" labelOnly="1" outline="0" fieldPosition="0">
        <references count="5">
          <reference field="5" count="1" selected="0">
            <x v="6"/>
          </reference>
          <reference field="11" count="6">
            <x v="13"/>
            <x v="14"/>
            <x v="21"/>
            <x v="53"/>
            <x v="54"/>
            <x v="73"/>
          </reference>
          <reference field="28" count="1" selected="0">
            <x v="0"/>
          </reference>
          <reference field="29" count="1" selected="0">
            <x v="1"/>
          </reference>
          <reference field="34" count="1" selected="0">
            <x v="6"/>
          </reference>
        </references>
      </pivotArea>
    </format>
    <format dxfId="874">
      <pivotArea dataOnly="0" labelOnly="1" outline="0" fieldPosition="0">
        <references count="5">
          <reference field="5" count="1" selected="0">
            <x v="6"/>
          </reference>
          <reference field="11" count="4">
            <x v="9"/>
            <x v="33"/>
            <x v="55"/>
            <x v="87"/>
          </reference>
          <reference field="28" count="1" selected="0">
            <x v="0"/>
          </reference>
          <reference field="29" count="1" selected="0">
            <x v="4"/>
          </reference>
          <reference field="34" count="1" selected="0">
            <x v="1"/>
          </reference>
        </references>
      </pivotArea>
    </format>
    <format dxfId="873">
      <pivotArea dataOnly="0" labelOnly="1" outline="0" fieldPosition="0">
        <references count="5">
          <reference field="5" count="1" selected="0">
            <x v="6"/>
          </reference>
          <reference field="11" count="2">
            <x v="44"/>
            <x v="93"/>
          </reference>
          <reference field="28" count="1" selected="0">
            <x v="0"/>
          </reference>
          <reference field="29" count="1" selected="0">
            <x v="6"/>
          </reference>
          <reference field="34" count="1" selected="0">
            <x v="5"/>
          </reference>
        </references>
      </pivotArea>
    </format>
    <format dxfId="872">
      <pivotArea dataOnly="0" labelOnly="1" outline="0" fieldPosition="0">
        <references count="5">
          <reference field="5" count="1" selected="0">
            <x v="7"/>
          </reference>
          <reference field="11" count="1">
            <x v="83"/>
          </reference>
          <reference field="28" count="1" selected="0">
            <x v="1"/>
          </reference>
          <reference field="29" count="1" selected="0">
            <x v="2"/>
          </reference>
          <reference field="34" count="1" selected="0">
            <x v="3"/>
          </reference>
        </references>
      </pivotArea>
    </format>
    <format dxfId="871">
      <pivotArea dataOnly="0" labelOnly="1" outline="0" fieldPosition="0">
        <references count="6">
          <reference field="5" count="1" selected="0">
            <x v="3"/>
          </reference>
          <reference field="11" count="1" selected="0">
            <x v="38"/>
          </reference>
          <reference field="12" count="1">
            <x v="17"/>
          </reference>
          <reference field="28" count="1" selected="0">
            <x v="0"/>
          </reference>
          <reference field="29" count="1" selected="0">
            <x v="1"/>
          </reference>
          <reference field="34" count="1" selected="0">
            <x v="6"/>
          </reference>
        </references>
      </pivotArea>
    </format>
    <format dxfId="870">
      <pivotArea dataOnly="0" labelOnly="1" outline="0" fieldPosition="0">
        <references count="6">
          <reference field="5" count="1" selected="0">
            <x v="3"/>
          </reference>
          <reference field="11" count="1" selected="0">
            <x v="79"/>
          </reference>
          <reference field="12" count="1">
            <x v="18"/>
          </reference>
          <reference field="28" count="1" selected="0">
            <x v="0"/>
          </reference>
          <reference field="29" count="1" selected="0">
            <x v="1"/>
          </reference>
          <reference field="34" count="1" selected="0">
            <x v="6"/>
          </reference>
        </references>
      </pivotArea>
    </format>
    <format dxfId="869">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868">
      <pivotArea dataOnly="0" labelOnly="1" outline="0" fieldPosition="0">
        <references count="6">
          <reference field="5" count="1" selected="0">
            <x v="3"/>
          </reference>
          <reference field="11" count="1" selected="0">
            <x v="105"/>
          </reference>
          <reference field="12" count="1">
            <x v="16"/>
          </reference>
          <reference field="28" count="1" selected="0">
            <x v="0"/>
          </reference>
          <reference field="29" count="1" selected="0">
            <x v="4"/>
          </reference>
          <reference field="34" count="1" selected="0">
            <x v="1"/>
          </reference>
        </references>
      </pivotArea>
    </format>
    <format dxfId="867">
      <pivotArea dataOnly="0" labelOnly="1" outline="0" fieldPosition="0">
        <references count="6">
          <reference field="5" count="1" selected="0">
            <x v="6"/>
          </reference>
          <reference field="11" count="1" selected="0">
            <x v="12"/>
          </reference>
          <reference field="12" count="1">
            <x v="92"/>
          </reference>
          <reference field="28" count="1" selected="0">
            <x v="1"/>
          </reference>
          <reference field="29" count="1" selected="0">
            <x v="0"/>
          </reference>
          <reference field="34" count="1" selected="0">
            <x v="4"/>
          </reference>
        </references>
      </pivotArea>
    </format>
    <format dxfId="866">
      <pivotArea dataOnly="0" labelOnly="1" outline="0" fieldPosition="0">
        <references count="6">
          <reference field="5" count="1" selected="0">
            <x v="6"/>
          </reference>
          <reference field="11" count="1" selected="0">
            <x v="22"/>
          </reference>
          <reference field="12" count="1">
            <x v="86"/>
          </reference>
          <reference field="28" count="1" selected="0">
            <x v="1"/>
          </reference>
          <reference field="29" count="1" selected="0">
            <x v="0"/>
          </reference>
          <reference field="34" count="1" selected="0">
            <x v="4"/>
          </reference>
        </references>
      </pivotArea>
    </format>
    <format dxfId="865">
      <pivotArea dataOnly="0" labelOnly="1" outline="0" fieldPosition="0">
        <references count="6">
          <reference field="5" count="1" selected="0">
            <x v="6"/>
          </reference>
          <reference field="11" count="1" selected="0">
            <x v="94"/>
          </reference>
          <reference field="12" count="1">
            <x v="82"/>
          </reference>
          <reference field="28" count="1" selected="0">
            <x v="1"/>
          </reference>
          <reference field="29" count="1" selected="0">
            <x v="0"/>
          </reference>
          <reference field="34" count="1" selected="0">
            <x v="4"/>
          </reference>
        </references>
      </pivotArea>
    </format>
    <format dxfId="864">
      <pivotArea dataOnly="0" labelOnly="1" outline="0" fieldPosition="0">
        <references count="6">
          <reference field="5" count="1" selected="0">
            <x v="6"/>
          </reference>
          <reference field="11" count="1" selected="0">
            <x v="13"/>
          </reference>
          <reference field="12" count="1">
            <x v="100"/>
          </reference>
          <reference field="28" count="1" selected="0">
            <x v="0"/>
          </reference>
          <reference field="29" count="1" selected="0">
            <x v="1"/>
          </reference>
          <reference field="34" count="1" selected="0">
            <x v="6"/>
          </reference>
        </references>
      </pivotArea>
    </format>
    <format dxfId="863">
      <pivotArea dataOnly="0" labelOnly="1" outline="0" fieldPosition="0">
        <references count="6">
          <reference field="5" count="1" selected="0">
            <x v="6"/>
          </reference>
          <reference field="11" count="1" selected="0">
            <x v="14"/>
          </reference>
          <reference field="12" count="1">
            <x v="101"/>
          </reference>
          <reference field="28" count="1" selected="0">
            <x v="0"/>
          </reference>
          <reference field="29" count="1" selected="0">
            <x v="1"/>
          </reference>
          <reference field="34" count="1" selected="0">
            <x v="6"/>
          </reference>
        </references>
      </pivotArea>
    </format>
    <format dxfId="862">
      <pivotArea dataOnly="0" labelOnly="1" outline="0" fieldPosition="0">
        <references count="6">
          <reference field="5" count="1" selected="0">
            <x v="6"/>
          </reference>
          <reference field="11" count="1" selected="0">
            <x v="21"/>
          </reference>
          <reference field="12" count="1">
            <x v="38"/>
          </reference>
          <reference field="28" count="1" selected="0">
            <x v="0"/>
          </reference>
          <reference field="29" count="1" selected="0">
            <x v="1"/>
          </reference>
          <reference field="34" count="1" selected="0">
            <x v="6"/>
          </reference>
        </references>
      </pivotArea>
    </format>
    <format dxfId="861">
      <pivotArea dataOnly="0" labelOnly="1" outline="0" fieldPosition="0">
        <references count="6">
          <reference field="5" count="1" selected="0">
            <x v="6"/>
          </reference>
          <reference field="11" count="1" selected="0">
            <x v="53"/>
          </reference>
          <reference field="12" count="1">
            <x v="87"/>
          </reference>
          <reference field="28" count="1" selected="0">
            <x v="0"/>
          </reference>
          <reference field="29" count="1" selected="0">
            <x v="1"/>
          </reference>
          <reference field="34" count="1" selected="0">
            <x v="6"/>
          </reference>
        </references>
      </pivotArea>
    </format>
    <format dxfId="860">
      <pivotArea dataOnly="0" labelOnly="1" outline="0" fieldPosition="0">
        <references count="6">
          <reference field="5" count="1" selected="0">
            <x v="6"/>
          </reference>
          <reference field="11" count="1" selected="0">
            <x v="54"/>
          </reference>
          <reference field="12" count="1">
            <x v="102"/>
          </reference>
          <reference field="28" count="1" selected="0">
            <x v="0"/>
          </reference>
          <reference field="29" count="1" selected="0">
            <x v="1"/>
          </reference>
          <reference field="34" count="1" selected="0">
            <x v="6"/>
          </reference>
        </references>
      </pivotArea>
    </format>
    <format dxfId="859">
      <pivotArea dataOnly="0" labelOnly="1" outline="0" fieldPosition="0">
        <references count="6">
          <reference field="5" count="1" selected="0">
            <x v="6"/>
          </reference>
          <reference field="11" count="1" selected="0">
            <x v="73"/>
          </reference>
          <reference field="12" count="1">
            <x v="42"/>
          </reference>
          <reference field="28" count="1" selected="0">
            <x v="0"/>
          </reference>
          <reference field="29" count="1" selected="0">
            <x v="1"/>
          </reference>
          <reference field="34" count="1" selected="0">
            <x v="6"/>
          </reference>
        </references>
      </pivotArea>
    </format>
    <format dxfId="858">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857">
      <pivotArea dataOnly="0" labelOnly="1" outline="0" fieldPosition="0">
        <references count="6">
          <reference field="5" count="1" selected="0">
            <x v="6"/>
          </reference>
          <reference field="11" count="1" selected="0">
            <x v="33"/>
          </reference>
          <reference field="12" count="1">
            <x v="39"/>
          </reference>
          <reference field="28" count="1" selected="0">
            <x v="0"/>
          </reference>
          <reference field="29" count="1" selected="0">
            <x v="4"/>
          </reference>
          <reference field="34" count="1" selected="0">
            <x v="1"/>
          </reference>
        </references>
      </pivotArea>
    </format>
    <format dxfId="856">
      <pivotArea dataOnly="0" labelOnly="1" outline="0" fieldPosition="0">
        <references count="6">
          <reference field="5" count="1" selected="0">
            <x v="6"/>
          </reference>
          <reference field="11" count="1" selected="0">
            <x v="55"/>
          </reference>
          <reference field="12" count="1">
            <x v="103"/>
          </reference>
          <reference field="28" count="1" selected="0">
            <x v="0"/>
          </reference>
          <reference field="29" count="1" selected="0">
            <x v="4"/>
          </reference>
          <reference field="34" count="1" selected="0">
            <x v="1"/>
          </reference>
        </references>
      </pivotArea>
    </format>
    <format dxfId="855">
      <pivotArea dataOnly="0" labelOnly="1" outline="0" fieldPosition="0">
        <references count="6">
          <reference field="5" count="1" selected="0">
            <x v="6"/>
          </reference>
          <reference field="11" count="1" selected="0">
            <x v="87"/>
          </reference>
          <reference field="12" count="1">
            <x v="43"/>
          </reference>
          <reference field="28" count="1" selected="0">
            <x v="0"/>
          </reference>
          <reference field="29" count="1" selected="0">
            <x v="4"/>
          </reference>
          <reference field="34" count="1" selected="0">
            <x v="1"/>
          </reference>
        </references>
      </pivotArea>
    </format>
    <format dxfId="854">
      <pivotArea dataOnly="0" labelOnly="1" outline="0" fieldPosition="0">
        <references count="6">
          <reference field="5" count="1" selected="0">
            <x v="6"/>
          </reference>
          <reference field="11" count="1" selected="0">
            <x v="44"/>
          </reference>
          <reference field="12" count="1">
            <x v="83"/>
          </reference>
          <reference field="28" count="1" selected="0">
            <x v="0"/>
          </reference>
          <reference field="29" count="1" selected="0">
            <x v="6"/>
          </reference>
          <reference field="34" count="1" selected="0">
            <x v="5"/>
          </reference>
        </references>
      </pivotArea>
    </format>
    <format dxfId="853">
      <pivotArea dataOnly="0" labelOnly="1" outline="0" fieldPosition="0">
        <references count="6">
          <reference field="5" count="1" selected="0">
            <x v="6"/>
          </reference>
          <reference field="11" count="1" selected="0">
            <x v="93"/>
          </reference>
          <reference field="12" count="1">
            <x v="45"/>
          </reference>
          <reference field="28" count="1" selected="0">
            <x v="0"/>
          </reference>
          <reference field="29" count="1" selected="0">
            <x v="6"/>
          </reference>
          <reference field="34" count="1" selected="0">
            <x v="5"/>
          </reference>
        </references>
      </pivotArea>
    </format>
    <format dxfId="852">
      <pivotArea dataOnly="0" labelOnly="1" outline="0" fieldPosition="0">
        <references count="6">
          <reference field="5" count="1" selected="0">
            <x v="7"/>
          </reference>
          <reference field="11" count="1" selected="0">
            <x v="83"/>
          </reference>
          <reference field="12" count="1">
            <x v="13"/>
          </reference>
          <reference field="28" count="1" selected="0">
            <x v="1"/>
          </reference>
          <reference field="29" count="1" selected="0">
            <x v="2"/>
          </reference>
          <reference field="34" count="1" selected="0">
            <x v="3"/>
          </reference>
        </references>
      </pivotArea>
    </format>
    <format dxfId="851">
      <pivotArea dataOnly="0" labelOnly="1" outline="0" fieldPosition="0">
        <references count="1">
          <reference field="4294967294" count="3">
            <x v="0"/>
            <x v="1"/>
            <x v="2"/>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110" firstHeaderRow="1" firstDataRow="1" firstDataCol="3" rowPageCount="1" colPageCount="1"/>
  <pivotFields count="37">
    <pivotField axis="axisRow" compact="0" outline="0" showAll="0" defaultSubtotal="0">
      <items count="5">
        <item x="1"/>
        <item x="0"/>
        <item x="2"/>
        <item x="3"/>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axis="axisPage" compact="0" outline="0"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3">
    <field x="11"/>
    <field x="12"/>
    <field x="0"/>
  </rowFields>
  <rowItems count="107">
    <i>
      <x/>
      <x v="21"/>
      <x v="3"/>
    </i>
    <i>
      <x v="1"/>
      <x v="24"/>
      <x v="3"/>
    </i>
    <i>
      <x v="2"/>
      <x v="31"/>
      <x v="3"/>
    </i>
    <i>
      <x v="3"/>
      <x v="15"/>
      <x v="1"/>
    </i>
    <i>
      <x v="4"/>
      <x v="23"/>
      <x v="3"/>
    </i>
    <i>
      <x v="5"/>
      <x v="80"/>
      <x/>
    </i>
    <i>
      <x v="6"/>
      <x v="65"/>
      <x/>
    </i>
    <i>
      <x v="7"/>
      <x v="5"/>
      <x v="3"/>
    </i>
    <i>
      <x v="8"/>
      <x v="14"/>
      <x v="2"/>
    </i>
    <i>
      <x v="9"/>
      <x v="36"/>
      <x v="1"/>
    </i>
    <i>
      <x v="10"/>
      <x v="75"/>
      <x/>
    </i>
    <i>
      <x v="11"/>
      <x v="37"/>
      <x/>
    </i>
    <i>
      <x v="12"/>
      <x v="92"/>
      <x v="1"/>
    </i>
    <i>
      <x v="13"/>
      <x v="100"/>
      <x v="1"/>
    </i>
    <i>
      <x v="14"/>
      <x v="101"/>
      <x v="1"/>
    </i>
    <i>
      <x v="15"/>
      <x v="95"/>
      <x/>
    </i>
    <i>
      <x v="16"/>
      <x v="48"/>
      <x/>
    </i>
    <i>
      <x v="17"/>
      <x v="49"/>
      <x/>
    </i>
    <i>
      <x v="18"/>
      <x v="55"/>
      <x/>
    </i>
    <i>
      <x v="19"/>
      <x v="56"/>
      <x/>
    </i>
    <i>
      <x v="20"/>
      <x v="52"/>
      <x/>
    </i>
    <i>
      <x v="21"/>
      <x v="38"/>
      <x v="1"/>
    </i>
    <i>
      <x v="22"/>
      <x v="86"/>
      <x v="1"/>
    </i>
    <i>
      <x v="23"/>
      <x v="54"/>
      <x/>
    </i>
    <i>
      <x v="24"/>
      <x v="26"/>
      <x v="3"/>
    </i>
    <i>
      <x v="25"/>
      <x v="69"/>
      <x/>
    </i>
    <i>
      <x v="26"/>
      <x v="57"/>
      <x/>
    </i>
    <i>
      <x v="27"/>
      <x v="91"/>
      <x/>
    </i>
    <i>
      <x v="28"/>
      <x v="46"/>
      <x/>
    </i>
    <i>
      <x v="29"/>
      <x v="25"/>
      <x v="3"/>
    </i>
    <i>
      <x v="30"/>
      <x v="33"/>
      <x v="2"/>
    </i>
    <i>
      <x v="31"/>
      <x v="12"/>
      <x v="2"/>
    </i>
    <i>
      <x v="32"/>
      <x v="77"/>
      <x/>
    </i>
    <i>
      <x v="33"/>
      <x v="67"/>
      <x/>
    </i>
    <i>
      <x v="34"/>
      <x v="39"/>
      <x v="1"/>
    </i>
    <i>
      <x v="35"/>
      <x v="29"/>
      <x v="2"/>
    </i>
    <i>
      <x v="36"/>
      <x v="76"/>
      <x/>
    </i>
    <i>
      <x v="37"/>
      <x v="74"/>
      <x/>
    </i>
    <i>
      <x v="38"/>
      <x v="32"/>
      <x v="1"/>
    </i>
    <i>
      <x v="39"/>
      <x v="17"/>
      <x v="1"/>
    </i>
    <i>
      <x v="40"/>
      <x v="79"/>
      <x/>
    </i>
    <i>
      <x v="41"/>
      <x v="58"/>
      <x/>
    </i>
    <i>
      <x v="42"/>
      <x v="19"/>
      <x v="3"/>
    </i>
    <i>
      <x v="43"/>
      <x v="50"/>
      <x/>
    </i>
    <i>
      <x v="44"/>
      <x v="68"/>
      <x/>
    </i>
    <i>
      <x v="45"/>
      <x v="83"/>
      <x v="1"/>
    </i>
    <i>
      <x v="46"/>
      <x v="72"/>
      <x/>
    </i>
    <i>
      <x v="47"/>
      <x v="51"/>
      <x/>
    </i>
    <i r="1">
      <x v="84"/>
      <x v="2"/>
    </i>
    <i>
      <x v="48"/>
      <x v="10"/>
      <x/>
    </i>
    <i>
      <x v="49"/>
      <x v="59"/>
      <x/>
    </i>
    <i>
      <x v="50"/>
      <x v="3"/>
      <x/>
    </i>
    <i>
      <x v="51"/>
      <x v="16"/>
      <x v="1"/>
    </i>
    <i>
      <x v="52"/>
      <x v="16"/>
      <x v="1"/>
    </i>
    <i>
      <x v="53"/>
      <x v="22"/>
      <x v="1"/>
    </i>
    <i>
      <x v="54"/>
      <x v="30"/>
      <x v="3"/>
    </i>
    <i>
      <x v="55"/>
      <x v="78"/>
      <x v="3"/>
    </i>
    <i>
      <x v="56"/>
      <x v="87"/>
      <x v="1"/>
    </i>
    <i>
      <x v="57"/>
      <x v="102"/>
      <x v="1"/>
    </i>
    <i>
      <x v="58"/>
      <x v="103"/>
      <x v="1"/>
    </i>
    <i>
      <x v="59"/>
      <x v="40"/>
      <x/>
    </i>
    <i>
      <x v="60"/>
      <x v="81"/>
      <x/>
    </i>
    <i>
      <x v="61"/>
      <x v="88"/>
      <x/>
    </i>
    <i>
      <x v="62"/>
      <x v="89"/>
      <x/>
    </i>
    <i>
      <x v="63"/>
      <x v="47"/>
      <x/>
    </i>
    <i>
      <x v="64"/>
      <x v="8"/>
      <x v="3"/>
    </i>
    <i>
      <x v="65"/>
      <x/>
      <x v="3"/>
    </i>
    <i>
      <x v="66"/>
      <x v="41"/>
      <x/>
    </i>
    <i>
      <x v="67"/>
      <x v="60"/>
      <x/>
    </i>
    <i>
      <x v="68"/>
      <x v="35"/>
      <x/>
    </i>
    <i>
      <x v="69"/>
      <x v="34"/>
      <x/>
    </i>
    <i>
      <x v="70"/>
      <x v="11"/>
      <x v="2"/>
    </i>
    <i>
      <x v="71"/>
      <x v="7"/>
      <x v="3"/>
    </i>
    <i>
      <x v="72"/>
      <x v="2"/>
      <x v="3"/>
    </i>
    <i>
      <x v="73"/>
      <x v="94"/>
      <x/>
    </i>
    <i>
      <x v="74"/>
      <x v="98"/>
      <x v="2"/>
    </i>
    <i>
      <x v="75"/>
      <x v="99"/>
      <x v="2"/>
    </i>
    <i>
      <x v="76"/>
      <x v="42"/>
      <x v="1"/>
    </i>
    <i>
      <x v="77"/>
      <x v="93"/>
      <x v="3"/>
    </i>
    <i>
      <x v="78"/>
      <x v="53"/>
      <x v="2"/>
    </i>
    <i>
      <x v="79"/>
      <x v="28"/>
      <x v="3"/>
    </i>
    <i>
      <x v="80"/>
      <x v="61"/>
      <x/>
    </i>
    <i>
      <x v="81"/>
      <x v="64"/>
      <x/>
    </i>
    <i>
      <x v="82"/>
      <x v="18"/>
      <x v="1"/>
    </i>
    <i>
      <x v="83"/>
      <x v="85"/>
      <x/>
    </i>
    <i>
      <x v="84"/>
      <x v="62"/>
      <x/>
    </i>
    <i>
      <x v="85"/>
      <x v="20"/>
      <x v="3"/>
    </i>
    <i>
      <x v="86"/>
      <x v="13"/>
      <x v="1"/>
    </i>
    <i>
      <x v="87"/>
      <x v="1"/>
      <x v="3"/>
    </i>
    <i>
      <x v="88"/>
      <x v="73"/>
      <x/>
    </i>
    <i>
      <x v="89"/>
      <x v="4"/>
      <x v="3"/>
    </i>
    <i>
      <x v="90"/>
      <x v="43"/>
      <x v="1"/>
    </i>
    <i>
      <x v="91"/>
      <x v="90"/>
      <x/>
    </i>
    <i>
      <x v="92"/>
      <x v="44"/>
      <x/>
    </i>
    <i>
      <x v="93"/>
      <x v="66"/>
      <x/>
    </i>
    <i>
      <x v="94"/>
      <x v="6"/>
      <x/>
    </i>
    <i>
      <x v="95"/>
      <x v="63"/>
      <x/>
    </i>
    <i>
      <x v="96"/>
      <x v="45"/>
      <x v="1"/>
    </i>
    <i>
      <x v="97"/>
      <x v="82"/>
      <x v="1"/>
    </i>
    <i>
      <x v="98"/>
      <x v="104"/>
      <x v="2"/>
    </i>
    <i>
      <x v="99"/>
      <x v="71"/>
      <x/>
    </i>
    <i>
      <x v="100"/>
      <x v="70"/>
      <x/>
    </i>
    <i>
      <x v="101"/>
      <x v="9"/>
      <x v="3"/>
    </i>
    <i>
      <x v="102"/>
      <x v="27"/>
      <x v="3"/>
    </i>
    <i>
      <x v="103"/>
      <x v="96"/>
      <x/>
    </i>
    <i>
      <x v="104"/>
      <x v="97"/>
      <x/>
    </i>
    <i>
      <x v="105"/>
      <x v="105"/>
      <x v="4"/>
    </i>
  </rowItems>
  <colItems count="1">
    <i/>
  </colItems>
  <pageFields count="1">
    <pageField fld="36" hier="-1"/>
  </pageFields>
  <dataFields count="1">
    <dataField name="Sum of HH"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4"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4:G45" firstHeaderRow="0" firstDataRow="1" firstDataCol="4"/>
  <pivotFields count="37">
    <pivotField axis="axisRow" compact="0" outline="0" multipleItemSelectionAllowed="1" showAll="0" defaultSubtotal="0">
      <items count="5">
        <item h="1" x="1"/>
        <item h="1" x="0"/>
        <item x="2"/>
        <item x="3"/>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3"/>
        <item x="7"/>
        <item x="8"/>
        <item x="0"/>
        <item x="2"/>
        <item x="9"/>
        <item x="1"/>
        <item x="5"/>
        <item x="4"/>
        <item x="6"/>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n="Khaung Doke Khar (1 &amp; 2) "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pivotField>
    <pivotField axis="axisRow" dataField="1"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
        <item x="5"/>
        <item x="14"/>
        <item x="17"/>
        <item x="30"/>
        <item x="31"/>
        <item x="28"/>
        <item x="105"/>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name="Resp. Agency" compact="0" outline="0" showAll="0" defaultSubtotal="0">
      <items count="7">
        <item x="1"/>
        <item x="2"/>
        <item x="0"/>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65">
        <item n="Zone 1" x="60"/>
        <item x="0"/>
        <item n="Priority Camps" x="59"/>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6"/>
        <item x="57"/>
        <item x="58"/>
        <item x="61"/>
        <item x="62"/>
        <item x="63"/>
        <item x="64"/>
      </items>
    </pivotField>
  </pivotFields>
  <rowFields count="4">
    <field x="5"/>
    <field x="11"/>
    <field x="12"/>
    <field x="0"/>
  </rowFields>
  <rowItems count="41">
    <i>
      <x/>
      <x/>
      <x v="21"/>
      <x v="3"/>
    </i>
    <i r="1">
      <x v="1"/>
      <x v="24"/>
      <x v="3"/>
    </i>
    <i r="1">
      <x v="4"/>
      <x v="23"/>
      <x v="3"/>
    </i>
    <i r="1">
      <x v="24"/>
      <x v="26"/>
      <x v="3"/>
    </i>
    <i r="1">
      <x v="29"/>
      <x v="25"/>
      <x v="3"/>
    </i>
    <i r="1">
      <x v="35"/>
      <x v="29"/>
      <x v="2"/>
    </i>
    <i r="1">
      <x v="42"/>
      <x v="19"/>
      <x v="3"/>
    </i>
    <i r="1">
      <x v="79"/>
      <x v="28"/>
      <x v="3"/>
    </i>
    <i r="1">
      <x v="85"/>
      <x v="20"/>
      <x v="3"/>
    </i>
    <i r="1">
      <x v="102"/>
      <x v="27"/>
      <x v="3"/>
    </i>
    <i t="default">
      <x/>
    </i>
    <i>
      <x v="1"/>
      <x v="55"/>
      <x v="78"/>
      <x v="3"/>
    </i>
    <i t="default">
      <x v="1"/>
    </i>
    <i>
      <x v="2"/>
      <x v="7"/>
      <x v="5"/>
      <x v="3"/>
    </i>
    <i r="1">
      <x v="65"/>
      <x/>
      <x v="3"/>
    </i>
    <i r="1">
      <x v="71"/>
      <x v="7"/>
      <x v="3"/>
    </i>
    <i r="1">
      <x v="72"/>
      <x v="2"/>
      <x v="3"/>
    </i>
    <i r="1">
      <x v="77"/>
      <x v="93"/>
      <x v="3"/>
    </i>
    <i r="1">
      <x v="87"/>
      <x v="1"/>
      <x v="3"/>
    </i>
    <i r="1">
      <x v="89"/>
      <x v="4"/>
      <x v="3"/>
    </i>
    <i t="default">
      <x v="2"/>
    </i>
    <i>
      <x v="3"/>
      <x v="8"/>
      <x v="14"/>
      <x v="2"/>
    </i>
    <i t="default">
      <x v="3"/>
    </i>
    <i>
      <x v="5"/>
      <x v="2"/>
      <x v="31"/>
      <x v="3"/>
    </i>
    <i r="1">
      <x v="54"/>
      <x v="30"/>
      <x v="3"/>
    </i>
    <i t="default">
      <x v="5"/>
    </i>
    <i>
      <x v="6"/>
      <x v="47"/>
      <x v="84"/>
      <x v="2"/>
    </i>
    <i r="1">
      <x v="74"/>
      <x v="102"/>
      <x v="2"/>
    </i>
    <i r="1">
      <x v="75"/>
      <x v="103"/>
      <x v="2"/>
    </i>
    <i r="1">
      <x v="78"/>
      <x v="53"/>
      <x v="2"/>
    </i>
    <i t="default">
      <x v="6"/>
    </i>
    <i>
      <x v="7"/>
      <x v="31"/>
      <x v="12"/>
      <x v="2"/>
    </i>
    <i t="default">
      <x v="7"/>
    </i>
    <i>
      <x v="8"/>
      <x v="30"/>
      <x v="33"/>
      <x v="2"/>
    </i>
    <i t="default">
      <x v="8"/>
    </i>
    <i>
      <x v="9"/>
      <x v="64"/>
      <x v="8"/>
      <x v="3"/>
    </i>
    <i r="1">
      <x v="70"/>
      <x v="11"/>
      <x v="2"/>
    </i>
    <i r="1">
      <x v="98"/>
      <x v="104"/>
      <x v="2"/>
    </i>
    <i r="1">
      <x v="101"/>
      <x v="9"/>
      <x v="3"/>
    </i>
    <i t="default">
      <x v="9"/>
    </i>
    <i t="grand">
      <x/>
    </i>
  </rowItems>
  <colFields count="1">
    <field x="-2"/>
  </colFields>
  <colItems count="3">
    <i>
      <x/>
    </i>
    <i i="1">
      <x v="1"/>
    </i>
    <i i="2">
      <x v="2"/>
    </i>
  </colItems>
  <dataFields count="3">
    <dataField name="HH " fld="16" baseField="17" baseItem="92" numFmtId="3"/>
    <dataField name="Ind " fld="17" baseField="17" baseItem="3" numFmtId="3"/>
    <dataField name="# IDP Loc." fld="12" subtotal="count" baseField="0" baseItem="0"/>
  </dataFields>
  <formats count="43">
    <format dxfId="848">
      <pivotArea outline="0" fieldPosition="0">
        <references count="1">
          <reference field="4294967294" count="1">
            <x v="1"/>
          </reference>
        </references>
      </pivotArea>
    </format>
    <format dxfId="847">
      <pivotArea outline="0" fieldPosition="0">
        <references count="1">
          <reference field="4294967294" count="1">
            <x v="0"/>
          </reference>
        </references>
      </pivotArea>
    </format>
    <format dxfId="846">
      <pivotArea field="5" type="button" dataOnly="0" labelOnly="1" outline="0" axis="axisRow" fieldPosition="0"/>
    </format>
    <format dxfId="845">
      <pivotArea field="11" type="button" dataOnly="0" labelOnly="1" outline="0" axis="axisRow" fieldPosition="1"/>
    </format>
    <format dxfId="844">
      <pivotArea field="12" type="button" dataOnly="0" labelOnly="1" outline="0" axis="axisRow" fieldPosition="2"/>
    </format>
    <format dxfId="843">
      <pivotArea field="28" type="button" dataOnly="0" labelOnly="1" outline="0"/>
    </format>
    <format dxfId="842">
      <pivotArea field="29" type="button" dataOnly="0" labelOnly="1" outline="0"/>
    </format>
    <format dxfId="841">
      <pivotArea dataOnly="0" labelOnly="1" outline="0" fieldPosition="0">
        <references count="1">
          <reference field="4294967294" count="2">
            <x v="0"/>
            <x v="1"/>
          </reference>
        </references>
      </pivotArea>
    </format>
    <format dxfId="840">
      <pivotArea type="all" dataOnly="0" outline="0" fieldPosition="0"/>
    </format>
    <format dxfId="839">
      <pivotArea outline="0" collapsedLevelsAreSubtotals="1" fieldPosition="0"/>
    </format>
    <format dxfId="838">
      <pivotArea dataOnly="0" labelOnly="1" outline="0" fieldPosition="0">
        <references count="1">
          <reference field="5" count="7">
            <x v="0"/>
            <x v="1"/>
            <x v="3"/>
            <x v="4"/>
            <x v="5"/>
            <x v="6"/>
            <x v="7"/>
          </reference>
        </references>
      </pivotArea>
    </format>
    <format dxfId="837">
      <pivotArea dataOnly="0" labelOnly="1" outline="0" fieldPosition="0">
        <references count="1">
          <reference field="5" count="7" defaultSubtotal="1">
            <x v="0"/>
            <x v="1"/>
            <x v="3"/>
            <x v="4"/>
            <x v="5"/>
            <x v="6"/>
            <x v="7"/>
          </reference>
        </references>
      </pivotArea>
    </format>
    <format dxfId="836">
      <pivotArea dataOnly="0" labelOnly="1" grandRow="1" outline="0" fieldPosition="0"/>
    </format>
    <format dxfId="835">
      <pivotArea dataOnly="0" labelOnly="1" outline="0" fieldPosition="0">
        <references count="2">
          <reference field="5" count="1" selected="0">
            <x v="0"/>
          </reference>
          <reference field="11" count="1">
            <x v="53"/>
          </reference>
        </references>
      </pivotArea>
    </format>
    <format dxfId="834">
      <pivotArea dataOnly="0" labelOnly="1" outline="0" fieldPosition="0">
        <references count="2">
          <reference field="5" count="1" selected="0">
            <x v="1"/>
          </reference>
          <reference field="11" count="1">
            <x v="55"/>
          </reference>
        </references>
      </pivotArea>
    </format>
    <format dxfId="833">
      <pivotArea dataOnly="0" labelOnly="1" outline="0" fieldPosition="0">
        <references count="2">
          <reference field="5" count="1" selected="0">
            <x v="3"/>
          </reference>
          <reference field="11" count="3">
            <x v="3"/>
            <x v="39"/>
            <x v="82"/>
          </reference>
        </references>
      </pivotArea>
    </format>
    <format dxfId="832">
      <pivotArea dataOnly="0" labelOnly="1" outline="0" fieldPosition="0">
        <references count="2">
          <reference field="5" count="1" selected="0">
            <x v="4"/>
          </reference>
          <reference field="11" count="2">
            <x v="68"/>
            <x v="69"/>
          </reference>
        </references>
      </pivotArea>
    </format>
    <format dxfId="831">
      <pivotArea dataOnly="0" labelOnly="1" outline="0" fieldPosition="0">
        <references count="2">
          <reference field="5" count="1" selected="0">
            <x v="6"/>
          </reference>
          <reference field="11" count="15">
            <x v="9"/>
            <x v="12"/>
            <x v="13"/>
            <x v="14"/>
            <x v="21"/>
            <x v="22"/>
            <x v="34"/>
            <x v="45"/>
            <x v="56"/>
            <x v="57"/>
            <x v="58"/>
            <x v="76"/>
            <x v="90"/>
            <x v="96"/>
            <x v="97"/>
          </reference>
        </references>
      </pivotArea>
    </format>
    <format dxfId="830">
      <pivotArea dataOnly="0" labelOnly="1" outline="0" fieldPosition="0">
        <references count="2">
          <reference field="5" count="1" selected="0">
            <x v="7"/>
          </reference>
          <reference field="11" count="2">
            <x v="31"/>
            <x v="86"/>
          </reference>
        </references>
      </pivotArea>
    </format>
    <format dxfId="829">
      <pivotArea dataOnly="0" labelOnly="1" outline="0" fieldPosition="0">
        <references count="3">
          <reference field="5" count="1" selected="0">
            <x v="0"/>
          </reference>
          <reference field="11" count="1" selected="0">
            <x v="53"/>
          </reference>
          <reference field="12" count="1">
            <x v="22"/>
          </reference>
        </references>
      </pivotArea>
    </format>
    <format dxfId="828">
      <pivotArea dataOnly="0" labelOnly="1" outline="0" fieldPosition="0">
        <references count="3">
          <reference field="5" count="1" selected="0">
            <x v="1"/>
          </reference>
          <reference field="11" count="1" selected="0">
            <x v="55"/>
          </reference>
          <reference field="12" count="1">
            <x v="78"/>
          </reference>
        </references>
      </pivotArea>
    </format>
    <format dxfId="827">
      <pivotArea dataOnly="0" labelOnly="1" outline="0" fieldPosition="0">
        <references count="3">
          <reference field="5" count="1" selected="0">
            <x v="3"/>
          </reference>
          <reference field="11" count="1" selected="0">
            <x v="3"/>
          </reference>
          <reference field="12" count="1">
            <x v="15"/>
          </reference>
        </references>
      </pivotArea>
    </format>
    <format dxfId="826">
      <pivotArea dataOnly="0" labelOnly="1" outline="0" fieldPosition="0">
        <references count="3">
          <reference field="5" count="1" selected="0">
            <x v="3"/>
          </reference>
          <reference field="11" count="1" selected="0">
            <x v="39"/>
          </reference>
          <reference field="12" count="1">
            <x v="17"/>
          </reference>
        </references>
      </pivotArea>
    </format>
    <format dxfId="825">
      <pivotArea dataOnly="0" labelOnly="1" outline="0" fieldPosition="0">
        <references count="3">
          <reference field="5" count="1" selected="0">
            <x v="3"/>
          </reference>
          <reference field="11" count="1" selected="0">
            <x v="82"/>
          </reference>
          <reference field="12" count="1">
            <x v="18"/>
          </reference>
        </references>
      </pivotArea>
    </format>
    <format dxfId="824">
      <pivotArea dataOnly="0" labelOnly="1" outline="0" fieldPosition="0">
        <references count="3">
          <reference field="5" count="1" selected="0">
            <x v="4"/>
          </reference>
          <reference field="11" count="1" selected="0">
            <x v="68"/>
          </reference>
          <reference field="12" count="1">
            <x v="35"/>
          </reference>
        </references>
      </pivotArea>
    </format>
    <format dxfId="823">
      <pivotArea dataOnly="0" labelOnly="1" outline="0" fieldPosition="0">
        <references count="3">
          <reference field="5" count="1" selected="0">
            <x v="4"/>
          </reference>
          <reference field="11" count="1" selected="0">
            <x v="69"/>
          </reference>
          <reference field="12" count="1">
            <x v="34"/>
          </reference>
        </references>
      </pivotArea>
    </format>
    <format dxfId="822">
      <pivotArea dataOnly="0" labelOnly="1" outline="0" fieldPosition="0">
        <references count="3">
          <reference field="5" count="1" selected="0">
            <x v="6"/>
          </reference>
          <reference field="11" count="1" selected="0">
            <x v="9"/>
          </reference>
          <reference field="12" count="1">
            <x v="36"/>
          </reference>
        </references>
      </pivotArea>
    </format>
    <format dxfId="821">
      <pivotArea dataOnly="0" labelOnly="1" outline="0" fieldPosition="0">
        <references count="3">
          <reference field="5" count="1" selected="0">
            <x v="6"/>
          </reference>
          <reference field="11" count="1" selected="0">
            <x v="12"/>
          </reference>
          <reference field="12" count="1">
            <x v="92"/>
          </reference>
        </references>
      </pivotArea>
    </format>
    <format dxfId="820">
      <pivotArea dataOnly="0" labelOnly="1" outline="0" fieldPosition="0">
        <references count="3">
          <reference field="5" count="1" selected="0">
            <x v="6"/>
          </reference>
          <reference field="11" count="1" selected="0">
            <x v="13"/>
          </reference>
          <reference field="12" count="1">
            <x v="98"/>
          </reference>
        </references>
      </pivotArea>
    </format>
    <format dxfId="819">
      <pivotArea dataOnly="0" labelOnly="1" outline="0" fieldPosition="0">
        <references count="3">
          <reference field="5" count="1" selected="0">
            <x v="6"/>
          </reference>
          <reference field="11" count="1" selected="0">
            <x v="14"/>
          </reference>
          <reference field="12" count="1">
            <x v="99"/>
          </reference>
        </references>
      </pivotArea>
    </format>
    <format dxfId="818">
      <pivotArea dataOnly="0" labelOnly="1" outline="0" fieldPosition="0">
        <references count="3">
          <reference field="5" count="1" selected="0">
            <x v="6"/>
          </reference>
          <reference field="11" count="1" selected="0">
            <x v="21"/>
          </reference>
          <reference field="12" count="1">
            <x v="38"/>
          </reference>
        </references>
      </pivotArea>
    </format>
    <format dxfId="817">
      <pivotArea dataOnly="0" labelOnly="1" outline="0" fieldPosition="0">
        <references count="3">
          <reference field="5" count="1" selected="0">
            <x v="6"/>
          </reference>
          <reference field="11" count="1" selected="0">
            <x v="22"/>
          </reference>
          <reference field="12" count="1">
            <x v="86"/>
          </reference>
        </references>
      </pivotArea>
    </format>
    <format dxfId="816">
      <pivotArea dataOnly="0" labelOnly="1" outline="0" fieldPosition="0">
        <references count="3">
          <reference field="5" count="1" selected="0">
            <x v="6"/>
          </reference>
          <reference field="11" count="1" selected="0">
            <x v="34"/>
          </reference>
          <reference field="12" count="1">
            <x v="39"/>
          </reference>
        </references>
      </pivotArea>
    </format>
    <format dxfId="815">
      <pivotArea dataOnly="0" labelOnly="1" outline="0" fieldPosition="0">
        <references count="3">
          <reference field="5" count="1" selected="0">
            <x v="6"/>
          </reference>
          <reference field="11" count="1" selected="0">
            <x v="45"/>
          </reference>
          <reference field="12" count="1">
            <x v="83"/>
          </reference>
        </references>
      </pivotArea>
    </format>
    <format dxfId="814">
      <pivotArea dataOnly="0" labelOnly="1" outline="0" fieldPosition="0">
        <references count="3">
          <reference field="5" count="1" selected="0">
            <x v="6"/>
          </reference>
          <reference field="11" count="1" selected="0">
            <x v="56"/>
          </reference>
          <reference field="12" count="1">
            <x v="87"/>
          </reference>
        </references>
      </pivotArea>
    </format>
    <format dxfId="813">
      <pivotArea dataOnly="0" labelOnly="1" outline="0" fieldPosition="0">
        <references count="3">
          <reference field="5" count="1" selected="0">
            <x v="6"/>
          </reference>
          <reference field="11" count="1" selected="0">
            <x v="57"/>
          </reference>
          <reference field="12" count="1">
            <x v="100"/>
          </reference>
        </references>
      </pivotArea>
    </format>
    <format dxfId="812">
      <pivotArea dataOnly="0" labelOnly="1" outline="0" fieldPosition="0">
        <references count="3">
          <reference field="5" count="1" selected="0">
            <x v="6"/>
          </reference>
          <reference field="11" count="1" selected="0">
            <x v="58"/>
          </reference>
          <reference field="12" count="1">
            <x v="101"/>
          </reference>
        </references>
      </pivotArea>
    </format>
    <format dxfId="811">
      <pivotArea dataOnly="0" labelOnly="1" outline="0" fieldPosition="0">
        <references count="3">
          <reference field="5" count="1" selected="0">
            <x v="6"/>
          </reference>
          <reference field="11" count="1" selected="0">
            <x v="76"/>
          </reference>
          <reference field="12" count="1">
            <x v="42"/>
          </reference>
        </references>
      </pivotArea>
    </format>
    <format dxfId="810">
      <pivotArea dataOnly="0" labelOnly="1" outline="0" fieldPosition="0">
        <references count="3">
          <reference field="5" count="1" selected="0">
            <x v="6"/>
          </reference>
          <reference field="11" count="1" selected="0">
            <x v="90"/>
          </reference>
          <reference field="12" count="1">
            <x v="43"/>
          </reference>
        </references>
      </pivotArea>
    </format>
    <format dxfId="809">
      <pivotArea dataOnly="0" labelOnly="1" outline="0" fieldPosition="0">
        <references count="3">
          <reference field="5" count="1" selected="0">
            <x v="6"/>
          </reference>
          <reference field="11" count="1" selected="0">
            <x v="97"/>
          </reference>
          <reference field="12" count="1">
            <x v="82"/>
          </reference>
        </references>
      </pivotArea>
    </format>
    <format dxfId="808">
      <pivotArea dataOnly="0" labelOnly="1" outline="0" fieldPosition="0">
        <references count="3">
          <reference field="5" count="1" selected="0">
            <x v="7"/>
          </reference>
          <reference field="11" count="1" selected="0">
            <x v="31"/>
          </reference>
          <reference field="12" count="1">
            <x v="12"/>
          </reference>
        </references>
      </pivotArea>
    </format>
    <format dxfId="807">
      <pivotArea dataOnly="0" labelOnly="1" outline="0" fieldPosition="0">
        <references count="3">
          <reference field="5" count="1" selected="0">
            <x v="7"/>
          </reference>
          <reference field="11" count="1" selected="0">
            <x v="86"/>
          </reference>
          <reference field="12" count="1">
            <x v="13"/>
          </reference>
        </references>
      </pivotArea>
    </format>
    <format dxfId="806">
      <pivotArea dataOnly="0" labelOnly="1" outline="0" fieldPosition="0">
        <references count="1">
          <reference field="4294967294" count="3">
            <x v="0"/>
            <x v="1"/>
            <x v="2"/>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G67" firstHeaderRow="0" firstDataRow="1" firstDataCol="3" rowPageCount="2" colPageCount="1"/>
  <pivotFields count="37">
    <pivotField axis="axisPage" compact="0" outline="0" multipleItemSelectionAllowed="1" showAll="0">
      <items count="6">
        <item x="1"/>
        <item h="1"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x="3"/>
        <item x="7"/>
        <item x="8"/>
        <item x="0"/>
        <item x="2"/>
        <item x="9"/>
        <item x="1"/>
        <item x="5"/>
        <item x="4"/>
        <item x="6"/>
        <item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compact="0" outline="0" showAll="0" defaultSubtotal="0">
      <items count="7">
        <item x="1"/>
        <item x="2"/>
        <item x="5"/>
        <item x="6"/>
        <item x="0"/>
        <item x="3"/>
        <item x="4"/>
      </items>
    </pivotField>
    <pivotField compact="0" outline="0" showAll="0"/>
    <pivotField compact="0" outline="0" showAll="0"/>
    <pivotField compact="0" numFmtId="15" outline="0" showAll="0"/>
    <pivotField compact="0" outline="0" showAll="0"/>
    <pivotField compact="0" outline="0" showAll="0" defaultSubtotal="0">
      <items count="7">
        <item x="6"/>
        <item x="0"/>
        <item x="3"/>
        <item x="5"/>
        <item x="1"/>
        <item x="4"/>
        <item x="2"/>
      </items>
    </pivotField>
    <pivotField compact="0" numFmtId="9" outline="0" showAll="0" defaultSubtotal="0"/>
    <pivotField compact="0" outline="0"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3">
    <field x="5"/>
    <field x="11"/>
    <field x="12"/>
  </rowFields>
  <rowItems count="59">
    <i>
      <x v="1"/>
      <x v="5"/>
      <x v="80"/>
    </i>
    <i r="1">
      <x v="10"/>
      <x v="75"/>
    </i>
    <i r="1">
      <x v="15"/>
      <x v="95"/>
    </i>
    <i r="1">
      <x v="31"/>
      <x v="77"/>
    </i>
    <i r="1">
      <x v="35"/>
      <x v="76"/>
    </i>
    <i r="1">
      <x v="36"/>
      <x v="74"/>
    </i>
    <i r="1">
      <x v="39"/>
      <x v="79"/>
    </i>
    <i r="1">
      <x v="45"/>
      <x v="72"/>
    </i>
    <i r="1">
      <x v="85"/>
      <x v="73"/>
    </i>
    <i r="1">
      <x v="100"/>
      <x v="96"/>
    </i>
    <i r="1">
      <x v="101"/>
      <x v="97"/>
    </i>
    <i t="default">
      <x v="1"/>
    </i>
    <i>
      <x v="2"/>
      <x v="49"/>
      <x v="3"/>
    </i>
    <i r="1">
      <x v="91"/>
      <x v="6"/>
    </i>
    <i t="default">
      <x v="2"/>
    </i>
    <i>
      <x v="3"/>
      <x v="80"/>
      <x v="85"/>
    </i>
    <i t="default">
      <x v="3"/>
    </i>
    <i>
      <x v="4"/>
      <x v="65"/>
      <x v="35"/>
    </i>
    <i r="1">
      <x v="66"/>
      <x v="34"/>
    </i>
    <i t="default">
      <x v="4"/>
    </i>
    <i>
      <x v="6"/>
      <x v="6"/>
      <x v="65"/>
    </i>
    <i r="1">
      <x v="11"/>
      <x v="37"/>
    </i>
    <i r="1">
      <x v="16"/>
      <x v="48"/>
    </i>
    <i r="1">
      <x v="17"/>
      <x v="49"/>
    </i>
    <i r="1">
      <x v="18"/>
      <x v="55"/>
    </i>
    <i r="1">
      <x v="19"/>
      <x v="56"/>
    </i>
    <i r="1">
      <x v="20"/>
      <x v="52"/>
    </i>
    <i r="1">
      <x v="23"/>
      <x v="54"/>
    </i>
    <i r="1">
      <x v="25"/>
      <x v="69"/>
    </i>
    <i r="1">
      <x v="26"/>
      <x v="57"/>
    </i>
    <i r="1">
      <x v="27"/>
      <x v="91"/>
    </i>
    <i r="1">
      <x v="28"/>
      <x v="46"/>
    </i>
    <i r="1">
      <x v="32"/>
      <x v="67"/>
    </i>
    <i r="1">
      <x v="40"/>
      <x v="58"/>
    </i>
    <i r="1">
      <x v="42"/>
      <x v="50"/>
    </i>
    <i r="1">
      <x v="43"/>
      <x v="68"/>
    </i>
    <i r="1">
      <x v="46"/>
      <x v="51"/>
    </i>
    <i r="1">
      <x v="48"/>
      <x v="59"/>
    </i>
    <i r="1">
      <x v="56"/>
      <x v="40"/>
    </i>
    <i r="1">
      <x v="57"/>
      <x v="81"/>
    </i>
    <i r="1">
      <x v="58"/>
      <x v="88"/>
    </i>
    <i r="1">
      <x v="59"/>
      <x v="89"/>
    </i>
    <i r="1">
      <x v="60"/>
      <x v="47"/>
    </i>
    <i r="1">
      <x v="63"/>
      <x v="41"/>
    </i>
    <i r="1">
      <x v="64"/>
      <x v="60"/>
    </i>
    <i r="1">
      <x v="70"/>
      <x v="94"/>
    </i>
    <i r="1">
      <x v="77"/>
      <x v="61"/>
    </i>
    <i r="1">
      <x v="78"/>
      <x v="64"/>
    </i>
    <i r="1">
      <x v="81"/>
      <x v="62"/>
    </i>
    <i r="1">
      <x v="88"/>
      <x v="90"/>
    </i>
    <i r="1">
      <x v="89"/>
      <x v="44"/>
    </i>
    <i r="1">
      <x v="90"/>
      <x v="66"/>
    </i>
    <i r="1">
      <x v="92"/>
      <x v="63"/>
    </i>
    <i r="1">
      <x v="96"/>
      <x v="71"/>
    </i>
    <i r="1">
      <x v="97"/>
      <x v="70"/>
    </i>
    <i t="default">
      <x v="6"/>
    </i>
    <i>
      <x v="9"/>
      <x v="47"/>
      <x v="10"/>
    </i>
    <i t="default">
      <x v="9"/>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45">
    <format dxfId="805">
      <pivotArea dataOnly="0" outline="0" fieldPosition="0">
        <references count="1">
          <reference field="5" count="0" defaultSubtotal="1"/>
        </references>
      </pivotArea>
    </format>
    <format dxfId="804">
      <pivotArea outline="0" fieldPosition="0">
        <references count="1">
          <reference field="4294967294" count="1">
            <x v="0"/>
          </reference>
        </references>
      </pivotArea>
    </format>
    <format dxfId="803">
      <pivotArea field="5" type="button" dataOnly="0" labelOnly="1" outline="0" axis="axisRow" fieldPosition="0"/>
    </format>
    <format dxfId="802">
      <pivotArea field="29" type="button" dataOnly="0" labelOnly="1" outline="0"/>
    </format>
    <format dxfId="801">
      <pivotArea field="28" type="button" dataOnly="0" labelOnly="1" outline="0"/>
    </format>
    <format dxfId="800">
      <pivotArea field="11" type="button" dataOnly="0" labelOnly="1" outline="0" axis="axisRow" fieldPosition="1"/>
    </format>
    <format dxfId="799">
      <pivotArea dataOnly="0" labelOnly="1" outline="0" axis="axisValues" fieldPosition="0"/>
    </format>
    <format dxfId="798">
      <pivotArea outline="0" collapsedLevelsAreSubtotals="1" fieldPosition="0">
        <references count="1">
          <reference field="5" count="1" selected="0" defaultSubtotal="1">
            <x v="3"/>
          </reference>
        </references>
      </pivotArea>
    </format>
    <format dxfId="797">
      <pivotArea dataOnly="0" labelOnly="1" outline="0" fieldPosition="0">
        <references count="1">
          <reference field="5" count="1" defaultSubtotal="1">
            <x v="3"/>
          </reference>
        </references>
      </pivotArea>
    </format>
    <format dxfId="796">
      <pivotArea dataOnly="0" labelOnly="1" outline="0" fieldPosition="0">
        <references count="1">
          <reference field="5" count="1" defaultSubtotal="1">
            <x v="6"/>
          </reference>
        </references>
      </pivotArea>
    </format>
    <format dxfId="795">
      <pivotArea grandRow="1" outline="0" collapsedLevelsAreSubtotals="1" fieldPosition="0"/>
    </format>
    <format dxfId="794">
      <pivotArea dataOnly="0" labelOnly="1" grandRow="1" outline="0" fieldPosition="0"/>
    </format>
    <format dxfId="793">
      <pivotArea type="all" dataOnly="0" outline="0" fieldPosition="0"/>
    </format>
    <format dxfId="792">
      <pivotArea dataOnly="0" labelOnly="1" outline="0" fieldPosition="0">
        <references count="1">
          <reference field="11" count="0"/>
        </references>
      </pivotArea>
    </format>
    <format dxfId="791">
      <pivotArea dataOnly="0" labelOnly="1" outline="0" fieldPosition="0">
        <references count="1">
          <reference field="5" count="0"/>
        </references>
      </pivotArea>
    </format>
    <format dxfId="790">
      <pivotArea dataOnly="0" labelOnly="1" outline="0" fieldPosition="0">
        <references count="1">
          <reference field="5" count="1" defaultSubtotal="1">
            <x v="3"/>
          </reference>
        </references>
      </pivotArea>
    </format>
    <format dxfId="789">
      <pivotArea field="11" type="button" dataOnly="0" labelOnly="1" outline="0" axis="axisRow" fieldPosition="1"/>
    </format>
    <format dxfId="788">
      <pivotArea field="12" type="button" dataOnly="0" labelOnly="1" outline="0" axis="axisRow" fieldPosition="2"/>
    </format>
    <format dxfId="787">
      <pivotArea outline="0" collapsedLevelsAreSubtotals="1" fieldPosition="0">
        <references count="1">
          <reference field="4294967294" count="1" selected="0">
            <x v="0"/>
          </reference>
        </references>
      </pivotArea>
    </format>
    <format dxfId="786">
      <pivotArea dataOnly="0" labelOnly="1" outline="0" fieldPosition="0">
        <references count="1">
          <reference field="4294967294" count="1">
            <x v="0"/>
          </reference>
        </references>
      </pivotArea>
    </format>
    <format dxfId="785">
      <pivotArea outline="0" collapsedLevelsAreSubtotals="1" fieldPosition="0">
        <references count="1">
          <reference field="4294967294" count="1" selected="0">
            <x v="0"/>
          </reference>
        </references>
      </pivotArea>
    </format>
    <format dxfId="784">
      <pivotArea dataOnly="0" labelOnly="1" outline="0" fieldPosition="0">
        <references count="1">
          <reference field="4294967294" count="1">
            <x v="0"/>
          </reference>
        </references>
      </pivotArea>
    </format>
    <format dxfId="783">
      <pivotArea dataOnly="0" labelOnly="1" outline="0" fieldPosition="0">
        <references count="1">
          <reference field="5" count="1" defaultSubtotal="1">
            <x v="3"/>
          </reference>
        </references>
      </pivotArea>
    </format>
    <format dxfId="782">
      <pivotArea outline="0" collapsedLevelsAreSubtotals="1" fieldPosition="0">
        <references count="1">
          <reference field="5" count="1" selected="0" defaultSubtotal="1">
            <x v="3"/>
          </reference>
        </references>
      </pivotArea>
    </format>
    <format dxfId="781">
      <pivotArea dataOnly="0" labelOnly="1" outline="0" fieldPosition="0">
        <references count="1">
          <reference field="5" count="1" defaultSubtotal="1">
            <x v="6"/>
          </reference>
        </references>
      </pivotArea>
    </format>
    <format dxfId="780">
      <pivotArea outline="0" collapsedLevelsAreSubtotals="1" fieldPosition="0">
        <references count="1">
          <reference field="4294967294" count="1" selected="0">
            <x v="1"/>
          </reference>
        </references>
      </pivotArea>
    </format>
    <format dxfId="779">
      <pivotArea dataOnly="0" labelOnly="1" outline="0" fieldPosition="0">
        <references count="1">
          <reference field="4294967294" count="1">
            <x v="1"/>
          </reference>
        </references>
      </pivotArea>
    </format>
    <format dxfId="778">
      <pivotArea field="34" type="button" dataOnly="0" labelOnly="1" outline="0"/>
    </format>
    <format dxfId="777">
      <pivotArea outline="0" collapsedLevelsAreSubtotals="1" fieldPosition="0">
        <references count="1">
          <reference field="5" count="1" selected="0" defaultSubtotal="1">
            <x v="3"/>
          </reference>
        </references>
      </pivotArea>
    </format>
    <format dxfId="776">
      <pivotArea dataOnly="0" labelOnly="1" grandRow="1" outline="0" fieldPosition="0"/>
    </format>
    <format dxfId="775">
      <pivotArea grandRow="1" outline="0" collapsedLevelsAreSubtotals="1" fieldPosition="0"/>
    </format>
    <format dxfId="774">
      <pivotArea dataOnly="0" labelOnly="1" grandRow="1" outline="0" fieldPosition="0"/>
    </format>
    <format dxfId="773">
      <pivotArea type="all" dataOnly="0" outline="0" fieldPosition="0"/>
    </format>
    <format dxfId="772">
      <pivotArea outline="0" collapsedLevelsAreSubtotals="1" fieldPosition="0"/>
    </format>
    <format dxfId="771">
      <pivotArea dataOnly="0" labelOnly="1" outline="0" fieldPosition="0">
        <references count="1">
          <reference field="5" count="0"/>
        </references>
      </pivotArea>
    </format>
    <format dxfId="770">
      <pivotArea dataOnly="0" labelOnly="1" outline="0" fieldPosition="0">
        <references count="1">
          <reference field="5" count="0" defaultSubtotal="1"/>
        </references>
      </pivotArea>
    </format>
    <format dxfId="769">
      <pivotArea dataOnly="0" labelOnly="1" grandRow="1" outline="0" fieldPosition="0"/>
    </format>
    <format dxfId="768">
      <pivotArea dataOnly="0" labelOnly="1" outline="0" fieldPosition="0">
        <references count="1">
          <reference field="4294967294" count="3">
            <x v="0"/>
            <x v="1"/>
            <x v="2"/>
          </reference>
        </references>
      </pivotArea>
    </format>
    <format dxfId="767">
      <pivotArea type="all" dataOnly="0" outline="0" fieldPosition="0"/>
    </format>
    <format dxfId="766">
      <pivotArea outline="0" collapsedLevelsAreSubtotals="1" fieldPosition="0">
        <references count="1">
          <reference field="4294967294" count="1" selected="0">
            <x v="2"/>
          </reference>
        </references>
      </pivotArea>
    </format>
    <format dxfId="765">
      <pivotArea dataOnly="0" labelOnly="1" outline="0" fieldPosition="0">
        <references count="1">
          <reference field="4294967294" count="1">
            <x v="2"/>
          </reference>
        </references>
      </pivotArea>
    </format>
    <format dxfId="764">
      <pivotArea field="5" grandRow="1" outline="0" collapsedLevelsAreSubtotals="1" axis="axisRow" fieldPosition="0">
        <references count="1">
          <reference field="4294967294" count="1" selected="0">
            <x v="2"/>
          </reference>
        </references>
      </pivotArea>
    </format>
    <format dxfId="763">
      <pivotArea dataOnly="0" labelOnly="1" outline="0" fieldPosition="0">
        <references count="2">
          <reference field="5" count="1" selected="0">
            <x v="6"/>
          </reference>
          <reference field="11" count="35">
            <x v="6"/>
            <x v="11"/>
            <x v="16"/>
            <x v="17"/>
            <x v="18"/>
            <x v="19"/>
            <x v="20"/>
            <x v="23"/>
            <x v="25"/>
            <x v="26"/>
            <x v="27"/>
            <x v="28"/>
            <x v="32"/>
            <x v="40"/>
            <x v="42"/>
            <x v="43"/>
            <x v="46"/>
            <x v="48"/>
            <x v="56"/>
            <x v="57"/>
            <x v="58"/>
            <x v="59"/>
            <x v="60"/>
            <x v="63"/>
            <x v="64"/>
            <x v="70"/>
            <x v="77"/>
            <x v="78"/>
            <x v="81"/>
            <x v="88"/>
            <x v="89"/>
            <x v="90"/>
            <x v="92"/>
            <x v="96"/>
            <x v="97"/>
          </reference>
        </references>
      </pivotArea>
    </format>
    <format dxfId="762">
      <pivotArea dataOnly="0" labelOnly="1" outline="0" fieldPosition="0">
        <references count="2">
          <reference field="5" count="1" selected="0">
            <x v="2"/>
          </reference>
          <reference field="11" count="2">
            <x v="49"/>
            <x v="91"/>
          </reference>
        </references>
      </pivotArea>
    </format>
    <format dxfId="761">
      <pivotArea dataOnly="0" labelOnly="1" outline="0" fieldPosition="0">
        <references count="2">
          <reference field="5" count="1" selected="0">
            <x v="1"/>
          </reference>
          <reference field="11" count="11">
            <x v="5"/>
            <x v="10"/>
            <x v="15"/>
            <x v="31"/>
            <x v="35"/>
            <x v="36"/>
            <x v="39"/>
            <x v="45"/>
            <x v="85"/>
            <x v="100"/>
            <x v="101"/>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
  <location ref="D38:E40" firstHeaderRow="1" firstDataRow="1" firstDataCol="1"/>
  <pivotFields count="27">
    <pivotField showAll="0"/>
    <pivotField showAll="0"/>
    <pivotField showAll="0"/>
    <pivotField showAll="0"/>
    <pivotField axis="axisRow" showAll="0">
      <items count="14">
        <item h="1" m="1" x="12"/>
        <item h="1" x="2"/>
        <item h="1" x="3"/>
        <item h="1" x="8"/>
        <item h="1" x="4"/>
        <item h="1" m="1" x="9"/>
        <item h="1" x="5"/>
        <item h="1" x="6"/>
        <item h="1" x="1"/>
        <item h="1" m="1" x="11"/>
        <item h="1" x="7"/>
        <item x="0"/>
        <item h="1" m="1" x="10"/>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2">
    <i>
      <x v="11"/>
    </i>
    <i t="grand">
      <x/>
    </i>
  </rowItems>
  <colItems count="1">
    <i/>
  </colItems>
  <dataFields count="1">
    <dataField name="Sum of # Informal /Makeshift Shelter Built" fld="15" baseField="4" baseItem="1"/>
  </dataFields>
  <formats count="6">
    <format dxfId="676">
      <pivotArea type="all" dataOnly="0" outline="0" fieldPosition="0"/>
    </format>
    <format dxfId="675">
      <pivotArea outline="0" collapsedLevelsAreSubtotals="1" fieldPosition="0"/>
    </format>
    <format dxfId="674">
      <pivotArea field="4" type="button" dataOnly="0" labelOnly="1" outline="0" axis="axisRow" fieldPosition="0"/>
    </format>
    <format dxfId="673">
      <pivotArea dataOnly="0" labelOnly="1" outline="0" axis="axisValues" fieldPosition="0"/>
    </format>
    <format dxfId="672">
      <pivotArea dataOnly="0" labelOnly="1" fieldPosition="0">
        <references count="1">
          <reference field="4" count="0"/>
        </references>
      </pivotArea>
    </format>
    <format dxfId="671">
      <pivotArea dataOnly="0" labelOnly="1" grandRow="1" outline="0" fieldPosition="0"/>
    </format>
  </format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3" rowHeaderCaption="Agency">
  <location ref="D26:E32" firstHeaderRow="1" firstDataRow="1" firstDataCol="1"/>
  <pivotFields count="27">
    <pivotField showAll="0"/>
    <pivotField axis="axisRow" showAll="0">
      <items count="18">
        <item h="1" x="11"/>
        <item h="1" x="8"/>
        <item x="2"/>
        <item h="1" x="12"/>
        <item h="1" x="1"/>
        <item h="1" x="13"/>
        <item h="1" x="16"/>
        <item x="4"/>
        <item h="1" x="15"/>
        <item x="3"/>
        <item x="7"/>
        <item h="1" x="0"/>
        <item h="1" x="5"/>
        <item h="1" x="9"/>
        <item x="6"/>
        <item h="1" x="10"/>
        <item h="1" x="14"/>
        <item t="default"/>
      </items>
    </pivotField>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defaultSubtotal="0"/>
    <pivotField dataField="1" showAll="0" defaultSubtotal="0"/>
    <pivotField showAll="0" defaultSubtotal="0"/>
    <pivotField showAll="0"/>
    <pivotField showAll="0"/>
    <pivotField showAll="0"/>
    <pivotField showAll="0"/>
    <pivotField showAll="0"/>
    <pivotField showAll="0"/>
    <pivotField showAll="0"/>
    <pivotField showAll="0"/>
  </pivotFields>
  <rowFields count="1">
    <field x="1"/>
  </rowFields>
  <rowItems count="6">
    <i>
      <x v="2"/>
    </i>
    <i>
      <x v="7"/>
    </i>
    <i>
      <x v="9"/>
    </i>
    <i>
      <x v="10"/>
    </i>
    <i>
      <x v="14"/>
    </i>
    <i t="grand">
      <x/>
    </i>
  </rowItems>
  <colItems count="1">
    <i/>
  </colItems>
  <dataFields count="1">
    <dataField name="Sum of # of Individual House Built" fld="17" baseField="1" baseItem="0"/>
  </dataFields>
  <formats count="6">
    <format dxfId="682">
      <pivotArea type="all" dataOnly="0" outline="0" fieldPosition="0"/>
    </format>
    <format dxfId="681">
      <pivotArea outline="0" collapsedLevelsAreSubtotals="1" fieldPosition="0"/>
    </format>
    <format dxfId="680">
      <pivotArea field="1" type="button" dataOnly="0" labelOnly="1" outline="0" axis="axisRow" fieldPosition="0"/>
    </format>
    <format dxfId="679">
      <pivotArea dataOnly="0" labelOnly="1" outline="0" axis="axisValues" fieldPosition="0"/>
    </format>
    <format dxfId="678">
      <pivotArea dataOnly="0" labelOnly="1" fieldPosition="0">
        <references count="1">
          <reference field="1" count="0"/>
        </references>
      </pivotArea>
    </format>
    <format dxfId="677">
      <pivotArea dataOnly="0" labelOnly="1" grandRow="1" outline="0" fieldPosition="0"/>
    </format>
  </formats>
  <chartFormats count="2">
    <chartFormat chart="8" format="6" series="1">
      <pivotArea type="data" outline="0" fieldPosition="0">
        <references count="1">
          <reference field="4294967294" count="1" selected="0">
            <x v="0"/>
          </reference>
        </references>
      </pivotArea>
    </chartFormat>
    <chartFormat chart="8" format="7">
      <pivotArea type="data" outline="0" fieldPosition="0">
        <references count="2">
          <reference field="4294967294" count="1" selected="0">
            <x v="0"/>
          </reference>
          <reference field="1"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4" rowHeaderCaption="Agency">
  <location ref="A28:B40" firstHeaderRow="1" firstDataRow="1" firstDataCol="1" rowPageCount="1" colPageCount="1"/>
  <pivotFields count="27">
    <pivotField showAll="0" defaultSubtotal="0"/>
    <pivotField axis="axisRow" showAll="0" sortType="descending">
      <items count="18">
        <item x="11"/>
        <item x="8"/>
        <item x="2"/>
        <item x="1"/>
        <item x="13"/>
        <item x="16"/>
        <item x="5"/>
        <item x="6"/>
        <item x="14"/>
        <item x="12"/>
        <item x="15"/>
        <item h="1" x="10"/>
        <item h="1" x="9"/>
        <item h="1" x="3"/>
        <item h="1" x="4"/>
        <item h="1" x="7"/>
        <item h="1" x="0"/>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2"/>
    </i>
    <i>
      <x v="7"/>
    </i>
    <i>
      <x/>
    </i>
    <i>
      <x v="1"/>
    </i>
    <i>
      <x v="10"/>
    </i>
    <i>
      <x v="5"/>
    </i>
    <i>
      <x v="3"/>
    </i>
    <i>
      <x v="8"/>
    </i>
    <i>
      <x v="4"/>
    </i>
    <i>
      <x v="6"/>
    </i>
    <i>
      <x v="9"/>
    </i>
    <i t="grand">
      <x/>
    </i>
  </rowItems>
  <colItems count="1">
    <i/>
  </colItems>
  <pageFields count="1">
    <pageField fld="3" hier="-1"/>
  </pageFields>
  <dataFields count="1">
    <dataField name="# of Temporary Shelter Built " fld="10" baseField="1" baseItem="5"/>
  </dataFields>
  <formats count="8">
    <format dxfId="690">
      <pivotArea field="3" type="button" dataOnly="0" labelOnly="1" outline="0" axis="axisPage" fieldPosition="0"/>
    </format>
    <format dxfId="689">
      <pivotArea dataOnly="0" labelOnly="1" outline="0" fieldPosition="0">
        <references count="1">
          <reference field="3" count="0"/>
        </references>
      </pivotArea>
    </format>
    <format dxfId="688">
      <pivotArea field="1" type="button" dataOnly="0" labelOnly="1" outline="0" axis="axisRow" fieldPosition="0"/>
    </format>
    <format dxfId="687">
      <pivotArea dataOnly="0" labelOnly="1" outline="0" axis="axisValues" fieldPosition="0"/>
    </format>
    <format dxfId="686">
      <pivotArea collapsedLevelsAreSubtotals="1" fieldPosition="0">
        <references count="1">
          <reference field="1" count="0"/>
        </references>
      </pivotArea>
    </format>
    <format dxfId="685">
      <pivotArea dataOnly="0" labelOnly="1" fieldPosition="0">
        <references count="1">
          <reference field="1" count="0"/>
        </references>
      </pivotArea>
    </format>
    <format dxfId="684">
      <pivotArea grandRow="1" outline="0" collapsedLevelsAreSubtotals="1" fieldPosition="0"/>
    </format>
    <format dxfId="683">
      <pivotArea dataOnly="0" labelOnly="1" grandRow="1" outline="0" fieldPosition="0"/>
    </format>
  </formats>
  <chartFormats count="24">
    <chartFormat chart="2" format="9"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 chart="15" format="36">
      <pivotArea type="data" outline="0" fieldPosition="0">
        <references count="2">
          <reference field="4294967294" count="1" selected="0">
            <x v="0"/>
          </reference>
          <reference field="1" count="1" selected="0">
            <x v="2"/>
          </reference>
        </references>
      </pivotArea>
    </chartFormat>
    <chartFormat chart="15" format="37">
      <pivotArea type="data" outline="0" fieldPosition="0">
        <references count="2">
          <reference field="4294967294" count="1" selected="0">
            <x v="0"/>
          </reference>
          <reference field="1" count="1" selected="0">
            <x v="7"/>
          </reference>
        </references>
      </pivotArea>
    </chartFormat>
    <chartFormat chart="15" format="38">
      <pivotArea type="data" outline="0" fieldPosition="0">
        <references count="2">
          <reference field="4294967294" count="1" selected="0">
            <x v="0"/>
          </reference>
          <reference field="1" count="1" selected="0">
            <x v="0"/>
          </reference>
        </references>
      </pivotArea>
    </chartFormat>
    <chartFormat chart="15" format="39">
      <pivotArea type="data" outline="0" fieldPosition="0">
        <references count="2">
          <reference field="4294967294" count="1" selected="0">
            <x v="0"/>
          </reference>
          <reference field="1" count="1" selected="0">
            <x v="1"/>
          </reference>
        </references>
      </pivotArea>
    </chartFormat>
    <chartFormat chart="15" format="40">
      <pivotArea type="data" outline="0" fieldPosition="0">
        <references count="2">
          <reference field="4294967294" count="1" selected="0">
            <x v="0"/>
          </reference>
          <reference field="1" count="1" selected="0">
            <x v="10"/>
          </reference>
        </references>
      </pivotArea>
    </chartFormat>
    <chartFormat chart="15" format="41">
      <pivotArea type="data" outline="0" fieldPosition="0">
        <references count="2">
          <reference field="4294967294" count="1" selected="0">
            <x v="0"/>
          </reference>
          <reference field="1" count="1" selected="0">
            <x v="5"/>
          </reference>
        </references>
      </pivotArea>
    </chartFormat>
    <chartFormat chart="15" format="42">
      <pivotArea type="data" outline="0" fieldPosition="0">
        <references count="2">
          <reference field="4294967294" count="1" selected="0">
            <x v="0"/>
          </reference>
          <reference field="1" count="1" selected="0">
            <x v="3"/>
          </reference>
        </references>
      </pivotArea>
    </chartFormat>
    <chartFormat chart="15" format="43">
      <pivotArea type="data" outline="0" fieldPosition="0">
        <references count="2">
          <reference field="4294967294" count="1" selected="0">
            <x v="0"/>
          </reference>
          <reference field="1" count="1" selected="0">
            <x v="8"/>
          </reference>
        </references>
      </pivotArea>
    </chartFormat>
    <chartFormat chart="15" format="44">
      <pivotArea type="data" outline="0" fieldPosition="0">
        <references count="2">
          <reference field="4294967294" count="1" selected="0">
            <x v="0"/>
          </reference>
          <reference field="1" count="1" selected="0">
            <x v="4"/>
          </reference>
        </references>
      </pivotArea>
    </chartFormat>
    <chartFormat chart="15" format="45">
      <pivotArea type="data" outline="0" fieldPosition="0">
        <references count="2">
          <reference field="4294967294" count="1" selected="0">
            <x v="0"/>
          </reference>
          <reference field="1" count="1" selected="0">
            <x v="6"/>
          </reference>
        </references>
      </pivotArea>
    </chartFormat>
    <chartFormat chart="15" format="46">
      <pivotArea type="data" outline="0" fieldPosition="0">
        <references count="2">
          <reference field="4294967294" count="1" selected="0">
            <x v="0"/>
          </reference>
          <reference field="1" count="1" selected="0">
            <x v="9"/>
          </reference>
        </references>
      </pivotArea>
    </chartFormat>
    <chartFormat chart="2" format="10">
      <pivotArea type="data" outline="0" fieldPosition="0">
        <references count="2">
          <reference field="4294967294" count="1" selected="0">
            <x v="0"/>
          </reference>
          <reference field="1" count="1" selected="0">
            <x v="9"/>
          </reference>
        </references>
      </pivotArea>
    </chartFormat>
    <chartFormat chart="2" format="11">
      <pivotArea type="data" outline="0" fieldPosition="0">
        <references count="2">
          <reference field="4294967294" count="1" selected="0">
            <x v="0"/>
          </reference>
          <reference field="1" count="1" selected="0">
            <x v="6"/>
          </reference>
        </references>
      </pivotArea>
    </chartFormat>
    <chartFormat chart="2" format="12">
      <pivotArea type="data" outline="0" fieldPosition="0">
        <references count="2">
          <reference field="4294967294" count="1" selected="0">
            <x v="0"/>
          </reference>
          <reference field="1" count="1" selected="0">
            <x v="4"/>
          </reference>
        </references>
      </pivotArea>
    </chartFormat>
    <chartFormat chart="2" format="13">
      <pivotArea type="data" outline="0" fieldPosition="0">
        <references count="2">
          <reference field="4294967294" count="1" selected="0">
            <x v="0"/>
          </reference>
          <reference field="1" count="1" selected="0">
            <x v="8"/>
          </reference>
        </references>
      </pivotArea>
    </chartFormat>
    <chartFormat chart="2" format="14">
      <pivotArea type="data" outline="0" fieldPosition="0">
        <references count="2">
          <reference field="4294967294" count="1" selected="0">
            <x v="0"/>
          </reference>
          <reference field="1" count="1" selected="0">
            <x v="3"/>
          </reference>
        </references>
      </pivotArea>
    </chartFormat>
    <chartFormat chart="2" format="15">
      <pivotArea type="data" outline="0" fieldPosition="0">
        <references count="2">
          <reference field="4294967294" count="1" selected="0">
            <x v="0"/>
          </reference>
          <reference field="1" count="1" selected="0">
            <x v="5"/>
          </reference>
        </references>
      </pivotArea>
    </chartFormat>
    <chartFormat chart="2" format="16">
      <pivotArea type="data" outline="0" fieldPosition="0">
        <references count="2">
          <reference field="4294967294" count="1" selected="0">
            <x v="0"/>
          </reference>
          <reference field="1" count="1" selected="0">
            <x v="10"/>
          </reference>
        </references>
      </pivotArea>
    </chartFormat>
    <chartFormat chart="2" format="17">
      <pivotArea type="data" outline="0" fieldPosition="0">
        <references count="2">
          <reference field="4294967294" count="1" selected="0">
            <x v="0"/>
          </reference>
          <reference field="1" count="1" selected="0">
            <x v="1"/>
          </reference>
        </references>
      </pivotArea>
    </chartFormat>
    <chartFormat chart="2" format="18">
      <pivotArea type="data" outline="0" fieldPosition="0">
        <references count="2">
          <reference field="4294967294" count="1" selected="0">
            <x v="0"/>
          </reference>
          <reference field="1" count="1" selected="0">
            <x v="0"/>
          </reference>
        </references>
      </pivotArea>
    </chartFormat>
    <chartFormat chart="2" format="19">
      <pivotArea type="data" outline="0" fieldPosition="0">
        <references count="2">
          <reference field="4294967294" count="1" selected="0">
            <x v="0"/>
          </reference>
          <reference field="1" count="1" selected="0">
            <x v="7"/>
          </reference>
        </references>
      </pivotArea>
    </chartFormat>
    <chartFormat chart="2" format="20">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29:B39" firstHeaderRow="1" firstDataRow="1" firstDataCol="1" rowPageCount="1" colPageCount="1"/>
  <pivotFields count="27">
    <pivotField showAll="0" defaultSubtotal="0"/>
    <pivotField showAll="0" sortType="ascending"/>
    <pivotField showAll="0" defaultSubtotal="0"/>
    <pivotField axis="axisPage" multipleItemSelectionAllowed="1" showAll="0">
      <items count="2">
        <item x="0"/>
        <item t="default"/>
      </items>
    </pivotField>
    <pivotField axis="axisRow" showAll="0" sortType="ascending">
      <items count="14">
        <item n="Kyaukpyu" m="1" x="12"/>
        <item x="3"/>
        <item x="8"/>
        <item x="4"/>
        <item m="1" x="9"/>
        <item x="6"/>
        <item x="1"/>
        <item m="1" x="11"/>
        <item x="7"/>
        <item x="0"/>
        <item n="Kyaukpyu2" x="2"/>
        <item x="5"/>
        <item m="1"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10">
    <i>
      <x v="8"/>
    </i>
    <i>
      <x v="2"/>
    </i>
    <i>
      <x v="10"/>
    </i>
    <i>
      <x v="11"/>
    </i>
    <i>
      <x v="5"/>
    </i>
    <i>
      <x v="3"/>
    </i>
    <i>
      <x v="1"/>
    </i>
    <i>
      <x v="6"/>
    </i>
    <i>
      <x v="9"/>
    </i>
    <i t="grand">
      <x/>
    </i>
  </rowItems>
  <colItems count="1">
    <i/>
  </colItems>
  <pageFields count="1">
    <pageField fld="3" hier="-1"/>
  </pageFields>
  <dataFields count="1">
    <dataField name="Sum of HH Covered" fld="19" baseField="0" baseItem="0"/>
  </dataFields>
  <formats count="4">
    <format dxfId="666">
      <pivotArea field="4" type="button" dataOnly="0" labelOnly="1" outline="0" axis="axisRow" fieldPosition="0"/>
    </format>
    <format dxfId="665">
      <pivotArea field="4" type="button" dataOnly="0" labelOnly="1" outline="0" axis="axisRow" fieldPosition="0"/>
    </format>
    <format dxfId="664">
      <pivotArea outline="0" collapsedLevelsAreSubtotals="1" fieldPosition="0"/>
    </format>
    <format dxfId="66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4" cacheId="5" applyNumberFormats="0" applyBorderFormats="0" applyFontFormats="0" applyPatternFormats="0" applyAlignmentFormats="0" applyWidthHeightFormats="1" dataCaption="Values" updatedVersion="5" minRefreshableVersion="3" showDrill="0" useAutoFormatting="1" itemPrintTitles="1" createdVersion="4" indent="0" compact="0" compactData="0" multipleFieldFilters="0">
  <location ref="A45:B54" firstHeaderRow="1" firstDataRow="1" firstDataCol="1" rowPageCount="1" colPageCount="1"/>
  <pivotFields count="27">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4">
        <item m="1" x="12"/>
        <item x="2"/>
        <item x="3"/>
        <item x="8"/>
        <item x="4"/>
        <item m="1" x="9"/>
        <item x="5"/>
        <item x="6"/>
        <item x="1"/>
        <item m="1" x="11"/>
        <item x="7"/>
        <item x="0"/>
        <item m="1"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axis="axisPage" compact="0" outline="0" multipleItemSelectionAllowed="1" showAll="0" defaultSubtotal="0">
      <items count="5">
        <item h="1" x="2"/>
        <item h="1" m="1" x="4"/>
        <item x="0"/>
        <item x="1"/>
        <item x="3"/>
      </items>
    </pivotField>
    <pivotField compact="0" outline="0" showAll="0" defaultSubtotal="0"/>
    <pivotField compact="0" outline="0" showAll="0" defaultSubtotal="0"/>
    <pivotField compact="0" outline="0" showAll="0" defaultSubtotal="0"/>
    <pivotField compact="0" outline="0" showAll="0" defaultSubtotal="0"/>
  </pivotFields>
  <rowFields count="1">
    <field x="4"/>
  </rowFields>
  <rowItems count="9">
    <i>
      <x v="1"/>
    </i>
    <i>
      <x v="2"/>
    </i>
    <i>
      <x v="4"/>
    </i>
    <i>
      <x v="6"/>
    </i>
    <i>
      <x v="7"/>
    </i>
    <i>
      <x v="8"/>
    </i>
    <i>
      <x v="10"/>
    </i>
    <i>
      <x v="11"/>
    </i>
    <i t="grand">
      <x/>
    </i>
  </rowItems>
  <colItems count="1">
    <i/>
  </colItems>
  <pageFields count="1">
    <pageField fld="22" hier="-1"/>
  </pageFields>
  <dataFields count="1">
    <dataField name="Sum of HH Covered" fld="19" baseField="0" baseItem="0"/>
  </data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5" minRefreshableVersion="3" itemPrintTitles="1" createdVersion="4" indent="0" showHeaders="0" outline="1" outlineData="1" multipleFieldFilters="0" chartFormat="26">
  <location ref="A7:B23" firstHeaderRow="1" firstDataRow="1" firstDataCol="1" rowPageCount="1" colPageCount="1"/>
  <pivotFields count="27">
    <pivotField showAll="0" defaultSubtotal="0"/>
    <pivotField axis="axisRow" showAll="0">
      <items count="18">
        <item x="11"/>
        <item x="8"/>
        <item x="2"/>
        <item x="12"/>
        <item x="1"/>
        <item x="13"/>
        <item x="16"/>
        <item x="15"/>
        <item x="5"/>
        <item x="9"/>
        <item x="6"/>
        <item x="10"/>
        <item x="14"/>
        <item x="3"/>
        <item x="4"/>
        <item x="7"/>
        <item x="0"/>
        <item t="default"/>
      </items>
    </pivotField>
    <pivotField showAll="0" defaultSubtotal="0"/>
    <pivotField multipleItemSelectionAllowed="1" showAll="0"/>
    <pivotField showAll="0" sortType="ascending">
      <items count="14">
        <item m="1" x="12"/>
        <item x="2"/>
        <item x="3"/>
        <item x="8"/>
        <item x="4"/>
        <item m="1" x="9"/>
        <item x="5"/>
        <item x="6"/>
        <item x="1"/>
        <item m="1" x="11"/>
        <item x="7"/>
        <item x="0"/>
        <item m="1" x="10"/>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axis="axisPage" showAll="0" defaultSubtotal="0">
      <items count="5">
        <item x="2"/>
        <item m="1" x="4"/>
        <item x="0"/>
        <item x="1"/>
        <item x="3"/>
      </items>
    </pivotField>
    <pivotField showAll="0" defaultSubtotal="0"/>
    <pivotField showAll="0" defaultSubtotal="0"/>
    <pivotField showAll="0" defaultSubtotal="0"/>
    <pivotField showAll="0" defaultSubtotal="0"/>
  </pivotFields>
  <rowFields count="1">
    <field x="1"/>
  </rowFields>
  <rowItems count="16">
    <i>
      <x/>
    </i>
    <i>
      <x v="1"/>
    </i>
    <i>
      <x v="2"/>
    </i>
    <i>
      <x v="3"/>
    </i>
    <i>
      <x v="4"/>
    </i>
    <i>
      <x v="5"/>
    </i>
    <i>
      <x v="6"/>
    </i>
    <i>
      <x v="7"/>
    </i>
    <i>
      <x v="8"/>
    </i>
    <i>
      <x v="10"/>
    </i>
    <i>
      <x v="12"/>
    </i>
    <i>
      <x v="13"/>
    </i>
    <i>
      <x v="14"/>
    </i>
    <i>
      <x v="15"/>
    </i>
    <i>
      <x v="16"/>
    </i>
    <i t="grand">
      <x/>
    </i>
  </rowItems>
  <colItems count="1">
    <i/>
  </colItems>
  <pageFields count="1">
    <pageField fld="22" item="2" hier="-1"/>
  </pageFields>
  <dataFields count="1">
    <dataField name="Sum of HH Covered 2" fld="20" baseField="1" baseItem="0"/>
  </dataFields>
  <formats count="4">
    <format dxfId="670">
      <pivotArea field="4" type="button" dataOnly="0" labelOnly="1" outline="0"/>
    </format>
    <format dxfId="669">
      <pivotArea field="4" type="button" dataOnly="0" labelOnly="1" outline="0"/>
    </format>
    <format dxfId="668">
      <pivotArea outline="0" collapsedLevelsAreSubtotals="1" fieldPosition="0"/>
    </format>
    <format dxfId="667">
      <pivotArea type="all" dataOnly="0" outline="0" fieldPosition="0"/>
    </format>
  </formats>
  <chartFormats count="1">
    <chartFormat chart="5"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5" cacheId="2"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1:D7" firstHeaderRow="1" firstDataRow="2" firstDataCol="1"/>
  <pivotFields count="10">
    <pivotField showAll="0"/>
    <pivotField showAll="0" defaultSubtotal="0"/>
    <pivotField showAll="0" defaultSubtotal="0"/>
    <pivotField showAll="0"/>
    <pivotField showAll="0" defaultSubtotal="0"/>
    <pivotField axis="axisRow" showAll="0">
      <items count="12">
        <item x="2"/>
        <item x="3"/>
        <item m="1" x="10"/>
        <item m="1" x="4"/>
        <item m="1" x="8"/>
        <item m="1" x="7"/>
        <item x="0"/>
        <item m="1" x="5"/>
        <item m="1" x="6"/>
        <item x="1"/>
        <item m="1" x="9"/>
        <item t="default"/>
      </items>
    </pivotField>
    <pivotField showAll="0" defaultSubtotal="0"/>
    <pivotField dataField="1" numFmtId="167" showAll="0"/>
    <pivotField axis="axisCol" showAll="0">
      <items count="7">
        <item x="1"/>
        <item m="1" x="5"/>
        <item m="1" x="4"/>
        <item m="1" x="2"/>
        <item m="1" x="3"/>
        <item x="0"/>
        <item t="default"/>
      </items>
    </pivotField>
    <pivotField showAll="0"/>
  </pivotFields>
  <rowFields count="1">
    <field x="5"/>
  </rowFields>
  <rowItems count="5">
    <i>
      <x/>
    </i>
    <i>
      <x v="1"/>
    </i>
    <i>
      <x v="6"/>
    </i>
    <i>
      <x v="9"/>
    </i>
    <i t="grand">
      <x/>
    </i>
  </rowItems>
  <colFields count="1">
    <field x="8"/>
  </colFields>
  <colItems count="3">
    <i>
      <x/>
    </i>
    <i>
      <x v="5"/>
    </i>
    <i t="grand">
      <x/>
    </i>
  </colItems>
  <dataFields count="1">
    <dataField name="Sum of Total" fld="7" baseField="0" baseItem="0"/>
  </dataFields>
  <formats count="3">
    <format dxfId="652">
      <pivotArea type="all" dataOnly="0" outline="0" fieldPosition="0"/>
    </format>
    <format dxfId="651">
      <pivotArea type="all" dataOnly="0" outline="0" fieldPosition="0"/>
    </format>
    <format dxfId="65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7"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Organization">
  <location ref="B48:B65" firstHeaderRow="1" firstDataRow="1" firstDataCol="1" rowPageCount="1" colPageCount="1"/>
  <pivotFields count="48">
    <pivotField showAll="0"/>
    <pivotField axis="axisPage" multipleItemSelectionAllowed="1" showAll="0">
      <items count="10">
        <item h="1" m="1" x="8"/>
        <item h="1" x="6"/>
        <item h="1" x="5"/>
        <item h="1" x="4"/>
        <item h="1" x="3"/>
        <item h="1" x="2"/>
        <item x="1"/>
        <item h="1" x="7"/>
        <item x="0"/>
        <item t="default"/>
      </items>
    </pivotField>
    <pivotField showAll="0"/>
    <pivotField axis="axisRow" showAll="0">
      <items count="31">
        <item x="25"/>
        <item x="21"/>
        <item x="9"/>
        <item x="7"/>
        <item x="16"/>
        <item x="19"/>
        <item x="24"/>
        <item x="18"/>
        <item h="1" x="13"/>
        <item x="15"/>
        <item x="17"/>
        <item x="11"/>
        <item x="23"/>
        <item x="10"/>
        <item x="12"/>
        <item x="20"/>
        <item x="1"/>
        <item x="5"/>
        <item m="1" x="28"/>
        <item x="22"/>
        <item x="2"/>
        <item x="4"/>
        <item m="1" x="29"/>
        <item x="14"/>
        <item m="1" x="27"/>
        <item x="26"/>
        <item x="8"/>
        <item x="6"/>
        <item x="0"/>
        <item x="3"/>
        <item t="default"/>
      </items>
    </pivotField>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showAll="0" defaultSubtotal="0"/>
  </pivotFields>
  <rowFields count="1">
    <field x="3"/>
  </rowFields>
  <rowItems count="17">
    <i>
      <x v="2"/>
    </i>
    <i>
      <x v="3"/>
    </i>
    <i>
      <x v="4"/>
    </i>
    <i>
      <x v="9"/>
    </i>
    <i>
      <x v="11"/>
    </i>
    <i>
      <x v="13"/>
    </i>
    <i>
      <x v="14"/>
    </i>
    <i>
      <x v="16"/>
    </i>
    <i>
      <x v="17"/>
    </i>
    <i>
      <x v="20"/>
    </i>
    <i>
      <x v="21"/>
    </i>
    <i>
      <x v="23"/>
    </i>
    <i>
      <x v="26"/>
    </i>
    <i>
      <x v="27"/>
    </i>
    <i>
      <x v="28"/>
    </i>
    <i>
      <x v="29"/>
    </i>
    <i t="grand">
      <x/>
    </i>
  </rowItems>
  <colItems count="1">
    <i/>
  </colItems>
  <pageFields count="1">
    <pageField fld="1" hier="-1"/>
  </pageFields>
  <formats count="12">
    <format dxfId="527">
      <pivotArea dataOnly="0" labelOnly="1" fieldPosition="0">
        <references count="1">
          <reference field="3" count="11">
            <x v="2"/>
            <x v="4"/>
            <x v="8"/>
            <x v="9"/>
            <x v="11"/>
            <x v="13"/>
            <x v="14"/>
            <x v="16"/>
            <x v="17"/>
            <x v="20"/>
            <x v="23"/>
          </reference>
        </references>
      </pivotArea>
    </format>
    <format dxfId="526">
      <pivotArea dataOnly="0" labelOnly="1" grandRow="1" outline="0" fieldPosition="0"/>
    </format>
    <format dxfId="525">
      <pivotArea dataOnly="0" labelOnly="1" grandRow="1" outline="0" fieldPosition="0"/>
    </format>
    <format dxfId="524">
      <pivotArea dataOnly="0" labelOnly="1" fieldPosition="0">
        <references count="1">
          <reference field="3" count="11">
            <x v="2"/>
            <x v="4"/>
            <x v="8"/>
            <x v="9"/>
            <x v="11"/>
            <x v="13"/>
            <x v="14"/>
            <x v="16"/>
            <x v="17"/>
            <x v="20"/>
            <x v="23"/>
          </reference>
        </references>
      </pivotArea>
    </format>
    <format dxfId="523">
      <pivotArea field="3" type="button" dataOnly="0" labelOnly="1" outline="0" axis="axisRow" fieldPosition="0"/>
    </format>
    <format dxfId="522">
      <pivotArea dataOnly="0" labelOnly="1" fieldPosition="0">
        <references count="1">
          <reference field="3" count="3">
            <x v="21"/>
            <x v="23"/>
            <x v="26"/>
          </reference>
        </references>
      </pivotArea>
    </format>
    <format dxfId="521">
      <pivotArea dataOnly="0" labelOnly="1" fieldPosition="0">
        <references count="1">
          <reference field="3" count="1">
            <x v="3"/>
          </reference>
        </references>
      </pivotArea>
    </format>
    <format dxfId="520">
      <pivotArea dataOnly="0" labelOnly="1" fieldPosition="0">
        <references count="1">
          <reference field="3" count="1">
            <x v="27"/>
          </reference>
        </references>
      </pivotArea>
    </format>
    <format dxfId="519">
      <pivotArea dataOnly="0" labelOnly="1" fieldPosition="0">
        <references count="1">
          <reference field="3" count="2">
            <x v="26"/>
            <x v="27"/>
          </reference>
        </references>
      </pivotArea>
    </format>
    <format dxfId="518">
      <pivotArea dataOnly="0" labelOnly="1" fieldPosition="0">
        <references count="1">
          <reference field="3" count="1">
            <x v="28"/>
          </reference>
        </references>
      </pivotArea>
    </format>
    <format dxfId="517">
      <pivotArea dataOnly="0" labelOnly="1" fieldPosition="0">
        <references count="1">
          <reference field="3" count="1">
            <x v="29"/>
          </reference>
        </references>
      </pivotArea>
    </format>
    <format dxfId="516">
      <pivotArea dataOnly="0" labelOnly="1" fieldPosition="0">
        <references count="1">
          <reference field="3" count="2">
            <x v="28"/>
            <x v="2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8:H36" firstHeaderRow="0" firstDataRow="1" firstDataCol="5" rowPageCount="1" colPageCount="1"/>
  <pivotFields count="37">
    <pivotField axis="axisPage" compact="0" outline="0" multipleItemSelectionAllowed="1" showAll="0" defaultSubtotal="0">
      <items count="5">
        <item h="1" x="1"/>
        <item x="0"/>
        <item h="1" x="2"/>
        <item h="1" x="3"/>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sd="0" x="3"/>
        <item x="7"/>
        <item x="8"/>
        <item x="0"/>
        <item x="2"/>
        <item x="9"/>
        <item x="1"/>
        <item x="5"/>
        <item x="4"/>
        <item x="6"/>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n="Khaung Doke Khar (1 &amp; 2) "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pivotField>
    <pivotField axis="axisRow" dataField="1"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
        <item x="5"/>
        <item x="14"/>
        <item x="17"/>
        <item x="30"/>
        <item x="31"/>
        <item x="28"/>
        <item x="105"/>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0"/>
        <item x="1"/>
        <item x="2"/>
      </items>
    </pivotField>
    <pivotField name="Resp. Agency" axis="axisRow" compact="0" outline="0" showAll="0" defaultSubtotal="0">
      <items count="7">
        <item x="1"/>
        <item x="2"/>
        <item x="0"/>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65">
        <item n="Zone 1" x="60"/>
        <item x="0"/>
        <item n="Priority Camps" x="59"/>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6"/>
        <item x="57"/>
        <item x="58"/>
        <item x="61"/>
        <item x="62"/>
        <item x="63"/>
        <item x="64"/>
      </items>
    </pivotField>
  </pivotFields>
  <rowFields count="5">
    <field x="5"/>
    <field x="11"/>
    <field x="12"/>
    <field x="29"/>
    <field x="28"/>
  </rowFields>
  <rowItems count="28">
    <i>
      <x/>
    </i>
    <i>
      <x v="3"/>
      <x v="3"/>
      <x v="15"/>
      <x v="2"/>
      <x/>
    </i>
    <i r="1">
      <x v="39"/>
      <x v="17"/>
      <x v="1"/>
      <x/>
    </i>
    <i r="1">
      <x v="51"/>
      <x v="16"/>
      <x v="2"/>
      <x/>
    </i>
    <i r="1">
      <x v="52"/>
      <x v="16"/>
      <x v="2"/>
      <x/>
    </i>
    <i r="1">
      <x v="82"/>
      <x v="18"/>
      <x v="1"/>
      <x/>
    </i>
    <i t="default">
      <x v="3"/>
    </i>
    <i>
      <x v="6"/>
      <x v="9"/>
      <x v="36"/>
      <x v="2"/>
      <x/>
    </i>
    <i r="1">
      <x v="12"/>
      <x v="92"/>
      <x/>
      <x v="1"/>
    </i>
    <i r="1">
      <x v="13"/>
      <x v="98"/>
      <x v="1"/>
      <x/>
    </i>
    <i r="1">
      <x v="14"/>
      <x v="99"/>
      <x v="1"/>
      <x/>
    </i>
    <i r="1">
      <x v="21"/>
      <x v="38"/>
      <x v="1"/>
      <x/>
    </i>
    <i r="1">
      <x v="22"/>
      <x v="86"/>
      <x/>
      <x v="1"/>
    </i>
    <i r="1">
      <x v="34"/>
      <x v="39"/>
      <x v="2"/>
      <x/>
    </i>
    <i r="1">
      <x v="45"/>
      <x v="83"/>
      <x v="6"/>
      <x/>
    </i>
    <i r="1">
      <x v="56"/>
      <x v="87"/>
      <x v="1"/>
      <x/>
    </i>
    <i r="1">
      <x v="57"/>
      <x v="100"/>
      <x v="1"/>
      <x/>
    </i>
    <i r="1">
      <x v="58"/>
      <x v="101"/>
      <x v="2"/>
      <x/>
    </i>
    <i r="1">
      <x v="76"/>
      <x v="42"/>
      <x v="1"/>
      <x/>
    </i>
    <i r="1">
      <x v="90"/>
      <x v="43"/>
      <x v="2"/>
      <x/>
    </i>
    <i r="1">
      <x v="96"/>
      <x v="45"/>
      <x v="6"/>
      <x/>
    </i>
    <i r="1">
      <x v="97"/>
      <x v="82"/>
      <x/>
      <x v="1"/>
    </i>
    <i t="default">
      <x v="6"/>
    </i>
    <i>
      <x v="7"/>
      <x v="86"/>
      <x v="13"/>
      <x v="3"/>
      <x v="1"/>
    </i>
    <i t="default">
      <x v="7"/>
    </i>
    <i>
      <x v="8"/>
      <x v="38"/>
      <x v="32"/>
      <x/>
      <x v="1"/>
    </i>
    <i t="default">
      <x v="8"/>
    </i>
    <i t="grand">
      <x/>
    </i>
  </rowItems>
  <colFields count="1">
    <field x="-2"/>
  </colFields>
  <colItems count="3">
    <i>
      <x/>
    </i>
    <i i="1">
      <x v="1"/>
    </i>
    <i i="2">
      <x v="2"/>
    </i>
  </colItems>
  <pageFields count="1">
    <pageField fld="0" hier="-1"/>
  </pageFields>
  <dataFields count="3">
    <dataField name="HH " fld="16" baseField="17" baseItem="92" numFmtId="3"/>
    <dataField name="Ind " fld="17" baseField="17" baseItem="3" numFmtId="3"/>
    <dataField name="# IDP Loc." fld="12" subtotal="count" baseField="0" baseItem="0"/>
  </dataFields>
  <formats count="163">
    <format dxfId="1443">
      <pivotArea outline="0" fieldPosition="0">
        <references count="1">
          <reference field="4294967294" count="1">
            <x v="1"/>
          </reference>
        </references>
      </pivotArea>
    </format>
    <format dxfId="1442">
      <pivotArea outline="0" fieldPosition="0">
        <references count="1">
          <reference field="4294967294" count="1">
            <x v="0"/>
          </reference>
        </references>
      </pivotArea>
    </format>
    <format dxfId="1441">
      <pivotArea field="5" type="button" dataOnly="0" labelOnly="1" outline="0" axis="axisRow" fieldPosition="0"/>
    </format>
    <format dxfId="1440">
      <pivotArea field="11" type="button" dataOnly="0" labelOnly="1" outline="0" axis="axisRow" fieldPosition="1"/>
    </format>
    <format dxfId="1439">
      <pivotArea field="12" type="button" dataOnly="0" labelOnly="1" outline="0" axis="axisRow" fieldPosition="2"/>
    </format>
    <format dxfId="1438">
      <pivotArea field="28" type="button" dataOnly="0" labelOnly="1" outline="0" axis="axisRow" fieldPosition="4"/>
    </format>
    <format dxfId="1437">
      <pivotArea field="29" type="button" dataOnly="0" labelOnly="1" outline="0" axis="axisRow" fieldPosition="3"/>
    </format>
    <format dxfId="1436">
      <pivotArea dataOnly="0" labelOnly="1" outline="0" fieldPosition="0">
        <references count="1">
          <reference field="4294967294" count="2">
            <x v="0"/>
            <x v="1"/>
          </reference>
        </references>
      </pivotArea>
    </format>
    <format dxfId="1435">
      <pivotArea type="all" dataOnly="0" outline="0" fieldPosition="0"/>
    </format>
    <format dxfId="1434">
      <pivotArea outline="0" collapsedLevelsAreSubtotals="1" fieldPosition="0"/>
    </format>
    <format dxfId="1433">
      <pivotArea dataOnly="0" labelOnly="1" outline="0" fieldPosition="0">
        <references count="1">
          <reference field="5" count="7">
            <x v="0"/>
            <x v="1"/>
            <x v="3"/>
            <x v="4"/>
            <x v="5"/>
            <x v="6"/>
            <x v="7"/>
          </reference>
        </references>
      </pivotArea>
    </format>
    <format dxfId="1432">
      <pivotArea dataOnly="0" labelOnly="1" outline="0" fieldPosition="0">
        <references count="1">
          <reference field="5" count="7" defaultSubtotal="1">
            <x v="0"/>
            <x v="1"/>
            <x v="3"/>
            <x v="4"/>
            <x v="5"/>
            <x v="6"/>
            <x v="7"/>
          </reference>
        </references>
      </pivotArea>
    </format>
    <format dxfId="1431">
      <pivotArea dataOnly="0" labelOnly="1" grandRow="1" outline="0" fieldPosition="0"/>
    </format>
    <format dxfId="1430">
      <pivotArea dataOnly="0" labelOnly="1" outline="0" fieldPosition="0">
        <references count="2">
          <reference field="5" count="1" selected="0">
            <x v="0"/>
          </reference>
          <reference field="11" count="1">
            <x v="53"/>
          </reference>
        </references>
      </pivotArea>
    </format>
    <format dxfId="1429">
      <pivotArea dataOnly="0" labelOnly="1" outline="0" fieldPosition="0">
        <references count="2">
          <reference field="5" count="1" selected="0">
            <x v="1"/>
          </reference>
          <reference field="11" count="1">
            <x v="55"/>
          </reference>
        </references>
      </pivotArea>
    </format>
    <format dxfId="1428">
      <pivotArea dataOnly="0" labelOnly="1" outline="0" fieldPosition="0">
        <references count="2">
          <reference field="5" count="1" selected="0">
            <x v="3"/>
          </reference>
          <reference field="11" count="3">
            <x v="3"/>
            <x v="39"/>
            <x v="82"/>
          </reference>
        </references>
      </pivotArea>
    </format>
    <format dxfId="1427">
      <pivotArea dataOnly="0" labelOnly="1" outline="0" fieldPosition="0">
        <references count="2">
          <reference field="5" count="1" selected="0">
            <x v="4"/>
          </reference>
          <reference field="11" count="2">
            <x v="68"/>
            <x v="69"/>
          </reference>
        </references>
      </pivotArea>
    </format>
    <format dxfId="1426">
      <pivotArea dataOnly="0" labelOnly="1" outline="0" fieldPosition="0">
        <references count="2">
          <reference field="5" count="1" selected="0">
            <x v="6"/>
          </reference>
          <reference field="11" count="15">
            <x v="9"/>
            <x v="12"/>
            <x v="13"/>
            <x v="14"/>
            <x v="21"/>
            <x v="22"/>
            <x v="34"/>
            <x v="45"/>
            <x v="56"/>
            <x v="57"/>
            <x v="58"/>
            <x v="76"/>
            <x v="90"/>
            <x v="96"/>
            <x v="97"/>
          </reference>
        </references>
      </pivotArea>
    </format>
    <format dxfId="1425">
      <pivotArea dataOnly="0" labelOnly="1" outline="0" fieldPosition="0">
        <references count="2">
          <reference field="5" count="1" selected="0">
            <x v="7"/>
          </reference>
          <reference field="11" count="2">
            <x v="31"/>
            <x v="86"/>
          </reference>
        </references>
      </pivotArea>
    </format>
    <format dxfId="1424">
      <pivotArea dataOnly="0" labelOnly="1" outline="0" fieldPosition="0">
        <references count="3">
          <reference field="5" count="1" selected="0">
            <x v="0"/>
          </reference>
          <reference field="11" count="1" selected="0">
            <x v="53"/>
          </reference>
          <reference field="12" count="1">
            <x v="22"/>
          </reference>
        </references>
      </pivotArea>
    </format>
    <format dxfId="1423">
      <pivotArea dataOnly="0" labelOnly="1" outline="0" fieldPosition="0">
        <references count="3">
          <reference field="5" count="1" selected="0">
            <x v="1"/>
          </reference>
          <reference field="11" count="1" selected="0">
            <x v="55"/>
          </reference>
          <reference field="12" count="1">
            <x v="78"/>
          </reference>
        </references>
      </pivotArea>
    </format>
    <format dxfId="1422">
      <pivotArea dataOnly="0" labelOnly="1" outline="0" fieldPosition="0">
        <references count="3">
          <reference field="5" count="1" selected="0">
            <x v="3"/>
          </reference>
          <reference field="11" count="1" selected="0">
            <x v="3"/>
          </reference>
          <reference field="12" count="1">
            <x v="15"/>
          </reference>
        </references>
      </pivotArea>
    </format>
    <format dxfId="1421">
      <pivotArea dataOnly="0" labelOnly="1" outline="0" fieldPosition="0">
        <references count="3">
          <reference field="5" count="1" selected="0">
            <x v="3"/>
          </reference>
          <reference field="11" count="1" selected="0">
            <x v="39"/>
          </reference>
          <reference field="12" count="1">
            <x v="17"/>
          </reference>
        </references>
      </pivotArea>
    </format>
    <format dxfId="1420">
      <pivotArea dataOnly="0" labelOnly="1" outline="0" fieldPosition="0">
        <references count="3">
          <reference field="5" count="1" selected="0">
            <x v="3"/>
          </reference>
          <reference field="11" count="1" selected="0">
            <x v="82"/>
          </reference>
          <reference field="12" count="1">
            <x v="18"/>
          </reference>
        </references>
      </pivotArea>
    </format>
    <format dxfId="1419">
      <pivotArea dataOnly="0" labelOnly="1" outline="0" fieldPosition="0">
        <references count="3">
          <reference field="5" count="1" selected="0">
            <x v="4"/>
          </reference>
          <reference field="11" count="1" selected="0">
            <x v="68"/>
          </reference>
          <reference field="12" count="1">
            <x v="35"/>
          </reference>
        </references>
      </pivotArea>
    </format>
    <format dxfId="1418">
      <pivotArea dataOnly="0" labelOnly="1" outline="0" fieldPosition="0">
        <references count="3">
          <reference field="5" count="1" selected="0">
            <x v="4"/>
          </reference>
          <reference field="11" count="1" selected="0">
            <x v="69"/>
          </reference>
          <reference field="12" count="1">
            <x v="34"/>
          </reference>
        </references>
      </pivotArea>
    </format>
    <format dxfId="1417">
      <pivotArea dataOnly="0" labelOnly="1" outline="0" fieldPosition="0">
        <references count="3">
          <reference field="5" count="1" selected="0">
            <x v="6"/>
          </reference>
          <reference field="11" count="1" selected="0">
            <x v="9"/>
          </reference>
          <reference field="12" count="1">
            <x v="36"/>
          </reference>
        </references>
      </pivotArea>
    </format>
    <format dxfId="1416">
      <pivotArea dataOnly="0" labelOnly="1" outline="0" fieldPosition="0">
        <references count="3">
          <reference field="5" count="1" selected="0">
            <x v="6"/>
          </reference>
          <reference field="11" count="1" selected="0">
            <x v="12"/>
          </reference>
          <reference field="12" count="1">
            <x v="92"/>
          </reference>
        </references>
      </pivotArea>
    </format>
    <format dxfId="1415">
      <pivotArea dataOnly="0" labelOnly="1" outline="0" fieldPosition="0">
        <references count="3">
          <reference field="5" count="1" selected="0">
            <x v="6"/>
          </reference>
          <reference field="11" count="1" selected="0">
            <x v="13"/>
          </reference>
          <reference field="12" count="1">
            <x v="98"/>
          </reference>
        </references>
      </pivotArea>
    </format>
    <format dxfId="1414">
      <pivotArea dataOnly="0" labelOnly="1" outline="0" fieldPosition="0">
        <references count="3">
          <reference field="5" count="1" selected="0">
            <x v="6"/>
          </reference>
          <reference field="11" count="1" selected="0">
            <x v="14"/>
          </reference>
          <reference field="12" count="1">
            <x v="99"/>
          </reference>
        </references>
      </pivotArea>
    </format>
    <format dxfId="1413">
      <pivotArea dataOnly="0" labelOnly="1" outline="0" fieldPosition="0">
        <references count="3">
          <reference field="5" count="1" selected="0">
            <x v="6"/>
          </reference>
          <reference field="11" count="1" selected="0">
            <x v="21"/>
          </reference>
          <reference field="12" count="1">
            <x v="38"/>
          </reference>
        </references>
      </pivotArea>
    </format>
    <format dxfId="1412">
      <pivotArea dataOnly="0" labelOnly="1" outline="0" fieldPosition="0">
        <references count="3">
          <reference field="5" count="1" selected="0">
            <x v="6"/>
          </reference>
          <reference field="11" count="1" selected="0">
            <x v="22"/>
          </reference>
          <reference field="12" count="1">
            <x v="86"/>
          </reference>
        </references>
      </pivotArea>
    </format>
    <format dxfId="1411">
      <pivotArea dataOnly="0" labelOnly="1" outline="0" fieldPosition="0">
        <references count="3">
          <reference field="5" count="1" selected="0">
            <x v="6"/>
          </reference>
          <reference field="11" count="1" selected="0">
            <x v="34"/>
          </reference>
          <reference field="12" count="1">
            <x v="39"/>
          </reference>
        </references>
      </pivotArea>
    </format>
    <format dxfId="1410">
      <pivotArea dataOnly="0" labelOnly="1" outline="0" fieldPosition="0">
        <references count="3">
          <reference field="5" count="1" selected="0">
            <x v="6"/>
          </reference>
          <reference field="11" count="1" selected="0">
            <x v="45"/>
          </reference>
          <reference field="12" count="1">
            <x v="83"/>
          </reference>
        </references>
      </pivotArea>
    </format>
    <format dxfId="1409">
      <pivotArea dataOnly="0" labelOnly="1" outline="0" fieldPosition="0">
        <references count="3">
          <reference field="5" count="1" selected="0">
            <x v="6"/>
          </reference>
          <reference field="11" count="1" selected="0">
            <x v="56"/>
          </reference>
          <reference field="12" count="1">
            <x v="87"/>
          </reference>
        </references>
      </pivotArea>
    </format>
    <format dxfId="1408">
      <pivotArea dataOnly="0" labelOnly="1" outline="0" fieldPosition="0">
        <references count="3">
          <reference field="5" count="1" selected="0">
            <x v="6"/>
          </reference>
          <reference field="11" count="1" selected="0">
            <x v="57"/>
          </reference>
          <reference field="12" count="1">
            <x v="100"/>
          </reference>
        </references>
      </pivotArea>
    </format>
    <format dxfId="1407">
      <pivotArea dataOnly="0" labelOnly="1" outline="0" fieldPosition="0">
        <references count="3">
          <reference field="5" count="1" selected="0">
            <x v="6"/>
          </reference>
          <reference field="11" count="1" selected="0">
            <x v="58"/>
          </reference>
          <reference field="12" count="1">
            <x v="101"/>
          </reference>
        </references>
      </pivotArea>
    </format>
    <format dxfId="1406">
      <pivotArea dataOnly="0" labelOnly="1" outline="0" fieldPosition="0">
        <references count="3">
          <reference field="5" count="1" selected="0">
            <x v="6"/>
          </reference>
          <reference field="11" count="1" selected="0">
            <x v="76"/>
          </reference>
          <reference field="12" count="1">
            <x v="42"/>
          </reference>
        </references>
      </pivotArea>
    </format>
    <format dxfId="1405">
      <pivotArea dataOnly="0" labelOnly="1" outline="0" fieldPosition="0">
        <references count="3">
          <reference field="5" count="1" selected="0">
            <x v="6"/>
          </reference>
          <reference field="11" count="1" selected="0">
            <x v="90"/>
          </reference>
          <reference field="12" count="1">
            <x v="43"/>
          </reference>
        </references>
      </pivotArea>
    </format>
    <format dxfId="1404">
      <pivotArea dataOnly="0" labelOnly="1" outline="0" fieldPosition="0">
        <references count="3">
          <reference field="5" count="1" selected="0">
            <x v="6"/>
          </reference>
          <reference field="11" count="1" selected="0">
            <x v="97"/>
          </reference>
          <reference field="12" count="1">
            <x v="82"/>
          </reference>
        </references>
      </pivotArea>
    </format>
    <format dxfId="1403">
      <pivotArea dataOnly="0" labelOnly="1" outline="0" fieldPosition="0">
        <references count="3">
          <reference field="5" count="1" selected="0">
            <x v="7"/>
          </reference>
          <reference field="11" count="1" selected="0">
            <x v="31"/>
          </reference>
          <reference field="12" count="1">
            <x v="12"/>
          </reference>
        </references>
      </pivotArea>
    </format>
    <format dxfId="1402">
      <pivotArea dataOnly="0" labelOnly="1" outline="0" fieldPosition="0">
        <references count="3">
          <reference field="5" count="1" selected="0">
            <x v="7"/>
          </reference>
          <reference field="11" count="1" selected="0">
            <x v="86"/>
          </reference>
          <reference field="12" count="1">
            <x v="13"/>
          </reference>
        </references>
      </pivotArea>
    </format>
    <format dxfId="1401">
      <pivotArea dataOnly="0" labelOnly="1" outline="0" fieldPosition="0">
        <references count="4">
          <reference field="5" count="1" selected="0">
            <x v="0"/>
          </reference>
          <reference field="11" count="1" selected="0">
            <x v="53"/>
          </reference>
          <reference field="12" count="1" selected="0">
            <x v="22"/>
          </reference>
          <reference field="29" count="1">
            <x v="0"/>
          </reference>
        </references>
      </pivotArea>
    </format>
    <format dxfId="1400">
      <pivotArea dataOnly="0" labelOnly="1" outline="0" fieldPosition="0">
        <references count="4">
          <reference field="5" count="1" selected="0">
            <x v="3"/>
          </reference>
          <reference field="11" count="1" selected="0">
            <x v="3"/>
          </reference>
          <reference field="12" count="1" selected="0">
            <x v="15"/>
          </reference>
          <reference field="29" count="1">
            <x v="2"/>
          </reference>
        </references>
      </pivotArea>
    </format>
    <format dxfId="1399">
      <pivotArea dataOnly="0" labelOnly="1" outline="0" fieldPosition="0">
        <references count="4">
          <reference field="5" count="1" selected="0">
            <x v="3"/>
          </reference>
          <reference field="11" count="1" selected="0">
            <x v="39"/>
          </reference>
          <reference field="12" count="1" selected="0">
            <x v="17"/>
          </reference>
          <reference field="29" count="1">
            <x v="1"/>
          </reference>
        </references>
      </pivotArea>
    </format>
    <format dxfId="1398">
      <pivotArea dataOnly="0" labelOnly="1" outline="0" fieldPosition="0">
        <references count="4">
          <reference field="5" count="1" selected="0">
            <x v="3"/>
          </reference>
          <reference field="11" count="1" selected="0">
            <x v="82"/>
          </reference>
          <reference field="12" count="1" selected="0">
            <x v="18"/>
          </reference>
          <reference field="29" count="1">
            <x v="0"/>
          </reference>
        </references>
      </pivotArea>
    </format>
    <format dxfId="1397">
      <pivotArea dataOnly="0" labelOnly="1" outline="0" fieldPosition="0">
        <references count="4">
          <reference field="5" count="1" selected="0">
            <x v="4"/>
          </reference>
          <reference field="11" count="1" selected="0">
            <x v="68"/>
          </reference>
          <reference field="12" count="1" selected="0">
            <x v="35"/>
          </reference>
          <reference field="29" count="1">
            <x v="0"/>
          </reference>
        </references>
      </pivotArea>
    </format>
    <format dxfId="1396">
      <pivotArea dataOnly="0" labelOnly="1" outline="0" fieldPosition="0">
        <references count="4">
          <reference field="5" count="1" selected="0">
            <x v="6"/>
          </reference>
          <reference field="11" count="1" selected="0">
            <x v="9"/>
          </reference>
          <reference field="12" count="1" selected="0">
            <x v="36"/>
          </reference>
          <reference field="29" count="1">
            <x v="2"/>
          </reference>
        </references>
      </pivotArea>
    </format>
    <format dxfId="1395">
      <pivotArea dataOnly="0" labelOnly="1" outline="0" fieldPosition="0">
        <references count="4">
          <reference field="5" count="1" selected="0">
            <x v="6"/>
          </reference>
          <reference field="11" count="1" selected="0">
            <x v="12"/>
          </reference>
          <reference field="12" count="1" selected="0">
            <x v="92"/>
          </reference>
          <reference field="29" count="1">
            <x v="0"/>
          </reference>
        </references>
      </pivotArea>
    </format>
    <format dxfId="1394">
      <pivotArea dataOnly="0" labelOnly="1" outline="0" fieldPosition="0">
        <references count="4">
          <reference field="5" count="1" selected="0">
            <x v="6"/>
          </reference>
          <reference field="11" count="1" selected="0">
            <x v="13"/>
          </reference>
          <reference field="12" count="1" selected="0">
            <x v="98"/>
          </reference>
          <reference field="29" count="1">
            <x v="1"/>
          </reference>
        </references>
      </pivotArea>
    </format>
    <format dxfId="1393">
      <pivotArea dataOnly="0" labelOnly="1" outline="0" fieldPosition="0">
        <references count="4">
          <reference field="5" count="1" selected="0">
            <x v="6"/>
          </reference>
          <reference field="11" count="1" selected="0">
            <x v="22"/>
          </reference>
          <reference field="12" count="1" selected="0">
            <x v="86"/>
          </reference>
          <reference field="29" count="1">
            <x v="0"/>
          </reference>
        </references>
      </pivotArea>
    </format>
    <format dxfId="1392">
      <pivotArea dataOnly="0" labelOnly="1" outline="0" fieldPosition="0">
        <references count="4">
          <reference field="5" count="1" selected="0">
            <x v="6"/>
          </reference>
          <reference field="11" count="1" selected="0">
            <x v="34"/>
          </reference>
          <reference field="12" count="1" selected="0">
            <x v="39"/>
          </reference>
          <reference field="29" count="1">
            <x v="2"/>
          </reference>
        </references>
      </pivotArea>
    </format>
    <format dxfId="1391">
      <pivotArea dataOnly="0" labelOnly="1" outline="0" fieldPosition="0">
        <references count="4">
          <reference field="5" count="1" selected="0">
            <x v="6"/>
          </reference>
          <reference field="11" count="1" selected="0">
            <x v="45"/>
          </reference>
          <reference field="12" count="1" selected="0">
            <x v="83"/>
          </reference>
          <reference field="29" count="1">
            <x v="6"/>
          </reference>
        </references>
      </pivotArea>
    </format>
    <format dxfId="1390">
      <pivotArea dataOnly="0" labelOnly="1" outline="0" fieldPosition="0">
        <references count="4">
          <reference field="5" count="1" selected="0">
            <x v="6"/>
          </reference>
          <reference field="11" count="1" selected="0">
            <x v="56"/>
          </reference>
          <reference field="12" count="1" selected="0">
            <x v="87"/>
          </reference>
          <reference field="29" count="1">
            <x v="1"/>
          </reference>
        </references>
      </pivotArea>
    </format>
    <format dxfId="1389">
      <pivotArea dataOnly="0" labelOnly="1" outline="0" fieldPosition="0">
        <references count="4">
          <reference field="5" count="1" selected="0">
            <x v="6"/>
          </reference>
          <reference field="11" count="1" selected="0">
            <x v="58"/>
          </reference>
          <reference field="12" count="1" selected="0">
            <x v="101"/>
          </reference>
          <reference field="29" count="1">
            <x v="2"/>
          </reference>
        </references>
      </pivotArea>
    </format>
    <format dxfId="1388">
      <pivotArea dataOnly="0" labelOnly="1" outline="0" fieldPosition="0">
        <references count="4">
          <reference field="5" count="1" selected="0">
            <x v="6"/>
          </reference>
          <reference field="11" count="1" selected="0">
            <x v="76"/>
          </reference>
          <reference field="12" count="1" selected="0">
            <x v="42"/>
          </reference>
          <reference field="29" count="1">
            <x v="1"/>
          </reference>
        </references>
      </pivotArea>
    </format>
    <format dxfId="1387">
      <pivotArea dataOnly="0" labelOnly="1" outline="0" fieldPosition="0">
        <references count="4">
          <reference field="5" count="1" selected="0">
            <x v="6"/>
          </reference>
          <reference field="11" count="1" selected="0">
            <x v="90"/>
          </reference>
          <reference field="12" count="1" selected="0">
            <x v="43"/>
          </reference>
          <reference field="29" count="1">
            <x v="2"/>
          </reference>
        </references>
      </pivotArea>
    </format>
    <format dxfId="1386">
      <pivotArea dataOnly="0" labelOnly="1" outline="0" fieldPosition="0">
        <references count="4">
          <reference field="5" count="1" selected="0">
            <x v="6"/>
          </reference>
          <reference field="11" count="1" selected="0">
            <x v="97"/>
          </reference>
          <reference field="12" count="1" selected="0">
            <x v="82"/>
          </reference>
          <reference field="29" count="1">
            <x v="0"/>
          </reference>
        </references>
      </pivotArea>
    </format>
    <format dxfId="1385">
      <pivotArea dataOnly="0" labelOnly="1" outline="0" fieldPosition="0">
        <references count="4">
          <reference field="5" count="1" selected="0">
            <x v="7"/>
          </reference>
          <reference field="11" count="1" selected="0">
            <x v="31"/>
          </reference>
          <reference field="12" count="1" selected="0">
            <x v="12"/>
          </reference>
          <reference field="29" count="1">
            <x v="3"/>
          </reference>
        </references>
      </pivotArea>
    </format>
    <format dxfId="1384">
      <pivotArea dataOnly="0" labelOnly="1" outline="0" fieldPosition="0">
        <references count="5">
          <reference field="5" count="1" selected="0">
            <x v="0"/>
          </reference>
          <reference field="11" count="1" selected="0">
            <x v="53"/>
          </reference>
          <reference field="12" count="1" selected="0">
            <x v="22"/>
          </reference>
          <reference field="28" count="1">
            <x v="1"/>
          </reference>
          <reference field="29" count="1" selected="0">
            <x v="0"/>
          </reference>
        </references>
      </pivotArea>
    </format>
    <format dxfId="1383">
      <pivotArea dataOnly="0" labelOnly="1" outline="0" fieldPosition="0">
        <references count="5">
          <reference field="5" count="1" selected="0">
            <x v="1"/>
          </reference>
          <reference field="11" count="1" selected="0">
            <x v="55"/>
          </reference>
          <reference field="12" count="1" selected="0">
            <x v="78"/>
          </reference>
          <reference field="28" count="1">
            <x v="1"/>
          </reference>
          <reference field="29" count="1" selected="0">
            <x v="0"/>
          </reference>
        </references>
      </pivotArea>
    </format>
    <format dxfId="1382">
      <pivotArea dataOnly="0" labelOnly="1" outline="0" fieldPosition="0">
        <references count="5">
          <reference field="5" count="1" selected="0">
            <x v="3"/>
          </reference>
          <reference field="11" count="1" selected="0">
            <x v="3"/>
          </reference>
          <reference field="12" count="1" selected="0">
            <x v="15"/>
          </reference>
          <reference field="28" count="1">
            <x v="0"/>
          </reference>
          <reference field="29" count="1" selected="0">
            <x v="2"/>
          </reference>
        </references>
      </pivotArea>
    </format>
    <format dxfId="1381">
      <pivotArea dataOnly="0" labelOnly="1" outline="0" fieldPosition="0">
        <references count="5">
          <reference field="5" count="1" selected="0">
            <x v="3"/>
          </reference>
          <reference field="11" count="1" selected="0">
            <x v="39"/>
          </reference>
          <reference field="12" count="1" selected="0">
            <x v="17"/>
          </reference>
          <reference field="28" count="1">
            <x v="0"/>
          </reference>
          <reference field="29" count="1" selected="0">
            <x v="1"/>
          </reference>
        </references>
      </pivotArea>
    </format>
    <format dxfId="1380">
      <pivotArea dataOnly="0" labelOnly="1" outline="0" fieldPosition="0">
        <references count="5">
          <reference field="5" count="1" selected="0">
            <x v="3"/>
          </reference>
          <reference field="11" count="1" selected="0">
            <x v="82"/>
          </reference>
          <reference field="12" count="1" selected="0">
            <x v="18"/>
          </reference>
          <reference field="28" count="1">
            <x v="1"/>
          </reference>
          <reference field="29" count="1" selected="0">
            <x v="0"/>
          </reference>
        </references>
      </pivotArea>
    </format>
    <format dxfId="1379">
      <pivotArea dataOnly="0" labelOnly="1" outline="0" fieldPosition="0">
        <references count="5">
          <reference field="5" count="1" selected="0">
            <x v="4"/>
          </reference>
          <reference field="11" count="1" selected="0">
            <x v="68"/>
          </reference>
          <reference field="12" count="1" selected="0">
            <x v="35"/>
          </reference>
          <reference field="28" count="1">
            <x v="1"/>
          </reference>
          <reference field="29" count="1" selected="0">
            <x v="0"/>
          </reference>
        </references>
      </pivotArea>
    </format>
    <format dxfId="1378">
      <pivotArea dataOnly="0" labelOnly="1" outline="0" fieldPosition="0">
        <references count="5">
          <reference field="5" count="1" selected="0">
            <x v="4"/>
          </reference>
          <reference field="11" count="1" selected="0">
            <x v="69"/>
          </reference>
          <reference field="12" count="1" selected="0">
            <x v="34"/>
          </reference>
          <reference field="28" count="1">
            <x v="1"/>
          </reference>
          <reference field="29" count="1" selected="0">
            <x v="0"/>
          </reference>
        </references>
      </pivotArea>
    </format>
    <format dxfId="1377">
      <pivotArea dataOnly="0" labelOnly="1" outline="0" fieldPosition="0">
        <references count="5">
          <reference field="5" count="1" selected="0">
            <x v="6"/>
          </reference>
          <reference field="11" count="1" selected="0">
            <x v="9"/>
          </reference>
          <reference field="12" count="1" selected="0">
            <x v="36"/>
          </reference>
          <reference field="28" count="1">
            <x v="0"/>
          </reference>
          <reference field="29" count="1" selected="0">
            <x v="2"/>
          </reference>
        </references>
      </pivotArea>
    </format>
    <format dxfId="1376">
      <pivotArea dataOnly="0" labelOnly="1" outline="0" fieldPosition="0">
        <references count="5">
          <reference field="5" count="1" selected="0">
            <x v="6"/>
          </reference>
          <reference field="11" count="1" selected="0">
            <x v="12"/>
          </reference>
          <reference field="12" count="1" selected="0">
            <x v="92"/>
          </reference>
          <reference field="28" count="1">
            <x v="1"/>
          </reference>
          <reference field="29" count="1" selected="0">
            <x v="0"/>
          </reference>
        </references>
      </pivotArea>
    </format>
    <format dxfId="1375">
      <pivotArea dataOnly="0" labelOnly="1" outline="0" fieldPosition="0">
        <references count="5">
          <reference field="5" count="1" selected="0">
            <x v="6"/>
          </reference>
          <reference field="11" count="1" selected="0">
            <x v="13"/>
          </reference>
          <reference field="12" count="1" selected="0">
            <x v="98"/>
          </reference>
          <reference field="28" count="1">
            <x v="0"/>
          </reference>
          <reference field="29" count="1" selected="0">
            <x v="1"/>
          </reference>
        </references>
      </pivotArea>
    </format>
    <format dxfId="1374">
      <pivotArea dataOnly="0" labelOnly="1" outline="0" fieldPosition="0">
        <references count="5">
          <reference field="5" count="1" selected="0">
            <x v="6"/>
          </reference>
          <reference field="11" count="1" selected="0">
            <x v="14"/>
          </reference>
          <reference field="12" count="1" selected="0">
            <x v="99"/>
          </reference>
          <reference field="28" count="1">
            <x v="0"/>
          </reference>
          <reference field="29" count="1" selected="0">
            <x v="1"/>
          </reference>
        </references>
      </pivotArea>
    </format>
    <format dxfId="1373">
      <pivotArea dataOnly="0" labelOnly="1" outline="0" fieldPosition="0">
        <references count="5">
          <reference field="5" count="1" selected="0">
            <x v="6"/>
          </reference>
          <reference field="11" count="1" selected="0">
            <x v="21"/>
          </reference>
          <reference field="12" count="1" selected="0">
            <x v="38"/>
          </reference>
          <reference field="28" count="1">
            <x v="0"/>
          </reference>
          <reference field="29" count="1" selected="0">
            <x v="1"/>
          </reference>
        </references>
      </pivotArea>
    </format>
    <format dxfId="1372">
      <pivotArea dataOnly="0" labelOnly="1" outline="0" fieldPosition="0">
        <references count="5">
          <reference field="5" count="1" selected="0">
            <x v="6"/>
          </reference>
          <reference field="11" count="1" selected="0">
            <x v="22"/>
          </reference>
          <reference field="12" count="1" selected="0">
            <x v="86"/>
          </reference>
          <reference field="28" count="1">
            <x v="1"/>
          </reference>
          <reference field="29" count="1" selected="0">
            <x v="0"/>
          </reference>
        </references>
      </pivotArea>
    </format>
    <format dxfId="1371">
      <pivotArea dataOnly="0" labelOnly="1" outline="0" fieldPosition="0">
        <references count="5">
          <reference field="5" count="1" selected="0">
            <x v="6"/>
          </reference>
          <reference field="11" count="1" selected="0">
            <x v="34"/>
          </reference>
          <reference field="12" count="1" selected="0">
            <x v="39"/>
          </reference>
          <reference field="28" count="1">
            <x v="0"/>
          </reference>
          <reference field="29" count="1" selected="0">
            <x v="2"/>
          </reference>
        </references>
      </pivotArea>
    </format>
    <format dxfId="1370">
      <pivotArea dataOnly="0" labelOnly="1" outline="0" fieldPosition="0">
        <references count="5">
          <reference field="5" count="1" selected="0">
            <x v="6"/>
          </reference>
          <reference field="11" count="1" selected="0">
            <x v="45"/>
          </reference>
          <reference field="12" count="1" selected="0">
            <x v="83"/>
          </reference>
          <reference field="28" count="1">
            <x v="1"/>
          </reference>
          <reference field="29" count="1" selected="0">
            <x v="6"/>
          </reference>
        </references>
      </pivotArea>
    </format>
    <format dxfId="1369">
      <pivotArea dataOnly="0" labelOnly="1" outline="0" fieldPosition="0">
        <references count="5">
          <reference field="5" count="1" selected="0">
            <x v="6"/>
          </reference>
          <reference field="11" count="1" selected="0">
            <x v="56"/>
          </reference>
          <reference field="12" count="1" selected="0">
            <x v="87"/>
          </reference>
          <reference field="28" count="1">
            <x v="0"/>
          </reference>
          <reference field="29" count="1" selected="0">
            <x v="1"/>
          </reference>
        </references>
      </pivotArea>
    </format>
    <format dxfId="1368">
      <pivotArea dataOnly="0" labelOnly="1" outline="0" fieldPosition="0">
        <references count="5">
          <reference field="5" count="1" selected="0">
            <x v="6"/>
          </reference>
          <reference field="11" count="1" selected="0">
            <x v="57"/>
          </reference>
          <reference field="12" count="1" selected="0">
            <x v="100"/>
          </reference>
          <reference field="28" count="1">
            <x v="0"/>
          </reference>
          <reference field="29" count="1" selected="0">
            <x v="1"/>
          </reference>
        </references>
      </pivotArea>
    </format>
    <format dxfId="1367">
      <pivotArea dataOnly="0" labelOnly="1" outline="0" fieldPosition="0">
        <references count="5">
          <reference field="5" count="1" selected="0">
            <x v="6"/>
          </reference>
          <reference field="11" count="1" selected="0">
            <x v="58"/>
          </reference>
          <reference field="12" count="1" selected="0">
            <x v="101"/>
          </reference>
          <reference field="28" count="1">
            <x v="0"/>
          </reference>
          <reference field="29" count="1" selected="0">
            <x v="2"/>
          </reference>
        </references>
      </pivotArea>
    </format>
    <format dxfId="1366">
      <pivotArea dataOnly="0" labelOnly="1" outline="0" fieldPosition="0">
        <references count="5">
          <reference field="5" count="1" selected="0">
            <x v="6"/>
          </reference>
          <reference field="11" count="1" selected="0">
            <x v="76"/>
          </reference>
          <reference field="12" count="1" selected="0">
            <x v="42"/>
          </reference>
          <reference field="28" count="1">
            <x v="0"/>
          </reference>
          <reference field="29" count="1" selected="0">
            <x v="1"/>
          </reference>
        </references>
      </pivotArea>
    </format>
    <format dxfId="1365">
      <pivotArea dataOnly="0" labelOnly="1" outline="0" fieldPosition="0">
        <references count="5">
          <reference field="5" count="1" selected="0">
            <x v="6"/>
          </reference>
          <reference field="11" count="1" selected="0">
            <x v="90"/>
          </reference>
          <reference field="12" count="1" selected="0">
            <x v="43"/>
          </reference>
          <reference field="28" count="1">
            <x v="0"/>
          </reference>
          <reference field="29" count="1" selected="0">
            <x v="2"/>
          </reference>
        </references>
      </pivotArea>
    </format>
    <format dxfId="1364">
      <pivotArea dataOnly="0" labelOnly="1" outline="0" fieldPosition="0">
        <references count="5">
          <reference field="5" count="1" selected="0">
            <x v="6"/>
          </reference>
          <reference field="11" count="1" selected="0">
            <x v="97"/>
          </reference>
          <reference field="12" count="1" selected="0">
            <x v="82"/>
          </reference>
          <reference field="28" count="1">
            <x v="1"/>
          </reference>
          <reference field="29" count="1" selected="0">
            <x v="0"/>
          </reference>
        </references>
      </pivotArea>
    </format>
    <format dxfId="1363">
      <pivotArea dataOnly="0" labelOnly="1" outline="0" fieldPosition="0">
        <references count="5">
          <reference field="5" count="1" selected="0">
            <x v="7"/>
          </reference>
          <reference field="11" count="1" selected="0">
            <x v="31"/>
          </reference>
          <reference field="12" count="1" selected="0">
            <x v="12"/>
          </reference>
          <reference field="28" count="1">
            <x v="1"/>
          </reference>
          <reference field="29" count="1" selected="0">
            <x v="3"/>
          </reference>
        </references>
      </pivotArea>
    </format>
    <format dxfId="1362">
      <pivotArea dataOnly="0" labelOnly="1" outline="0" fieldPosition="0">
        <references count="5">
          <reference field="5" count="1" selected="0">
            <x v="7"/>
          </reference>
          <reference field="11" count="1" selected="0">
            <x v="86"/>
          </reference>
          <reference field="12" count="1" selected="0">
            <x v="13"/>
          </reference>
          <reference field="28" count="1">
            <x v="1"/>
          </reference>
          <reference field="29" count="1" selected="0">
            <x v="3"/>
          </reference>
        </references>
      </pivotArea>
    </format>
    <format dxfId="1361">
      <pivotArea dataOnly="0" labelOnly="1" outline="0" fieldPosition="0">
        <references count="1">
          <reference field="4294967294" count="3">
            <x v="0"/>
            <x v="1"/>
            <x v="2"/>
          </reference>
        </references>
      </pivotArea>
    </format>
    <format dxfId="1360">
      <pivotArea type="all" dataOnly="0" outline="0" fieldPosition="0"/>
    </format>
    <format dxfId="1359">
      <pivotArea outline="0" collapsedLevelsAreSubtotals="1" fieldPosition="0"/>
    </format>
    <format dxfId="1358">
      <pivotArea field="5" type="button" dataOnly="0" labelOnly="1" outline="0" axis="axisRow" fieldPosition="0"/>
    </format>
    <format dxfId="1357">
      <pivotArea field="11" type="button" dataOnly="0" labelOnly="1" outline="0" axis="axisRow" fieldPosition="1"/>
    </format>
    <format dxfId="1356">
      <pivotArea field="12" type="button" dataOnly="0" labelOnly="1" outline="0" axis="axisRow" fieldPosition="2"/>
    </format>
    <format dxfId="1355">
      <pivotArea field="29" type="button" dataOnly="0" labelOnly="1" outline="0" axis="axisRow" fieldPosition="3"/>
    </format>
    <format dxfId="1354">
      <pivotArea field="28" type="button" dataOnly="0" labelOnly="1" outline="0" axis="axisRow" fieldPosition="4"/>
    </format>
    <format dxfId="1353">
      <pivotArea dataOnly="0" labelOnly="1" outline="0" fieldPosition="0">
        <references count="1">
          <reference field="5" count="5">
            <x v="0"/>
            <x v="3"/>
            <x v="6"/>
            <x v="7"/>
            <x v="8"/>
          </reference>
        </references>
      </pivotArea>
    </format>
    <format dxfId="1352">
      <pivotArea dataOnly="0" labelOnly="1" outline="0" fieldPosition="0">
        <references count="1">
          <reference field="5" count="5" defaultSubtotal="1">
            <x v="0"/>
            <x v="3"/>
            <x v="6"/>
            <x v="7"/>
            <x v="8"/>
          </reference>
        </references>
      </pivotArea>
    </format>
    <format dxfId="1351">
      <pivotArea dataOnly="0" labelOnly="1" grandRow="1" outline="0" fieldPosition="0"/>
    </format>
    <format dxfId="1350">
      <pivotArea dataOnly="0" labelOnly="1" outline="0" fieldPosition="0">
        <references count="2">
          <reference field="5" count="1" selected="0">
            <x v="0"/>
          </reference>
          <reference field="11" count="1">
            <x v="53"/>
          </reference>
        </references>
      </pivotArea>
    </format>
    <format dxfId="1349">
      <pivotArea dataOnly="0" labelOnly="1" outline="0" fieldPosition="0">
        <references count="2">
          <reference field="5" count="1" selected="0">
            <x v="3"/>
          </reference>
          <reference field="11" count="5">
            <x v="3"/>
            <x v="39"/>
            <x v="51"/>
            <x v="52"/>
            <x v="82"/>
          </reference>
        </references>
      </pivotArea>
    </format>
    <format dxfId="1348">
      <pivotArea dataOnly="0" labelOnly="1" outline="0" fieldPosition="0">
        <references count="2">
          <reference field="5" count="1" selected="0">
            <x v="6"/>
          </reference>
          <reference field="11" count="15">
            <x v="9"/>
            <x v="12"/>
            <x v="13"/>
            <x v="14"/>
            <x v="21"/>
            <x v="22"/>
            <x v="34"/>
            <x v="45"/>
            <x v="56"/>
            <x v="57"/>
            <x v="58"/>
            <x v="76"/>
            <x v="90"/>
            <x v="96"/>
            <x v="97"/>
          </reference>
        </references>
      </pivotArea>
    </format>
    <format dxfId="1347">
      <pivotArea dataOnly="0" labelOnly="1" outline="0" fieldPosition="0">
        <references count="2">
          <reference field="5" count="1" selected="0">
            <x v="7"/>
          </reference>
          <reference field="11" count="1">
            <x v="86"/>
          </reference>
        </references>
      </pivotArea>
    </format>
    <format dxfId="1346">
      <pivotArea dataOnly="0" labelOnly="1" outline="0" fieldPosition="0">
        <references count="2">
          <reference field="5" count="1" selected="0">
            <x v="8"/>
          </reference>
          <reference field="11" count="1">
            <x v="38"/>
          </reference>
        </references>
      </pivotArea>
    </format>
    <format dxfId="1345">
      <pivotArea dataOnly="0" labelOnly="1" outline="0" fieldPosition="0">
        <references count="3">
          <reference field="5" count="1" selected="0">
            <x v="0"/>
          </reference>
          <reference field="11" count="1" selected="0">
            <x v="53"/>
          </reference>
          <reference field="12" count="1">
            <x v="22"/>
          </reference>
        </references>
      </pivotArea>
    </format>
    <format dxfId="1344">
      <pivotArea dataOnly="0" labelOnly="1" outline="0" fieldPosition="0">
        <references count="3">
          <reference field="5" count="1" selected="0">
            <x v="3"/>
          </reference>
          <reference field="11" count="1" selected="0">
            <x v="3"/>
          </reference>
          <reference field="12" count="1">
            <x v="15"/>
          </reference>
        </references>
      </pivotArea>
    </format>
    <format dxfId="1343">
      <pivotArea dataOnly="0" labelOnly="1" outline="0" fieldPosition="0">
        <references count="3">
          <reference field="5" count="1" selected="0">
            <x v="3"/>
          </reference>
          <reference field="11" count="1" selected="0">
            <x v="39"/>
          </reference>
          <reference field="12" count="1">
            <x v="17"/>
          </reference>
        </references>
      </pivotArea>
    </format>
    <format dxfId="1342">
      <pivotArea dataOnly="0" labelOnly="1" outline="0" fieldPosition="0">
        <references count="3">
          <reference field="5" count="1" selected="0">
            <x v="3"/>
          </reference>
          <reference field="11" count="1" selected="0">
            <x v="51"/>
          </reference>
          <reference field="12" count="1">
            <x v="16"/>
          </reference>
        </references>
      </pivotArea>
    </format>
    <format dxfId="1341">
      <pivotArea dataOnly="0" labelOnly="1" outline="0" fieldPosition="0">
        <references count="3">
          <reference field="5" count="1" selected="0">
            <x v="3"/>
          </reference>
          <reference field="11" count="1" selected="0">
            <x v="82"/>
          </reference>
          <reference field="12" count="1">
            <x v="18"/>
          </reference>
        </references>
      </pivotArea>
    </format>
    <format dxfId="1340">
      <pivotArea dataOnly="0" labelOnly="1" outline="0" fieldPosition="0">
        <references count="3">
          <reference field="5" count="1" selected="0">
            <x v="6"/>
          </reference>
          <reference field="11" count="1" selected="0">
            <x v="9"/>
          </reference>
          <reference field="12" count="1">
            <x v="36"/>
          </reference>
        </references>
      </pivotArea>
    </format>
    <format dxfId="1339">
      <pivotArea dataOnly="0" labelOnly="1" outline="0" fieldPosition="0">
        <references count="3">
          <reference field="5" count="1" selected="0">
            <x v="6"/>
          </reference>
          <reference field="11" count="1" selected="0">
            <x v="12"/>
          </reference>
          <reference field="12" count="1">
            <x v="92"/>
          </reference>
        </references>
      </pivotArea>
    </format>
    <format dxfId="1338">
      <pivotArea dataOnly="0" labelOnly="1" outline="0" fieldPosition="0">
        <references count="3">
          <reference field="5" count="1" selected="0">
            <x v="6"/>
          </reference>
          <reference field="11" count="1" selected="0">
            <x v="13"/>
          </reference>
          <reference field="12" count="1">
            <x v="98"/>
          </reference>
        </references>
      </pivotArea>
    </format>
    <format dxfId="1337">
      <pivotArea dataOnly="0" labelOnly="1" outline="0" fieldPosition="0">
        <references count="3">
          <reference field="5" count="1" selected="0">
            <x v="6"/>
          </reference>
          <reference field="11" count="1" selected="0">
            <x v="14"/>
          </reference>
          <reference field="12" count="1">
            <x v="99"/>
          </reference>
        </references>
      </pivotArea>
    </format>
    <format dxfId="1336">
      <pivotArea dataOnly="0" labelOnly="1" outline="0" fieldPosition="0">
        <references count="3">
          <reference field="5" count="1" selected="0">
            <x v="6"/>
          </reference>
          <reference field="11" count="1" selected="0">
            <x v="21"/>
          </reference>
          <reference field="12" count="1">
            <x v="38"/>
          </reference>
        </references>
      </pivotArea>
    </format>
    <format dxfId="1335">
      <pivotArea dataOnly="0" labelOnly="1" outline="0" fieldPosition="0">
        <references count="3">
          <reference field="5" count="1" selected="0">
            <x v="6"/>
          </reference>
          <reference field="11" count="1" selected="0">
            <x v="22"/>
          </reference>
          <reference field="12" count="1">
            <x v="86"/>
          </reference>
        </references>
      </pivotArea>
    </format>
    <format dxfId="1334">
      <pivotArea dataOnly="0" labelOnly="1" outline="0" fieldPosition="0">
        <references count="3">
          <reference field="5" count="1" selected="0">
            <x v="6"/>
          </reference>
          <reference field="11" count="1" selected="0">
            <x v="34"/>
          </reference>
          <reference field="12" count="1">
            <x v="39"/>
          </reference>
        </references>
      </pivotArea>
    </format>
    <format dxfId="1333">
      <pivotArea dataOnly="0" labelOnly="1" outline="0" fieldPosition="0">
        <references count="3">
          <reference field="5" count="1" selected="0">
            <x v="6"/>
          </reference>
          <reference field="11" count="1" selected="0">
            <x v="45"/>
          </reference>
          <reference field="12" count="1">
            <x v="83"/>
          </reference>
        </references>
      </pivotArea>
    </format>
    <format dxfId="1332">
      <pivotArea dataOnly="0" labelOnly="1" outline="0" fieldPosition="0">
        <references count="3">
          <reference field="5" count="1" selected="0">
            <x v="6"/>
          </reference>
          <reference field="11" count="1" selected="0">
            <x v="56"/>
          </reference>
          <reference field="12" count="1">
            <x v="87"/>
          </reference>
        </references>
      </pivotArea>
    </format>
    <format dxfId="1331">
      <pivotArea dataOnly="0" labelOnly="1" outline="0" fieldPosition="0">
        <references count="3">
          <reference field="5" count="1" selected="0">
            <x v="6"/>
          </reference>
          <reference field="11" count="1" selected="0">
            <x v="57"/>
          </reference>
          <reference field="12" count="1">
            <x v="100"/>
          </reference>
        </references>
      </pivotArea>
    </format>
    <format dxfId="1330">
      <pivotArea dataOnly="0" labelOnly="1" outline="0" fieldPosition="0">
        <references count="3">
          <reference field="5" count="1" selected="0">
            <x v="6"/>
          </reference>
          <reference field="11" count="1" selected="0">
            <x v="58"/>
          </reference>
          <reference field="12" count="1">
            <x v="101"/>
          </reference>
        </references>
      </pivotArea>
    </format>
    <format dxfId="1329">
      <pivotArea dataOnly="0" labelOnly="1" outline="0" fieldPosition="0">
        <references count="3">
          <reference field="5" count="1" selected="0">
            <x v="6"/>
          </reference>
          <reference field="11" count="1" selected="0">
            <x v="76"/>
          </reference>
          <reference field="12" count="1">
            <x v="42"/>
          </reference>
        </references>
      </pivotArea>
    </format>
    <format dxfId="1328">
      <pivotArea dataOnly="0" labelOnly="1" outline="0" fieldPosition="0">
        <references count="3">
          <reference field="5" count="1" selected="0">
            <x v="6"/>
          </reference>
          <reference field="11" count="1" selected="0">
            <x v="90"/>
          </reference>
          <reference field="12" count="1">
            <x v="43"/>
          </reference>
        </references>
      </pivotArea>
    </format>
    <format dxfId="1327">
      <pivotArea dataOnly="0" labelOnly="1" outline="0" fieldPosition="0">
        <references count="3">
          <reference field="5" count="1" selected="0">
            <x v="6"/>
          </reference>
          <reference field="11" count="1" selected="0">
            <x v="96"/>
          </reference>
          <reference field="12" count="1">
            <x v="45"/>
          </reference>
        </references>
      </pivotArea>
    </format>
    <format dxfId="1326">
      <pivotArea dataOnly="0" labelOnly="1" outline="0" fieldPosition="0">
        <references count="3">
          <reference field="5" count="1" selected="0">
            <x v="6"/>
          </reference>
          <reference field="11" count="1" selected="0">
            <x v="97"/>
          </reference>
          <reference field="12" count="1">
            <x v="82"/>
          </reference>
        </references>
      </pivotArea>
    </format>
    <format dxfId="1325">
      <pivotArea dataOnly="0" labelOnly="1" outline="0" fieldPosition="0">
        <references count="3">
          <reference field="5" count="1" selected="0">
            <x v="7"/>
          </reference>
          <reference field="11" count="1" selected="0">
            <x v="86"/>
          </reference>
          <reference field="12" count="1">
            <x v="13"/>
          </reference>
        </references>
      </pivotArea>
    </format>
    <format dxfId="1324">
      <pivotArea dataOnly="0" labelOnly="1" outline="0" fieldPosition="0">
        <references count="3">
          <reference field="5" count="1" selected="0">
            <x v="8"/>
          </reference>
          <reference field="11" count="1" selected="0">
            <x v="38"/>
          </reference>
          <reference field="12" count="1">
            <x v="32"/>
          </reference>
        </references>
      </pivotArea>
    </format>
    <format dxfId="1323">
      <pivotArea dataOnly="0" labelOnly="1" outline="0" fieldPosition="0">
        <references count="4">
          <reference field="5" count="1" selected="0">
            <x v="0"/>
          </reference>
          <reference field="11" count="1" selected="0">
            <x v="53"/>
          </reference>
          <reference field="12" count="1" selected="0">
            <x v="22"/>
          </reference>
          <reference field="29" count="1">
            <x v="0"/>
          </reference>
        </references>
      </pivotArea>
    </format>
    <format dxfId="1322">
      <pivotArea dataOnly="0" labelOnly="1" outline="0" fieldPosition="0">
        <references count="4">
          <reference field="5" count="1" selected="0">
            <x v="3"/>
          </reference>
          <reference field="11" count="1" selected="0">
            <x v="3"/>
          </reference>
          <reference field="12" count="1" selected="0">
            <x v="15"/>
          </reference>
          <reference field="29" count="1">
            <x v="2"/>
          </reference>
        </references>
      </pivotArea>
    </format>
    <format dxfId="1321">
      <pivotArea dataOnly="0" labelOnly="1" outline="0" fieldPosition="0">
        <references count="4">
          <reference field="5" count="1" selected="0">
            <x v="3"/>
          </reference>
          <reference field="11" count="1" selected="0">
            <x v="39"/>
          </reference>
          <reference field="12" count="1" selected="0">
            <x v="17"/>
          </reference>
          <reference field="29" count="1">
            <x v="1"/>
          </reference>
        </references>
      </pivotArea>
    </format>
    <format dxfId="1320">
      <pivotArea dataOnly="0" labelOnly="1" outline="0" fieldPosition="0">
        <references count="4">
          <reference field="5" count="1" selected="0">
            <x v="3"/>
          </reference>
          <reference field="11" count="1" selected="0">
            <x v="51"/>
          </reference>
          <reference field="12" count="1" selected="0">
            <x v="16"/>
          </reference>
          <reference field="29" count="1">
            <x v="2"/>
          </reference>
        </references>
      </pivotArea>
    </format>
    <format dxfId="1319">
      <pivotArea dataOnly="0" labelOnly="1" outline="0" fieldPosition="0">
        <references count="4">
          <reference field="5" count="1" selected="0">
            <x v="3"/>
          </reference>
          <reference field="11" count="1" selected="0">
            <x v="82"/>
          </reference>
          <reference field="12" count="1" selected="0">
            <x v="18"/>
          </reference>
          <reference field="29" count="1">
            <x v="1"/>
          </reference>
        </references>
      </pivotArea>
    </format>
    <format dxfId="1318">
      <pivotArea dataOnly="0" labelOnly="1" outline="0" fieldPosition="0">
        <references count="4">
          <reference field="5" count="1" selected="0">
            <x v="6"/>
          </reference>
          <reference field="11" count="1" selected="0">
            <x v="9"/>
          </reference>
          <reference field="12" count="1" selected="0">
            <x v="36"/>
          </reference>
          <reference field="29" count="1">
            <x v="2"/>
          </reference>
        </references>
      </pivotArea>
    </format>
    <format dxfId="1317">
      <pivotArea dataOnly="0" labelOnly="1" outline="0" fieldPosition="0">
        <references count="4">
          <reference field="5" count="1" selected="0">
            <x v="6"/>
          </reference>
          <reference field="11" count="1" selected="0">
            <x v="12"/>
          </reference>
          <reference field="12" count="1" selected="0">
            <x v="92"/>
          </reference>
          <reference field="29" count="1">
            <x v="0"/>
          </reference>
        </references>
      </pivotArea>
    </format>
    <format dxfId="1316">
      <pivotArea dataOnly="0" labelOnly="1" outline="0" fieldPosition="0">
        <references count="4">
          <reference field="5" count="1" selected="0">
            <x v="6"/>
          </reference>
          <reference field="11" count="1" selected="0">
            <x v="13"/>
          </reference>
          <reference field="12" count="1" selected="0">
            <x v="98"/>
          </reference>
          <reference field="29" count="1">
            <x v="1"/>
          </reference>
        </references>
      </pivotArea>
    </format>
    <format dxfId="1315">
      <pivotArea dataOnly="0" labelOnly="1" outline="0" fieldPosition="0">
        <references count="4">
          <reference field="5" count="1" selected="0">
            <x v="6"/>
          </reference>
          <reference field="11" count="1" selected="0">
            <x v="22"/>
          </reference>
          <reference field="12" count="1" selected="0">
            <x v="86"/>
          </reference>
          <reference field="29" count="1">
            <x v="0"/>
          </reference>
        </references>
      </pivotArea>
    </format>
    <format dxfId="1314">
      <pivotArea dataOnly="0" labelOnly="1" outline="0" fieldPosition="0">
        <references count="4">
          <reference field="5" count="1" selected="0">
            <x v="6"/>
          </reference>
          <reference field="11" count="1" selected="0">
            <x v="34"/>
          </reference>
          <reference field="12" count="1" selected="0">
            <x v="39"/>
          </reference>
          <reference field="29" count="1">
            <x v="2"/>
          </reference>
        </references>
      </pivotArea>
    </format>
    <format dxfId="1313">
      <pivotArea dataOnly="0" labelOnly="1" outline="0" fieldPosition="0">
        <references count="4">
          <reference field="5" count="1" selected="0">
            <x v="6"/>
          </reference>
          <reference field="11" count="1" selected="0">
            <x v="45"/>
          </reference>
          <reference field="12" count="1" selected="0">
            <x v="83"/>
          </reference>
          <reference field="29" count="1">
            <x v="6"/>
          </reference>
        </references>
      </pivotArea>
    </format>
    <format dxfId="1312">
      <pivotArea dataOnly="0" labelOnly="1" outline="0" fieldPosition="0">
        <references count="4">
          <reference field="5" count="1" selected="0">
            <x v="6"/>
          </reference>
          <reference field="11" count="1" selected="0">
            <x v="56"/>
          </reference>
          <reference field="12" count="1" selected="0">
            <x v="87"/>
          </reference>
          <reference field="29" count="1">
            <x v="1"/>
          </reference>
        </references>
      </pivotArea>
    </format>
    <format dxfId="1311">
      <pivotArea dataOnly="0" labelOnly="1" outline="0" fieldPosition="0">
        <references count="4">
          <reference field="5" count="1" selected="0">
            <x v="6"/>
          </reference>
          <reference field="11" count="1" selected="0">
            <x v="58"/>
          </reference>
          <reference field="12" count="1" selected="0">
            <x v="101"/>
          </reference>
          <reference field="29" count="1">
            <x v="2"/>
          </reference>
        </references>
      </pivotArea>
    </format>
    <format dxfId="1310">
      <pivotArea dataOnly="0" labelOnly="1" outline="0" fieldPosition="0">
        <references count="4">
          <reference field="5" count="1" selected="0">
            <x v="6"/>
          </reference>
          <reference field="11" count="1" selected="0">
            <x v="76"/>
          </reference>
          <reference field="12" count="1" selected="0">
            <x v="42"/>
          </reference>
          <reference field="29" count="1">
            <x v="1"/>
          </reference>
        </references>
      </pivotArea>
    </format>
    <format dxfId="1309">
      <pivotArea dataOnly="0" labelOnly="1" outline="0" fieldPosition="0">
        <references count="4">
          <reference field="5" count="1" selected="0">
            <x v="6"/>
          </reference>
          <reference field="11" count="1" selected="0">
            <x v="90"/>
          </reference>
          <reference field="12" count="1" selected="0">
            <x v="43"/>
          </reference>
          <reference field="29" count="1">
            <x v="2"/>
          </reference>
        </references>
      </pivotArea>
    </format>
    <format dxfId="1308">
      <pivotArea dataOnly="0" labelOnly="1" outline="0" fieldPosition="0">
        <references count="4">
          <reference field="5" count="1" selected="0">
            <x v="6"/>
          </reference>
          <reference field="11" count="1" selected="0">
            <x v="96"/>
          </reference>
          <reference field="12" count="1" selected="0">
            <x v="45"/>
          </reference>
          <reference field="29" count="1">
            <x v="6"/>
          </reference>
        </references>
      </pivotArea>
    </format>
    <format dxfId="1307">
      <pivotArea dataOnly="0" labelOnly="1" outline="0" fieldPosition="0">
        <references count="4">
          <reference field="5" count="1" selected="0">
            <x v="6"/>
          </reference>
          <reference field="11" count="1" selected="0">
            <x v="97"/>
          </reference>
          <reference field="12" count="1" selected="0">
            <x v="82"/>
          </reference>
          <reference field="29" count="1">
            <x v="0"/>
          </reference>
        </references>
      </pivotArea>
    </format>
    <format dxfId="1306">
      <pivotArea dataOnly="0" labelOnly="1" outline="0" fieldPosition="0">
        <references count="4">
          <reference field="5" count="1" selected="0">
            <x v="7"/>
          </reference>
          <reference field="11" count="1" selected="0">
            <x v="86"/>
          </reference>
          <reference field="12" count="1" selected="0">
            <x v="13"/>
          </reference>
          <reference field="29" count="1">
            <x v="3"/>
          </reference>
        </references>
      </pivotArea>
    </format>
    <format dxfId="1305">
      <pivotArea dataOnly="0" labelOnly="1" outline="0" fieldPosition="0">
        <references count="4">
          <reference field="5" count="1" selected="0">
            <x v="8"/>
          </reference>
          <reference field="11" count="1" selected="0">
            <x v="38"/>
          </reference>
          <reference field="12" count="1" selected="0">
            <x v="32"/>
          </reference>
          <reference field="29" count="1">
            <x v="0"/>
          </reference>
        </references>
      </pivotArea>
    </format>
    <format dxfId="1304">
      <pivotArea dataOnly="0" labelOnly="1" outline="0" fieldPosition="0">
        <references count="5">
          <reference field="5" count="1" selected="0">
            <x v="0"/>
          </reference>
          <reference field="11" count="1" selected="0">
            <x v="53"/>
          </reference>
          <reference field="12" count="1" selected="0">
            <x v="22"/>
          </reference>
          <reference field="28" count="1">
            <x v="1"/>
          </reference>
          <reference field="29" count="1" selected="0">
            <x v="0"/>
          </reference>
        </references>
      </pivotArea>
    </format>
    <format dxfId="1303">
      <pivotArea dataOnly="0" labelOnly="1" outline="0" fieldPosition="0">
        <references count="5">
          <reference field="5" count="1" selected="0">
            <x v="3"/>
          </reference>
          <reference field="11" count="1" selected="0">
            <x v="3"/>
          </reference>
          <reference field="12" count="1" selected="0">
            <x v="15"/>
          </reference>
          <reference field="28" count="1">
            <x v="0"/>
          </reference>
          <reference field="29" count="1" selected="0">
            <x v="2"/>
          </reference>
        </references>
      </pivotArea>
    </format>
    <format dxfId="1302">
      <pivotArea dataOnly="0" labelOnly="1" outline="0" fieldPosition="0">
        <references count="5">
          <reference field="5" count="1" selected="0">
            <x v="3"/>
          </reference>
          <reference field="11" count="1" selected="0">
            <x v="39"/>
          </reference>
          <reference field="12" count="1" selected="0">
            <x v="17"/>
          </reference>
          <reference field="28" count="1">
            <x v="0"/>
          </reference>
          <reference field="29" count="1" selected="0">
            <x v="1"/>
          </reference>
        </references>
      </pivotArea>
    </format>
    <format dxfId="1301">
      <pivotArea dataOnly="0" labelOnly="1" outline="0" fieldPosition="0">
        <references count="5">
          <reference field="5" count="1" selected="0">
            <x v="3"/>
          </reference>
          <reference field="11" count="1" selected="0">
            <x v="51"/>
          </reference>
          <reference field="12" count="1" selected="0">
            <x v="16"/>
          </reference>
          <reference field="28" count="1">
            <x v="0"/>
          </reference>
          <reference field="29" count="1" selected="0">
            <x v="2"/>
          </reference>
        </references>
      </pivotArea>
    </format>
    <format dxfId="1300">
      <pivotArea dataOnly="0" labelOnly="1" outline="0" fieldPosition="0">
        <references count="5">
          <reference field="5" count="1" selected="0">
            <x v="3"/>
          </reference>
          <reference field="11" count="1" selected="0">
            <x v="52"/>
          </reference>
          <reference field="12" count="1" selected="0">
            <x v="16"/>
          </reference>
          <reference field="28" count="1">
            <x v="0"/>
          </reference>
          <reference field="29" count="1" selected="0">
            <x v="2"/>
          </reference>
        </references>
      </pivotArea>
    </format>
    <format dxfId="1299">
      <pivotArea dataOnly="0" labelOnly="1" outline="0" fieldPosition="0">
        <references count="5">
          <reference field="5" count="1" selected="0">
            <x v="3"/>
          </reference>
          <reference field="11" count="1" selected="0">
            <x v="82"/>
          </reference>
          <reference field="12" count="1" selected="0">
            <x v="18"/>
          </reference>
          <reference field="28" count="1">
            <x v="0"/>
          </reference>
          <reference field="29" count="1" selected="0">
            <x v="1"/>
          </reference>
        </references>
      </pivotArea>
    </format>
    <format dxfId="1298">
      <pivotArea dataOnly="0" labelOnly="1" outline="0" fieldPosition="0">
        <references count="5">
          <reference field="5" count="1" selected="0">
            <x v="6"/>
          </reference>
          <reference field="11" count="1" selected="0">
            <x v="9"/>
          </reference>
          <reference field="12" count="1" selected="0">
            <x v="36"/>
          </reference>
          <reference field="28" count="1">
            <x v="0"/>
          </reference>
          <reference field="29" count="1" selected="0">
            <x v="2"/>
          </reference>
        </references>
      </pivotArea>
    </format>
    <format dxfId="1297">
      <pivotArea dataOnly="0" labelOnly="1" outline="0" fieldPosition="0">
        <references count="5">
          <reference field="5" count="1" selected="0">
            <x v="6"/>
          </reference>
          <reference field="11" count="1" selected="0">
            <x v="12"/>
          </reference>
          <reference field="12" count="1" selected="0">
            <x v="92"/>
          </reference>
          <reference field="28" count="1">
            <x v="1"/>
          </reference>
          <reference field="29" count="1" selected="0">
            <x v="0"/>
          </reference>
        </references>
      </pivotArea>
    </format>
    <format dxfId="1296">
      <pivotArea dataOnly="0" labelOnly="1" outline="0" fieldPosition="0">
        <references count="5">
          <reference field="5" count="1" selected="0">
            <x v="6"/>
          </reference>
          <reference field="11" count="1" selected="0">
            <x v="13"/>
          </reference>
          <reference field="12" count="1" selected="0">
            <x v="98"/>
          </reference>
          <reference field="28" count="1">
            <x v="0"/>
          </reference>
          <reference field="29" count="1" selected="0">
            <x v="1"/>
          </reference>
        </references>
      </pivotArea>
    </format>
    <format dxfId="1295">
      <pivotArea dataOnly="0" labelOnly="1" outline="0" fieldPosition="0">
        <references count="5">
          <reference field="5" count="1" selected="0">
            <x v="6"/>
          </reference>
          <reference field="11" count="1" selected="0">
            <x v="14"/>
          </reference>
          <reference field="12" count="1" selected="0">
            <x v="99"/>
          </reference>
          <reference field="28" count="1">
            <x v="0"/>
          </reference>
          <reference field="29" count="1" selected="0">
            <x v="1"/>
          </reference>
        </references>
      </pivotArea>
    </format>
    <format dxfId="1294">
      <pivotArea dataOnly="0" labelOnly="1" outline="0" fieldPosition="0">
        <references count="5">
          <reference field="5" count="1" selected="0">
            <x v="6"/>
          </reference>
          <reference field="11" count="1" selected="0">
            <x v="21"/>
          </reference>
          <reference field="12" count="1" selected="0">
            <x v="38"/>
          </reference>
          <reference field="28" count="1">
            <x v="0"/>
          </reference>
          <reference field="29" count="1" selected="0">
            <x v="1"/>
          </reference>
        </references>
      </pivotArea>
    </format>
    <format dxfId="1293">
      <pivotArea dataOnly="0" labelOnly="1" outline="0" fieldPosition="0">
        <references count="5">
          <reference field="5" count="1" selected="0">
            <x v="6"/>
          </reference>
          <reference field="11" count="1" selected="0">
            <x v="22"/>
          </reference>
          <reference field="12" count="1" selected="0">
            <x v="86"/>
          </reference>
          <reference field="28" count="1">
            <x v="1"/>
          </reference>
          <reference field="29" count="1" selected="0">
            <x v="0"/>
          </reference>
        </references>
      </pivotArea>
    </format>
    <format dxfId="1292">
      <pivotArea dataOnly="0" labelOnly="1" outline="0" fieldPosition="0">
        <references count="5">
          <reference field="5" count="1" selected="0">
            <x v="6"/>
          </reference>
          <reference field="11" count="1" selected="0">
            <x v="34"/>
          </reference>
          <reference field="12" count="1" selected="0">
            <x v="39"/>
          </reference>
          <reference field="28" count="1">
            <x v="0"/>
          </reference>
          <reference field="29" count="1" selected="0">
            <x v="2"/>
          </reference>
        </references>
      </pivotArea>
    </format>
    <format dxfId="1291">
      <pivotArea dataOnly="0" labelOnly="1" outline="0" fieldPosition="0">
        <references count="5">
          <reference field="5" count="1" selected="0">
            <x v="6"/>
          </reference>
          <reference field="11" count="1" selected="0">
            <x v="45"/>
          </reference>
          <reference field="12" count="1" selected="0">
            <x v="83"/>
          </reference>
          <reference field="28" count="1">
            <x v="0"/>
          </reference>
          <reference field="29" count="1" selected="0">
            <x v="6"/>
          </reference>
        </references>
      </pivotArea>
    </format>
    <format dxfId="1290">
      <pivotArea dataOnly="0" labelOnly="1" outline="0" fieldPosition="0">
        <references count="5">
          <reference field="5" count="1" selected="0">
            <x v="6"/>
          </reference>
          <reference field="11" count="1" selected="0">
            <x v="56"/>
          </reference>
          <reference field="12" count="1" selected="0">
            <x v="87"/>
          </reference>
          <reference field="28" count="1">
            <x v="0"/>
          </reference>
          <reference field="29" count="1" selected="0">
            <x v="1"/>
          </reference>
        </references>
      </pivotArea>
    </format>
    <format dxfId="1289">
      <pivotArea dataOnly="0" labelOnly="1" outline="0" fieldPosition="0">
        <references count="5">
          <reference field="5" count="1" selected="0">
            <x v="6"/>
          </reference>
          <reference field="11" count="1" selected="0">
            <x v="57"/>
          </reference>
          <reference field="12" count="1" selected="0">
            <x v="100"/>
          </reference>
          <reference field="28" count="1">
            <x v="0"/>
          </reference>
          <reference field="29" count="1" selected="0">
            <x v="1"/>
          </reference>
        </references>
      </pivotArea>
    </format>
    <format dxfId="1288">
      <pivotArea dataOnly="0" labelOnly="1" outline="0" fieldPosition="0">
        <references count="5">
          <reference field="5" count="1" selected="0">
            <x v="6"/>
          </reference>
          <reference field="11" count="1" selected="0">
            <x v="58"/>
          </reference>
          <reference field="12" count="1" selected="0">
            <x v="101"/>
          </reference>
          <reference field="28" count="1">
            <x v="0"/>
          </reference>
          <reference field="29" count="1" selected="0">
            <x v="2"/>
          </reference>
        </references>
      </pivotArea>
    </format>
    <format dxfId="1287">
      <pivotArea dataOnly="0" labelOnly="1" outline="0" fieldPosition="0">
        <references count="5">
          <reference field="5" count="1" selected="0">
            <x v="6"/>
          </reference>
          <reference field="11" count="1" selected="0">
            <x v="76"/>
          </reference>
          <reference field="12" count="1" selected="0">
            <x v="42"/>
          </reference>
          <reference field="28" count="1">
            <x v="0"/>
          </reference>
          <reference field="29" count="1" selected="0">
            <x v="1"/>
          </reference>
        </references>
      </pivotArea>
    </format>
    <format dxfId="1286">
      <pivotArea dataOnly="0" labelOnly="1" outline="0" fieldPosition="0">
        <references count="5">
          <reference field="5" count="1" selected="0">
            <x v="6"/>
          </reference>
          <reference field="11" count="1" selected="0">
            <x v="90"/>
          </reference>
          <reference field="12" count="1" selected="0">
            <x v="43"/>
          </reference>
          <reference field="28" count="1">
            <x v="0"/>
          </reference>
          <reference field="29" count="1" selected="0">
            <x v="2"/>
          </reference>
        </references>
      </pivotArea>
    </format>
    <format dxfId="1285">
      <pivotArea dataOnly="0" labelOnly="1" outline="0" fieldPosition="0">
        <references count="5">
          <reference field="5" count="1" selected="0">
            <x v="6"/>
          </reference>
          <reference field="11" count="1" selected="0">
            <x v="96"/>
          </reference>
          <reference field="12" count="1" selected="0">
            <x v="45"/>
          </reference>
          <reference field="28" count="1">
            <x v="0"/>
          </reference>
          <reference field="29" count="1" selected="0">
            <x v="6"/>
          </reference>
        </references>
      </pivotArea>
    </format>
    <format dxfId="1284">
      <pivotArea dataOnly="0" labelOnly="1" outline="0" fieldPosition="0">
        <references count="5">
          <reference field="5" count="1" selected="0">
            <x v="6"/>
          </reference>
          <reference field="11" count="1" selected="0">
            <x v="97"/>
          </reference>
          <reference field="12" count="1" selected="0">
            <x v="82"/>
          </reference>
          <reference field="28" count="1">
            <x v="1"/>
          </reference>
          <reference field="29" count="1" selected="0">
            <x v="0"/>
          </reference>
        </references>
      </pivotArea>
    </format>
    <format dxfId="1283">
      <pivotArea dataOnly="0" labelOnly="1" outline="0" fieldPosition="0">
        <references count="5">
          <reference field="5" count="1" selected="0">
            <x v="7"/>
          </reference>
          <reference field="11" count="1" selected="0">
            <x v="86"/>
          </reference>
          <reference field="12" count="1" selected="0">
            <x v="13"/>
          </reference>
          <reference field="28" count="1">
            <x v="1"/>
          </reference>
          <reference field="29" count="1" selected="0">
            <x v="3"/>
          </reference>
        </references>
      </pivotArea>
    </format>
    <format dxfId="1282">
      <pivotArea dataOnly="0" labelOnly="1" outline="0" fieldPosition="0">
        <references count="5">
          <reference field="5" count="1" selected="0">
            <x v="8"/>
          </reference>
          <reference field="11" count="1" selected="0">
            <x v="38"/>
          </reference>
          <reference field="12" count="1" selected="0">
            <x v="32"/>
          </reference>
          <reference field="28" count="1">
            <x v="1"/>
          </reference>
          <reference field="29" count="1" selected="0">
            <x v="0"/>
          </reference>
        </references>
      </pivotArea>
    </format>
    <format dxfId="1281">
      <pivotArea dataOnly="0" labelOnly="1" outline="0" fieldPosition="0">
        <references count="1">
          <reference field="4294967294" count="3">
            <x v="0"/>
            <x v="1"/>
            <x v="2"/>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8"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B118:B124" firstHeaderRow="1" firstDataRow="1" firstDataCol="1" rowPageCount="1" colPageCount="1"/>
  <pivotFields count="48">
    <pivotField showAll="0"/>
    <pivotField axis="axisPage" multipleItemSelectionAllowed="1" showAll="0">
      <items count="10">
        <item m="1" x="8"/>
        <item h="1" x="6"/>
        <item h="1" x="5"/>
        <item h="1" x="4"/>
        <item h="1" x="3"/>
        <item h="1" x="2"/>
        <item x="1"/>
        <item h="1" x="7"/>
        <item x="0"/>
        <item t="default"/>
      </items>
    </pivotField>
    <pivotField showAll="0"/>
    <pivotField showAll="0"/>
    <pivotField showAll="0"/>
    <pivotField showAll="0"/>
    <pivotField axis="axisRow" showAll="0">
      <items count="14">
        <item m="1" x="12"/>
        <item x="5"/>
        <item x="3"/>
        <item x="8"/>
        <item x="6"/>
        <item m="1" x="11"/>
        <item x="7"/>
        <item x="4"/>
        <item x="1"/>
        <item x="9"/>
        <item x="2"/>
        <item x="0"/>
        <item x="10"/>
        <item t="default"/>
      </items>
    </pivotField>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showAll="0" defaultSubtotal="0"/>
  </pivotFields>
  <rowFields count="1">
    <field x="6"/>
  </rowFields>
  <rowItems count="6">
    <i>
      <x v="2"/>
    </i>
    <i>
      <x v="7"/>
    </i>
    <i>
      <x v="8"/>
    </i>
    <i>
      <x v="10"/>
    </i>
    <i>
      <x v="11"/>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0" rowHeaderCaption="Township">
  <location ref="B6:M12" firstHeaderRow="0" firstDataRow="1" firstDataCol="1" rowPageCount="1" colPageCount="1"/>
  <pivotFields count="48">
    <pivotField showAll="0"/>
    <pivotField axis="axisPage" multipleItemSelectionAllowed="1" showAll="0">
      <items count="10">
        <item h="1" m="1" x="8"/>
        <item h="1" x="6"/>
        <item h="1" x="5"/>
        <item h="1" x="4"/>
        <item h="1" x="3"/>
        <item h="1" x="2"/>
        <item x="1"/>
        <item h="1" x="7"/>
        <item x="0"/>
        <item t="default"/>
      </items>
    </pivotField>
    <pivotField showAll="0"/>
    <pivotField showAll="0"/>
    <pivotField showAll="0"/>
    <pivotField showAll="0"/>
    <pivotField axis="axisRow" showAll="0">
      <items count="14">
        <item m="1" x="12"/>
        <item x="5"/>
        <item x="8"/>
        <item x="6"/>
        <item m="1" x="11"/>
        <item x="7"/>
        <item x="4"/>
        <item x="1"/>
        <item x="9"/>
        <item x="2"/>
        <item x="0"/>
        <item x="10"/>
        <item x="3"/>
        <item t="default"/>
      </items>
    </pivotField>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dataField="1" showAll="0"/>
    <pivotField showAll="0"/>
    <pivotField dataField="1" showAll="0"/>
    <pivotField dataField="1" showAll="0"/>
    <pivotField dataField="1" showAll="0"/>
    <pivotField dataField="1"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dragToRow="0" dragToCol="0" dragToPage="0" showAll="0" defaultSubtotal="0"/>
    <pivotField showAll="0" defaultSubtotal="0"/>
  </pivotFields>
  <rowFields count="1">
    <field x="6"/>
  </rowFields>
  <rowItems count="6">
    <i>
      <x v="6"/>
    </i>
    <i>
      <x v="7"/>
    </i>
    <i>
      <x v="9"/>
    </i>
    <i>
      <x v="10"/>
    </i>
    <i>
      <x v="12"/>
    </i>
    <i t="grand">
      <x/>
    </i>
  </rowItems>
  <colFields count="1">
    <field x="-2"/>
  </colFields>
  <colItems count="11">
    <i>
      <x/>
    </i>
    <i i="1">
      <x v="1"/>
    </i>
    <i i="2">
      <x v="2"/>
    </i>
    <i i="3">
      <x v="3"/>
    </i>
    <i i="4">
      <x v="4"/>
    </i>
    <i i="5">
      <x v="5"/>
    </i>
    <i i="6">
      <x v="6"/>
    </i>
    <i i="7">
      <x v="7"/>
    </i>
    <i i="8">
      <x v="8"/>
    </i>
    <i i="9">
      <x v="9"/>
    </i>
    <i i="10">
      <x v="10"/>
    </i>
  </colItems>
  <pageFields count="1">
    <pageField fld="1" hier="-1"/>
  </pageFields>
  <dataFields count="11">
    <dataField name="Mosquito net  " fld="31" baseField="6" baseItem="6"/>
    <dataField name="Tarpaulin " fld="32" baseField="6" baseItem="6"/>
    <dataField name="Blanket " fld="33" baseField="6" baseItem="6"/>
    <dataField name="Kitchen Set " fld="34" baseField="6" baseItem="6"/>
    <dataField name="Complementary Kit " fld="35" baseField="6" baseItem="6"/>
    <dataField name="Plastic  Mat " fld="38" baseField="6" baseItem="6"/>
    <dataField name="Adult Clothes " fld="39" baseField="6" baseItem="6"/>
    <dataField name="Children Clothes " fld="40" baseField="6" baseItem="6"/>
    <dataField name="Sewing Kit " fld="41" baseField="6" baseItem="6"/>
    <dataField name="Solar Lantern " fld="42" baseField="6" baseItem="6"/>
    <dataField name="NFI Core Kit " fld="29" baseField="6" baseItem="7"/>
  </dataFields>
  <formats count="20">
    <format dxfId="547">
      <pivotArea type="all" dataOnly="0" outline="0" fieldPosition="0"/>
    </format>
    <format dxfId="546">
      <pivotArea outline="0" collapsedLevelsAreSubtotals="1" fieldPosition="0"/>
    </format>
    <format dxfId="545">
      <pivotArea dataOnly="0" labelOnly="1" fieldPosition="0">
        <references count="1">
          <reference field="6" count="5">
            <x v="6"/>
            <x v="7"/>
            <x v="9"/>
            <x v="10"/>
            <x v="12"/>
          </reference>
        </references>
      </pivotArea>
    </format>
    <format dxfId="544">
      <pivotArea collapsedLevelsAreSubtotals="1" fieldPosition="0">
        <references count="1">
          <reference field="6" count="5">
            <x v="6"/>
            <x v="7"/>
            <x v="9"/>
            <x v="10"/>
            <x v="12"/>
          </reference>
        </references>
      </pivotArea>
    </format>
    <format dxfId="543">
      <pivotArea dataOnly="0" labelOnly="1" fieldPosition="0">
        <references count="1">
          <reference field="6" count="5">
            <x v="6"/>
            <x v="7"/>
            <x v="9"/>
            <x v="10"/>
            <x v="12"/>
          </reference>
        </references>
      </pivotArea>
    </format>
    <format dxfId="542">
      <pivotArea collapsedLevelsAreSubtotals="1" fieldPosition="0">
        <references count="1">
          <reference field="6" count="5">
            <x v="6"/>
            <x v="7"/>
            <x v="9"/>
            <x v="10"/>
            <x v="12"/>
          </reference>
        </references>
      </pivotArea>
    </format>
    <format dxfId="541">
      <pivotArea field="6" type="button" dataOnly="0" labelOnly="1" outline="0" axis="axisRow" fieldPosition="0"/>
    </format>
    <format dxfId="540">
      <pivotArea field="6" type="button" dataOnly="0" labelOnly="1" outline="0" axis="axisRow" fieldPosition="0"/>
    </format>
    <format dxfId="539">
      <pivotArea field="6" type="button" dataOnly="0" labelOnly="1" outline="0" axis="axisRow" fieldPosition="0"/>
    </format>
    <format dxfId="538">
      <pivotArea grandRow="1" outline="0" collapsedLevelsAreSubtotals="1" fieldPosition="0"/>
    </format>
    <format dxfId="537">
      <pivotArea dataOnly="0" labelOnly="1" grandRow="1" outline="0" fieldPosition="0"/>
    </format>
    <format dxfId="536">
      <pivotArea grandRow="1" outline="0" collapsedLevelsAreSubtotals="1" fieldPosition="0"/>
    </format>
    <format dxfId="535">
      <pivotArea dataOnly="0" labelOnly="1" grandRow="1" outline="0" fieldPosition="0"/>
    </format>
    <format dxfId="534">
      <pivotArea grandRow="1" outline="0" collapsedLevelsAreSubtotals="1" fieldPosition="0"/>
    </format>
    <format dxfId="533">
      <pivotArea dataOnly="0" labelOnly="1" grandRow="1" outline="0" fieldPosition="0"/>
    </format>
    <format dxfId="532">
      <pivotArea collapsedLevelsAreSubtotals="1" fieldPosition="0">
        <references count="1">
          <reference field="6" count="5">
            <x v="6"/>
            <x v="7"/>
            <x v="9"/>
            <x v="10"/>
            <x v="12"/>
          </reference>
        </references>
      </pivotArea>
    </format>
    <format dxfId="531">
      <pivotArea dataOnly="0" labelOnly="1" fieldPosition="0">
        <references count="1">
          <reference field="6" count="5">
            <x v="6"/>
            <x v="7"/>
            <x v="9"/>
            <x v="10"/>
            <x v="12"/>
          </reference>
        </references>
      </pivotArea>
    </format>
    <format dxfId="530">
      <pivotArea collapsedLevelsAreSubtotals="1" fieldPosition="0">
        <references count="1">
          <reference field="6" count="5">
            <x v="6"/>
            <x v="7"/>
            <x v="9"/>
            <x v="10"/>
            <x v="12"/>
          </reference>
        </references>
      </pivotArea>
    </format>
    <format dxfId="529">
      <pivotArea dataOnly="0" labelOnly="1" fieldPosition="0">
        <references count="1">
          <reference field="6" count="5">
            <x v="6"/>
            <x v="7"/>
            <x v="9"/>
            <x v="10"/>
            <x v="12"/>
          </reference>
        </references>
      </pivotArea>
    </format>
    <format dxfId="528">
      <pivotArea field="6" type="button" dataOnly="0" labelOnly="1" outline="0" axis="axisRow"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5" cacheId="1" applyNumberFormats="0" applyBorderFormats="0" applyFontFormats="0" applyPatternFormats="0" applyAlignmentFormats="0" applyWidthHeightFormats="1" dataCaption="Values" updatedVersion="5" minRefreshableVersion="3" showDrill="0" useAutoFormatting="1" itemPrintTitles="1" createdVersion="4" indent="0" showHeaders="0" compact="0" compactData="0" gridDropZones="1" multipleFieldFilters="0">
  <location ref="Z38:AB100" firstHeaderRow="2" firstDataRow="2" firstDataCol="2"/>
  <pivotFields count="48">
    <pivotField compact="0" outline="0" showAll="0"/>
    <pivotField compact="0" outline="0" showAll="0"/>
    <pivotField compact="0" outline="0" showAll="0"/>
    <pivotField axis="axisRow" compact="0" outline="0" showAll="0">
      <items count="31">
        <item x="25"/>
        <item x="21"/>
        <item x="9"/>
        <item x="7"/>
        <item x="16"/>
        <item x="8"/>
        <item x="19"/>
        <item x="24"/>
        <item x="18"/>
        <item x="13"/>
        <item x="15"/>
        <item x="17"/>
        <item x="11"/>
        <item x="23"/>
        <item x="10"/>
        <item x="0"/>
        <item x="12"/>
        <item x="20"/>
        <item x="1"/>
        <item x="5"/>
        <item x="6"/>
        <item m="1" x="28"/>
        <item x="22"/>
        <item x="2"/>
        <item x="4"/>
        <item m="1" x="29"/>
        <item x="14"/>
        <item m="1" x="27"/>
        <item x="26"/>
        <item x="3"/>
        <item t="default"/>
      </items>
    </pivotField>
    <pivotField compact="0" outline="0" showAll="0"/>
    <pivotField compact="0" outline="0" showAll="0"/>
    <pivotField axis="axisRow" compact="0" outline="0" showAll="0">
      <items count="14">
        <item m="1" x="12"/>
        <item x="5"/>
        <item x="3"/>
        <item x="8"/>
        <item x="6"/>
        <item m="1" x="11"/>
        <item x="7"/>
        <item x="4"/>
        <item x="1"/>
        <item x="9"/>
        <item x="2"/>
        <item x="0"/>
        <item x="10"/>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showAll="0" defaultSubtotal="0"/>
  </pivotFields>
  <rowFields count="2">
    <field x="6"/>
    <field x="3"/>
  </rowFields>
  <rowItems count="61">
    <i>
      <x v="1"/>
      <x v="23"/>
    </i>
    <i r="1">
      <x v="24"/>
    </i>
    <i t="default">
      <x v="1"/>
    </i>
    <i>
      <x v="2"/>
      <x v="22"/>
    </i>
    <i r="1">
      <x v="23"/>
    </i>
    <i t="default">
      <x v="2"/>
    </i>
    <i>
      <x v="3"/>
      <x v="1"/>
    </i>
    <i r="1">
      <x v="23"/>
    </i>
    <i t="default">
      <x v="3"/>
    </i>
    <i>
      <x v="4"/>
      <x/>
    </i>
    <i r="1">
      <x v="23"/>
    </i>
    <i r="1">
      <x v="24"/>
    </i>
    <i t="default">
      <x v="4"/>
    </i>
    <i>
      <x v="6"/>
      <x v="23"/>
    </i>
    <i r="1">
      <x v="24"/>
    </i>
    <i t="default">
      <x v="6"/>
    </i>
    <i>
      <x v="7"/>
      <x v="10"/>
    </i>
    <i r="1">
      <x v="16"/>
    </i>
    <i r="1">
      <x v="23"/>
    </i>
    <i r="1">
      <x v="24"/>
    </i>
    <i t="default">
      <x v="7"/>
    </i>
    <i>
      <x v="8"/>
      <x v="1"/>
    </i>
    <i r="1">
      <x v="5"/>
    </i>
    <i r="1">
      <x v="6"/>
    </i>
    <i r="1">
      <x v="8"/>
    </i>
    <i r="1">
      <x v="17"/>
    </i>
    <i r="1">
      <x v="18"/>
    </i>
    <i r="1">
      <x v="19"/>
    </i>
    <i r="1">
      <x v="23"/>
    </i>
    <i r="1">
      <x v="24"/>
    </i>
    <i r="1">
      <x v="26"/>
    </i>
    <i t="default">
      <x v="8"/>
    </i>
    <i>
      <x v="9"/>
      <x v="23"/>
    </i>
    <i r="1">
      <x v="24"/>
    </i>
    <i t="default">
      <x v="9"/>
    </i>
    <i>
      <x v="10"/>
      <x v="14"/>
    </i>
    <i r="1">
      <x v="23"/>
    </i>
    <i t="default">
      <x v="10"/>
    </i>
    <i>
      <x v="11"/>
      <x/>
    </i>
    <i r="1">
      <x v="2"/>
    </i>
    <i r="1">
      <x v="3"/>
    </i>
    <i r="1">
      <x v="4"/>
    </i>
    <i r="1">
      <x v="7"/>
    </i>
    <i r="1">
      <x v="8"/>
    </i>
    <i r="1">
      <x v="9"/>
    </i>
    <i r="1">
      <x v="11"/>
    </i>
    <i r="1">
      <x v="12"/>
    </i>
    <i r="1">
      <x v="13"/>
    </i>
    <i r="1">
      <x v="14"/>
    </i>
    <i r="1">
      <x v="15"/>
    </i>
    <i r="1">
      <x v="17"/>
    </i>
    <i r="1">
      <x v="18"/>
    </i>
    <i r="1">
      <x v="19"/>
    </i>
    <i r="1">
      <x v="20"/>
    </i>
    <i r="1">
      <x v="23"/>
    </i>
    <i r="1">
      <x v="26"/>
    </i>
    <i r="1">
      <x v="29"/>
    </i>
    <i t="default">
      <x v="11"/>
    </i>
    <i>
      <x v="12"/>
      <x v="28"/>
    </i>
    <i t="default">
      <x v="12"/>
    </i>
    <i t="grand">
      <x/>
    </i>
  </rowItems>
  <colItems count="1">
    <i/>
  </colItems>
  <dataFields count="1">
    <dataField name=" Estimated Individual Coverage " fld="10" baseField="3" baseItem="2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PivotTable6"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Organization">
  <location ref="B27:M43" firstHeaderRow="0" firstDataRow="1" firstDataCol="1" rowPageCount="1" colPageCount="1"/>
  <pivotFields count="48">
    <pivotField showAll="0"/>
    <pivotField axis="axisPage" multipleItemSelectionAllowed="1" showAll="0">
      <items count="10">
        <item h="1" m="1" x="8"/>
        <item h="1" x="6"/>
        <item h="1" x="5"/>
        <item h="1" x="4"/>
        <item h="1" x="3"/>
        <item h="1" x="2"/>
        <item x="1"/>
        <item h="1" x="7"/>
        <item x="0"/>
        <item t="default"/>
      </items>
    </pivotField>
    <pivotField showAll="0"/>
    <pivotField axis="axisRow" showAll="0">
      <items count="31">
        <item x="25"/>
        <item x="21"/>
        <item h="1" x="9"/>
        <item x="7"/>
        <item x="16"/>
        <item x="19"/>
        <item x="24"/>
        <item x="18"/>
        <item x="13"/>
        <item h="1" x="15"/>
        <item x="17"/>
        <item x="11"/>
        <item x="23"/>
        <item x="10"/>
        <item x="12"/>
        <item x="20"/>
        <item x="1"/>
        <item x="5"/>
        <item m="1" x="28"/>
        <item x="22"/>
        <item x="2"/>
        <item x="4"/>
        <item m="1" x="29"/>
        <item x="14"/>
        <item m="1" x="27"/>
        <item x="26"/>
        <item x="8"/>
        <item x="6"/>
        <item x="0"/>
        <item x="3"/>
        <item t="default"/>
      </items>
    </pivotField>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dataField="1" showAll="0"/>
    <pivotField showAll="0"/>
    <pivotField dataField="1" showAll="0"/>
    <pivotField dataField="1" showAll="0"/>
    <pivotField dataField="1" showAll="0"/>
    <pivotField dataField="1"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dragToRow="0" dragToCol="0" dragToPage="0" showAll="0" defaultSubtotal="0"/>
    <pivotField showAll="0" defaultSubtotal="0"/>
  </pivotFields>
  <rowFields count="1">
    <field x="3"/>
  </rowFields>
  <rowItems count="16">
    <i>
      <x v="3"/>
    </i>
    <i>
      <x v="4"/>
    </i>
    <i>
      <x v="8"/>
    </i>
    <i>
      <x v="11"/>
    </i>
    <i>
      <x v="13"/>
    </i>
    <i>
      <x v="14"/>
    </i>
    <i>
      <x v="16"/>
    </i>
    <i>
      <x v="17"/>
    </i>
    <i>
      <x v="20"/>
    </i>
    <i>
      <x v="21"/>
    </i>
    <i>
      <x v="23"/>
    </i>
    <i>
      <x v="26"/>
    </i>
    <i>
      <x v="27"/>
    </i>
    <i>
      <x v="28"/>
    </i>
    <i>
      <x v="29"/>
    </i>
    <i t="grand">
      <x/>
    </i>
  </rowItems>
  <colFields count="1">
    <field x="-2"/>
  </colFields>
  <colItems count="11">
    <i>
      <x/>
    </i>
    <i i="1">
      <x v="1"/>
    </i>
    <i i="2">
      <x v="2"/>
    </i>
    <i i="3">
      <x v="3"/>
    </i>
    <i i="4">
      <x v="4"/>
    </i>
    <i i="5">
      <x v="5"/>
    </i>
    <i i="6">
      <x v="6"/>
    </i>
    <i i="7">
      <x v="7"/>
    </i>
    <i i="8">
      <x v="8"/>
    </i>
    <i i="9">
      <x v="9"/>
    </i>
    <i i="10">
      <x v="10"/>
    </i>
  </colItems>
  <pageFields count="1">
    <pageField fld="1" hier="-1"/>
  </pageFields>
  <dataFields count="11">
    <dataField name="Mosquito net " fld="31" baseField="3" baseItem="3"/>
    <dataField name="Tarpaulin " fld="32" baseField="3" baseItem="3"/>
    <dataField name="Blanket " fld="33" baseField="3" baseItem="3"/>
    <dataField name="Kitchen Set " fld="34" baseField="3" baseItem="3"/>
    <dataField name="Complementary Kit " fld="35" baseField="3" baseItem="3"/>
    <dataField name="Plastic  Mat " fld="38" baseField="3" baseItem="3"/>
    <dataField name="Adult Clothes " fld="39" baseField="3" baseItem="3"/>
    <dataField name="Children Clothes " fld="40" baseField="3" baseItem="3"/>
    <dataField name="Sewing Kit " fld="41" baseField="3" baseItem="3"/>
    <dataField name="Solar Lantern " fld="42" baseField="3" baseItem="3"/>
    <dataField name="NFI Core Kit " fld="29" baseField="3" baseItem="3"/>
  </dataFields>
  <formats count="18">
    <format dxfId="565">
      <pivotArea type="all" dataOnly="0" outline="0" fieldPosition="0"/>
    </format>
    <format dxfId="564">
      <pivotArea outline="0" collapsedLevelsAreSubtotals="1" fieldPosition="0"/>
    </format>
    <format dxfId="563">
      <pivotArea field="3" type="button" dataOnly="0" labelOnly="1" outline="0" axis="axisRow" fieldPosition="0"/>
    </format>
    <format dxfId="562">
      <pivotArea dataOnly="0" labelOnly="1" fieldPosition="0">
        <references count="1">
          <reference field="3" count="11">
            <x v="2"/>
            <x v="4"/>
            <x v="8"/>
            <x v="9"/>
            <x v="11"/>
            <x v="13"/>
            <x v="14"/>
            <x v="16"/>
            <x v="17"/>
            <x v="20"/>
            <x v="23"/>
          </reference>
        </references>
      </pivotArea>
    </format>
    <format dxfId="561">
      <pivotArea dataOnly="0" labelOnly="1" grandRow="1" outline="0" fieldPosition="0"/>
    </format>
    <format dxfId="560">
      <pivotArea collapsedLevelsAreSubtotals="1" fieldPosition="0">
        <references count="1">
          <reference field="3" count="11">
            <x v="2"/>
            <x v="4"/>
            <x v="8"/>
            <x v="9"/>
            <x v="11"/>
            <x v="13"/>
            <x v="14"/>
            <x v="16"/>
            <x v="17"/>
            <x v="20"/>
            <x v="23"/>
          </reference>
        </references>
      </pivotArea>
    </format>
    <format dxfId="559">
      <pivotArea field="3" type="button" dataOnly="0" labelOnly="1" outline="0" axis="axisRow" fieldPosition="0"/>
    </format>
    <format dxfId="558">
      <pivotArea dataOnly="0" labelOnly="1" fieldPosition="0">
        <references count="1">
          <reference field="3" count="11">
            <x v="2"/>
            <x v="4"/>
            <x v="8"/>
            <x v="9"/>
            <x v="11"/>
            <x v="13"/>
            <x v="14"/>
            <x v="16"/>
            <x v="17"/>
            <x v="20"/>
            <x v="23"/>
          </reference>
        </references>
      </pivotArea>
    </format>
    <format dxfId="557">
      <pivotArea field="3" type="button" dataOnly="0" labelOnly="1" outline="0" axis="axisRow" fieldPosition="0"/>
    </format>
    <format dxfId="556">
      <pivotArea dataOnly="0" labelOnly="1" grandRow="1" outline="0" fieldPosition="0"/>
    </format>
    <format dxfId="555">
      <pivotArea grandRow="1" outline="0" collapsedLevelsAreSubtotals="1" fieldPosition="0"/>
    </format>
    <format dxfId="554">
      <pivotArea collapsedLevelsAreSubtotals="1" fieldPosition="0">
        <references count="1">
          <reference field="3" count="11">
            <x v="2"/>
            <x v="4"/>
            <x v="8"/>
            <x v="9"/>
            <x v="11"/>
            <x v="13"/>
            <x v="14"/>
            <x v="16"/>
            <x v="17"/>
            <x v="20"/>
            <x v="23"/>
          </reference>
        </references>
      </pivotArea>
    </format>
    <format dxfId="553">
      <pivotArea field="3" type="button" dataOnly="0" labelOnly="1" outline="0" axis="axisRow" fieldPosition="0"/>
    </format>
    <format dxfId="552">
      <pivotArea dataOnly="0" labelOnly="1" fieldPosition="0">
        <references count="1">
          <reference field="3" count="14">
            <x v="3"/>
            <x v="4"/>
            <x v="8"/>
            <x v="9"/>
            <x v="11"/>
            <x v="13"/>
            <x v="14"/>
            <x v="16"/>
            <x v="17"/>
            <x v="20"/>
            <x v="21"/>
            <x v="23"/>
            <x v="26"/>
            <x v="27"/>
          </reference>
        </references>
      </pivotArea>
    </format>
    <format dxfId="551">
      <pivotArea dataOnly="0" labelOnly="1" fieldPosition="0">
        <references count="1">
          <reference field="3" count="1">
            <x v="28"/>
          </reference>
        </references>
      </pivotArea>
    </format>
    <format dxfId="550">
      <pivotArea dataOnly="0" labelOnly="1" outline="0" fieldPosition="0">
        <references count="1">
          <reference field="4294967294" count="11">
            <x v="0"/>
            <x v="1"/>
            <x v="2"/>
            <x v="3"/>
            <x v="4"/>
            <x v="5"/>
            <x v="6"/>
            <x v="7"/>
            <x v="8"/>
            <x v="9"/>
            <x v="10"/>
          </reference>
        </references>
      </pivotArea>
    </format>
    <format dxfId="549">
      <pivotArea dataOnly="0" labelOnly="1" outline="0" fieldPosition="0">
        <references count="1">
          <reference field="4294967294" count="11">
            <x v="0"/>
            <x v="1"/>
            <x v="2"/>
            <x v="3"/>
            <x v="4"/>
            <x v="5"/>
            <x v="6"/>
            <x v="7"/>
            <x v="8"/>
            <x v="9"/>
            <x v="10"/>
          </reference>
        </references>
      </pivotArea>
    </format>
    <format dxfId="548">
      <pivotArea dataOnly="0" labelOnly="1" fieldPosition="0">
        <references count="1">
          <reference field="3" count="1">
            <x v="2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25:O81" firstHeaderRow="0" firstDataRow="1" firstDataCol="1" rowPageCount="2" colPageCount="1"/>
  <pivotFields count="48">
    <pivotField subtotalTop="0" showAll="0"/>
    <pivotField axis="axisRow" subtotalTop="0" multipleItemSelectionAllowed="1" showAll="0">
      <items count="10">
        <item x="6"/>
        <item x="5"/>
        <item x="4"/>
        <item x="3"/>
        <item x="2"/>
        <item x="7"/>
        <item m="1" x="8"/>
        <item x="1"/>
        <item x="0"/>
        <item t="default"/>
      </items>
    </pivotField>
    <pivotField subtotalTop="0" showAll="0">
      <items count="15">
        <item x="0"/>
        <item x="1"/>
        <item x="2"/>
        <item x="3"/>
        <item x="4"/>
        <item x="5"/>
        <item x="6"/>
        <item x="7"/>
        <item x="8"/>
        <item x="9"/>
        <item x="10"/>
        <item x="11"/>
        <item x="12"/>
        <item x="13"/>
        <item t="default"/>
      </items>
    </pivotField>
    <pivotField subtotalTop="0" showAll="0"/>
    <pivotField subtotalTop="0" showAll="0"/>
    <pivotField axis="axisPage" subtotalTop="0" multipleItemSelectionAllowed="1" showAll="0">
      <items count="3">
        <item x="0"/>
        <item h="1" x="1"/>
        <item t="default"/>
      </items>
    </pivotField>
    <pivotField axis="axisRow" subtotalTop="0" showAll="0">
      <items count="14">
        <item m="1" x="12"/>
        <item x="5"/>
        <item x="3"/>
        <item x="8"/>
        <item x="6"/>
        <item m="1" x="11"/>
        <item x="7"/>
        <item x="4"/>
        <item x="1"/>
        <item x="9"/>
        <item x="2"/>
        <item x="0"/>
        <item x="10"/>
        <item t="default"/>
      </items>
    </pivotField>
    <pivotField subtotalTop="0" showAll="0"/>
    <pivotField subtotalTop="0" showAll="0"/>
    <pivotField showAll="0" defaultSubtotal="0"/>
    <pivotField showAll="0" defaultSubtota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howAll="0" defaultSubtotal="0"/>
    <pivotField subtotalTop="0" showAll="0"/>
    <pivotField axis="axisPage" subtotalTop="0" multipleItemSelectionAllowed="1" showAll="0">
      <items count="9">
        <item x="1"/>
        <item h="1" x="4"/>
        <item x="0"/>
        <item x="2"/>
        <item m="1" x="7"/>
        <item x="3"/>
        <item m="1" x="6"/>
        <item x="5"/>
        <item t="default"/>
      </items>
    </pivotField>
    <pivotField showAll="0" defaultSubtotal="0"/>
    <pivotField subtotalTop="0" dragToRow="0" dragToCol="0" dragToPage="0" showAll="0"/>
    <pivotField showAll="0" defaultSubtotal="0">
      <items count="9">
        <item x="1"/>
        <item x="2"/>
        <item x="3"/>
        <item x="4"/>
        <item x="5"/>
        <item x="6"/>
        <item x="7"/>
        <item x="0"/>
        <item x="8"/>
      </items>
    </pivotField>
  </pivotFields>
  <rowFields count="2">
    <field x="1"/>
    <field x="6"/>
  </rowFields>
  <rowItems count="56">
    <i>
      <x/>
    </i>
    <i r="1">
      <x v="1"/>
    </i>
    <i r="1">
      <x v="2"/>
    </i>
    <i r="1">
      <x v="3"/>
    </i>
    <i r="1">
      <x v="4"/>
    </i>
    <i r="1">
      <x v="6"/>
    </i>
    <i r="1">
      <x v="7"/>
    </i>
    <i r="1">
      <x v="8"/>
    </i>
    <i r="1">
      <x v="11"/>
    </i>
    <i t="default">
      <x/>
    </i>
    <i>
      <x v="1"/>
    </i>
    <i r="1">
      <x v="1"/>
    </i>
    <i r="1">
      <x v="2"/>
    </i>
    <i r="1">
      <x v="3"/>
    </i>
    <i r="1">
      <x v="4"/>
    </i>
    <i r="1">
      <x v="6"/>
    </i>
    <i r="1">
      <x v="7"/>
    </i>
    <i r="1">
      <x v="8"/>
    </i>
    <i r="1">
      <x v="10"/>
    </i>
    <i r="1">
      <x v="11"/>
    </i>
    <i t="default">
      <x v="1"/>
    </i>
    <i>
      <x v="2"/>
    </i>
    <i r="1">
      <x v="2"/>
    </i>
    <i r="1">
      <x v="3"/>
    </i>
    <i r="1">
      <x v="8"/>
    </i>
    <i r="1">
      <x v="10"/>
    </i>
    <i r="1">
      <x v="11"/>
    </i>
    <i t="default">
      <x v="2"/>
    </i>
    <i>
      <x v="3"/>
    </i>
    <i r="1">
      <x v="2"/>
    </i>
    <i r="1">
      <x v="3"/>
    </i>
    <i r="1">
      <x v="4"/>
    </i>
    <i r="1">
      <x v="6"/>
    </i>
    <i r="1">
      <x v="7"/>
    </i>
    <i r="1">
      <x v="8"/>
    </i>
    <i r="1">
      <x v="10"/>
    </i>
    <i r="1">
      <x v="11"/>
    </i>
    <i t="default">
      <x v="3"/>
    </i>
    <i>
      <x v="4"/>
    </i>
    <i r="1">
      <x v="1"/>
    </i>
    <i r="1">
      <x v="7"/>
    </i>
    <i r="1">
      <x v="8"/>
    </i>
    <i r="1">
      <x v="11"/>
    </i>
    <i t="default">
      <x v="4"/>
    </i>
    <i>
      <x v="7"/>
    </i>
    <i r="1">
      <x v="2"/>
    </i>
    <i r="1">
      <x v="7"/>
    </i>
    <i r="1">
      <x v="8"/>
    </i>
    <i r="1">
      <x v="10"/>
    </i>
    <i r="1">
      <x v="11"/>
    </i>
    <i t="default">
      <x v="7"/>
    </i>
    <i>
      <x v="8"/>
    </i>
    <i r="1">
      <x v="8"/>
    </i>
    <i r="1">
      <x v="11"/>
    </i>
    <i t="default">
      <x v="8"/>
    </i>
    <i t="grand">
      <x/>
    </i>
  </rowItems>
  <colFields count="1">
    <field x="-2"/>
  </colFields>
  <colItems count="14">
    <i>
      <x/>
    </i>
    <i i="1">
      <x v="1"/>
    </i>
    <i i="2">
      <x v="2"/>
    </i>
    <i i="3">
      <x v="3"/>
    </i>
    <i i="4">
      <x v="4"/>
    </i>
    <i i="5">
      <x v="5"/>
    </i>
    <i i="6">
      <x v="6"/>
    </i>
    <i i="7">
      <x v="7"/>
    </i>
    <i i="8">
      <x v="8"/>
    </i>
    <i i="9">
      <x v="9"/>
    </i>
    <i i="10">
      <x v="10"/>
    </i>
    <i i="11">
      <x v="11"/>
    </i>
    <i i="12">
      <x v="12"/>
    </i>
    <i i="13">
      <x v="13"/>
    </i>
  </colItems>
  <pageFields count="2">
    <pageField fld="5" hier="-1"/>
    <pageField fld="44" hier="-1"/>
  </pageFields>
  <dataFields count="14">
    <dataField name="Sanitary Kit " fld="12" baseField="1" baseItem="0"/>
    <dataField name=" Mosquito net" fld="13" baseField="1" baseItem="0"/>
    <dataField name=" Tarpaulin" fld="14" baseField="1" baseItem="0"/>
    <dataField name=" Blanket" fld="15" baseField="1" baseItem="0"/>
    <dataField name=" Kitchen Set" fld="16" baseField="1" baseItem="0"/>
    <dataField name=" Complementary Kit" fld="17" baseField="1" baseItem="0"/>
    <dataField name=" Plastic Bucket" fld="18" baseField="1" baseItem="0"/>
    <dataField name=" Jerry Can" fld="19" baseField="1" baseItem="0"/>
    <dataField name=" Plastic Mat" fld="20" baseField="1" baseItem="0"/>
    <dataField name="Adult Clothes " fld="21" baseField="1" baseItem="0"/>
    <dataField name="Children Clothes " fld="22" baseField="1" baseItem="0"/>
    <dataField name="Sewing Kit " fld="23" baseField="1" baseItem="0"/>
    <dataField name="Solar Lantern " fld="24" baseField="6" baseItem="11"/>
    <dataField name=" NFI Core Kit" fld="11" baseField="6" baseItem="10"/>
  </dataFields>
  <formats count="6">
    <format dxfId="507">
      <pivotArea outline="0" collapsedLevelsAreSubtotals="1" fieldPosition="0"/>
    </format>
    <format dxfId="506">
      <pivotArea type="all" dataOnly="0" outline="0" fieldPosition="0"/>
    </format>
    <format dxfId="505">
      <pivotArea outline="0" collapsedLevelsAreSubtotals="1" fieldPosition="0"/>
    </format>
    <format dxfId="504">
      <pivotArea field="1" type="button" dataOnly="0" labelOnly="1" outline="0" axis="axisRow" fieldPosition="0"/>
    </format>
    <format dxfId="503">
      <pivotArea dataOnly="0" labelOnly="1" fieldPosition="0">
        <references count="1">
          <reference field="1" count="0"/>
        </references>
      </pivotArea>
    </format>
    <format dxfId="502">
      <pivotArea dataOnly="0" labelOnly="1" grandRow="1"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10:O18" firstHeaderRow="0" firstDataRow="1" firstDataCol="1" rowPageCount="2" colPageCount="1"/>
  <pivotFields count="48">
    <pivotField showAll="0"/>
    <pivotField axis="axisRow" showAll="0">
      <items count="10">
        <item x="6"/>
        <item x="5"/>
        <item x="4"/>
        <item x="3"/>
        <item x="2"/>
        <item h="1" x="7"/>
        <item h="1" m="1" x="8"/>
        <item x="1"/>
        <item x="0"/>
        <item t="default"/>
      </items>
    </pivotField>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h="1" x="1"/>
        <item t="default"/>
      </items>
    </pivotField>
    <pivotField showAll="0"/>
    <pivotField showAll="0"/>
    <pivotField showAll="0"/>
    <pivotField showAll="0" defaultSubtotal="0"/>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axis="axisPage" multipleItemSelectionAllowed="1" showAll="0">
      <items count="9">
        <item x="1"/>
        <item h="1" x="4"/>
        <item x="0"/>
        <item x="2"/>
        <item m="1" x="7"/>
        <item x="3"/>
        <item m="1" x="6"/>
        <item x="5"/>
        <item t="default"/>
      </items>
    </pivotField>
    <pivotField showAll="0" defaultSubtotal="0"/>
    <pivotField dragToRow="0" dragToCol="0" dragToPage="0" showAll="0" defaultSubtotal="0"/>
    <pivotField showAll="0" defaultSubtotal="0">
      <items count="9">
        <item x="1"/>
        <item x="2"/>
        <item x="3"/>
        <item x="4"/>
        <item x="5"/>
        <item x="6"/>
        <item x="7"/>
        <item x="0"/>
        <item x="8"/>
      </items>
    </pivotField>
  </pivotFields>
  <rowFields count="1">
    <field x="1"/>
  </rowFields>
  <rowItems count="8">
    <i>
      <x/>
    </i>
    <i>
      <x v="1"/>
    </i>
    <i>
      <x v="2"/>
    </i>
    <i>
      <x v="3"/>
    </i>
    <i>
      <x v="4"/>
    </i>
    <i>
      <x v="7"/>
    </i>
    <i>
      <x v="8"/>
    </i>
    <i t="grand">
      <x/>
    </i>
  </rowItems>
  <colFields count="1">
    <field x="-2"/>
  </colFields>
  <colItems count="14">
    <i>
      <x/>
    </i>
    <i i="1">
      <x v="1"/>
    </i>
    <i i="2">
      <x v="2"/>
    </i>
    <i i="3">
      <x v="3"/>
    </i>
    <i i="4">
      <x v="4"/>
    </i>
    <i i="5">
      <x v="5"/>
    </i>
    <i i="6">
      <x v="6"/>
    </i>
    <i i="7">
      <x v="7"/>
    </i>
    <i i="8">
      <x v="8"/>
    </i>
    <i i="9">
      <x v="9"/>
    </i>
    <i i="10">
      <x v="10"/>
    </i>
    <i i="11">
      <x v="11"/>
    </i>
    <i i="12">
      <x v="12"/>
    </i>
    <i i="13">
      <x v="13"/>
    </i>
  </colItems>
  <pageFields count="2">
    <pageField fld="5" hier="-1"/>
    <pageField fld="44" hier="-1"/>
  </pageFields>
  <dataFields count="14">
    <dataField name="Sanitary Kit " fld="12" baseField="1" baseItem="0"/>
    <dataField name=" Mosquito net" fld="13" baseField="1" baseItem="0"/>
    <dataField name=" Tarpaulin" fld="14" baseField="1" baseItem="0"/>
    <dataField name=" Blanket" fld="15" baseField="1" baseItem="0"/>
    <dataField name=" Kitchen Set" fld="16" baseField="1" baseItem="0"/>
    <dataField name=" Complementary Kit" fld="17" baseField="1" baseItem="0"/>
    <dataField name=" Plastic Bucket" fld="18" baseField="1" baseItem="0"/>
    <dataField name=" Jerry Can" fld="19" baseField="1" baseItem="3"/>
    <dataField name=" Plastic Mat" fld="20" baseField="1" baseItem="0"/>
    <dataField name="Adult Clothes " fld="21" baseField="1" baseItem="0"/>
    <dataField name="Children Clothes " fld="22" baseField="1" baseItem="0"/>
    <dataField name="Sewing Kit " fld="23" baseField="1" baseItem="0"/>
    <dataField name="Solar Lantern " fld="24" baseField="1" baseItem="0"/>
    <dataField name=" NFI Core Kit" fld="11" baseField="1" baseItem="1"/>
  </dataFields>
  <formats count="8">
    <format dxfId="515">
      <pivotArea outline="0" collapsedLevelsAreSubtotals="1" fieldPosition="0"/>
    </format>
    <format dxfId="514">
      <pivotArea type="all" dataOnly="0" outline="0" fieldPosition="0"/>
    </format>
    <format dxfId="513">
      <pivotArea outline="0" collapsedLevelsAreSubtotals="1" fieldPosition="0"/>
    </format>
    <format dxfId="512">
      <pivotArea field="1" type="button" dataOnly="0" labelOnly="1" outline="0" axis="axisRow" fieldPosition="0"/>
    </format>
    <format dxfId="511">
      <pivotArea dataOnly="0" labelOnly="1" fieldPosition="0">
        <references count="1">
          <reference field="1" count="0"/>
        </references>
      </pivotArea>
    </format>
    <format dxfId="510">
      <pivotArea dataOnly="0" labelOnly="1" grandRow="1" outline="0" fieldPosition="0"/>
    </format>
    <format dxfId="509">
      <pivotArea field="1" grandRow="1" outline="0" collapsedLevelsAreSubtotals="1" axis="axisRow" fieldPosition="0">
        <references count="1">
          <reference field="4294967294" count="1" selected="0">
            <x v="1"/>
          </reference>
        </references>
      </pivotArea>
    </format>
    <format dxfId="508">
      <pivotArea dataOnly="0" labelOnly="1" grandRow="1"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A7:G31" firstHeaderRow="0" firstDataRow="1" firstDataCol="3"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3"/>
        <item h="1" x="7"/>
        <item h="1" x="8"/>
        <item x="0"/>
        <item h="1" x="2"/>
        <item h="1" x="9"/>
        <item x="1"/>
        <item x="5"/>
        <item h="1" x="4"/>
        <item h="1" x="6"/>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h="1"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compact="0" outline="0" showAll="0" defaultSubtotal="0">
      <items count="7">
        <item x="1"/>
        <item x="2"/>
        <item x="0"/>
        <item x="5"/>
        <item x="6"/>
        <item x="3"/>
        <item x="4"/>
      </items>
    </pivotField>
    <pivotField compact="0" outline="0" showAll="0"/>
    <pivotField compact="0" outline="0" showAll="0"/>
    <pivotField compact="0" numFmtId="15" outline="0" showAll="0"/>
    <pivotField compact="0" outline="0" showAll="0"/>
    <pivotField compact="0" outline="0" showAll="0" defaultSubtotal="0">
      <items count="7">
        <item x="6"/>
        <item x="0"/>
        <item x="3"/>
        <item x="5"/>
        <item x="1"/>
        <item x="4"/>
        <item x="2"/>
      </items>
    </pivotField>
    <pivotField dataField="1" compact="0" numFmtId="9" outline="0" showAll="0" defaultSubtotal="0"/>
    <pivotField compact="0" outline="0"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3">
    <field x="5"/>
    <field x="11"/>
    <field x="12"/>
  </rowFields>
  <rowItems count="24">
    <i>
      <x v="3"/>
      <x v="3"/>
      <x v="15"/>
    </i>
    <i r="1">
      <x v="38"/>
      <x v="17"/>
    </i>
    <i r="1">
      <x v="79"/>
      <x v="18"/>
    </i>
    <i r="1">
      <x v="105"/>
      <x v="16"/>
    </i>
    <i t="default">
      <x v="3"/>
    </i>
    <i>
      <x v="6"/>
      <x v="9"/>
      <x v="36"/>
    </i>
    <i r="1">
      <x v="12"/>
      <x v="92"/>
    </i>
    <i r="1">
      <x v="13"/>
      <x v="100"/>
    </i>
    <i r="1">
      <x v="14"/>
      <x v="101"/>
    </i>
    <i r="1">
      <x v="21"/>
      <x v="38"/>
    </i>
    <i r="1">
      <x v="22"/>
      <x v="86"/>
    </i>
    <i r="1">
      <x v="33"/>
      <x v="39"/>
    </i>
    <i r="1">
      <x v="44"/>
      <x v="83"/>
    </i>
    <i r="1">
      <x v="53"/>
      <x v="87"/>
    </i>
    <i r="1">
      <x v="54"/>
      <x v="102"/>
    </i>
    <i r="1">
      <x v="55"/>
      <x v="103"/>
    </i>
    <i r="1">
      <x v="73"/>
      <x v="42"/>
    </i>
    <i r="1">
      <x v="87"/>
      <x v="43"/>
    </i>
    <i r="1">
      <x v="93"/>
      <x v="45"/>
    </i>
    <i r="1">
      <x v="94"/>
      <x v="82"/>
    </i>
    <i t="default">
      <x v="6"/>
    </i>
    <i>
      <x v="7"/>
      <x v="83"/>
      <x v="13"/>
    </i>
    <i t="default">
      <x v="7"/>
    </i>
    <i t="grand">
      <x/>
    </i>
  </rowItems>
  <colFields count="1">
    <field x="-2"/>
  </colFields>
  <colItems count="4">
    <i>
      <x/>
    </i>
    <i i="1">
      <x v="1"/>
    </i>
    <i i="2">
      <x v="2"/>
    </i>
    <i i="3">
      <x v="3"/>
    </i>
  </colItems>
  <pageFields count="2">
    <pageField fld="0" hier="-1"/>
    <pageField fld="21" hier="-1"/>
  </pageFields>
  <dataFields count="4">
    <dataField name="Sum of HH" fld="16" baseField="0" baseItem="0"/>
    <dataField name="# Ind" fld="17" baseField="11" baseItem="50" numFmtId="3"/>
    <dataField name="# Camp" fld="11" subtotal="count" baseField="0" baseItem="0"/>
    <dataField name="Sum of shelter Coverage" fld="35" baseField="0" baseItem="0"/>
  </dataFields>
  <formats count="84">
    <format dxfId="1232">
      <pivotArea dataOnly="0" outline="0" fieldPosition="0">
        <references count="1">
          <reference field="5" count="0" defaultSubtotal="1"/>
        </references>
      </pivotArea>
    </format>
    <format dxfId="1231">
      <pivotArea outline="0" fieldPosition="0">
        <references count="1">
          <reference field="4294967294" count="1">
            <x v="1"/>
          </reference>
        </references>
      </pivotArea>
    </format>
    <format dxfId="1230">
      <pivotArea field="5" type="button" dataOnly="0" labelOnly="1" outline="0" axis="axisRow" fieldPosition="0"/>
    </format>
    <format dxfId="1229">
      <pivotArea field="29" type="button" dataOnly="0" labelOnly="1" outline="0"/>
    </format>
    <format dxfId="1228">
      <pivotArea field="28" type="button" dataOnly="0" labelOnly="1" outline="0"/>
    </format>
    <format dxfId="1227">
      <pivotArea field="11" type="button" dataOnly="0" labelOnly="1" outline="0" axis="axisRow" fieldPosition="1"/>
    </format>
    <format dxfId="1226">
      <pivotArea dataOnly="0" labelOnly="1" outline="0" axis="axisValues" fieldPosition="0"/>
    </format>
    <format dxfId="1225">
      <pivotArea dataOnly="0" labelOnly="1" outline="0" fieldPosition="0">
        <references count="1">
          <reference field="5" count="1">
            <x v="3"/>
          </reference>
        </references>
      </pivotArea>
    </format>
    <format dxfId="1224">
      <pivotArea outline="0" collapsedLevelsAreSubtotals="1" fieldPosition="0">
        <references count="1">
          <reference field="5" count="1" selected="0" defaultSubtotal="1">
            <x v="3"/>
          </reference>
        </references>
      </pivotArea>
    </format>
    <format dxfId="1223">
      <pivotArea dataOnly="0" labelOnly="1" outline="0" fieldPosition="0">
        <references count="1">
          <reference field="5" count="1" defaultSubtotal="1">
            <x v="3"/>
          </reference>
        </references>
      </pivotArea>
    </format>
    <format dxfId="1222">
      <pivotArea dataOnly="0" labelOnly="1" outline="0" fieldPosition="0">
        <references count="1">
          <reference field="5" count="1">
            <x v="6"/>
          </reference>
        </references>
      </pivotArea>
    </format>
    <format dxfId="1221">
      <pivotArea outline="0" collapsedLevelsAreSubtotals="1" fieldPosition="0">
        <references count="1">
          <reference field="5" count="1" selected="0" defaultSubtotal="1">
            <x v="6"/>
          </reference>
        </references>
      </pivotArea>
    </format>
    <format dxfId="1220">
      <pivotArea dataOnly="0" labelOnly="1" outline="0" fieldPosition="0">
        <references count="1">
          <reference field="5" count="1" defaultSubtotal="1">
            <x v="6"/>
          </reference>
        </references>
      </pivotArea>
    </format>
    <format dxfId="1219">
      <pivotArea grandRow="1" outline="0" collapsedLevelsAreSubtotals="1" fieldPosition="0"/>
    </format>
    <format dxfId="1218">
      <pivotArea dataOnly="0" labelOnly="1" grandRow="1" outline="0" fieldPosition="0"/>
    </format>
    <format dxfId="1217">
      <pivotArea type="all" dataOnly="0" outline="0" fieldPosition="0"/>
    </format>
    <format dxfId="1216">
      <pivotArea dataOnly="0" labelOnly="1" outline="0" fieldPosition="0">
        <references count="1">
          <reference field="11" count="0"/>
        </references>
      </pivotArea>
    </format>
    <format dxfId="1215">
      <pivotArea dataOnly="0" labelOnly="1" outline="0" fieldPosition="0">
        <references count="1">
          <reference field="5" count="0"/>
        </references>
      </pivotArea>
    </format>
    <format dxfId="1214">
      <pivotArea dataOnly="0" labelOnly="1" outline="0" fieldPosition="0">
        <references count="1">
          <reference field="5" count="1" defaultSubtotal="1">
            <x v="3"/>
          </reference>
        </references>
      </pivotArea>
    </format>
    <format dxfId="1213">
      <pivotArea field="34" type="button" dataOnly="0" labelOnly="1" outline="0"/>
    </format>
    <format dxfId="1212">
      <pivotArea field="11" type="button" dataOnly="0" labelOnly="1" outline="0" axis="axisRow" fieldPosition="1"/>
    </format>
    <format dxfId="1211">
      <pivotArea field="12" type="button" dataOnly="0" labelOnly="1" outline="0" axis="axisRow" fieldPosition="2"/>
    </format>
    <format dxfId="1210">
      <pivotArea outline="0" collapsedLevelsAreSubtotals="1" fieldPosition="0">
        <references count="1">
          <reference field="4294967294" count="1" selected="0">
            <x v="1"/>
          </reference>
        </references>
      </pivotArea>
    </format>
    <format dxfId="1209">
      <pivotArea dataOnly="0" labelOnly="1" outline="0" fieldPosition="0">
        <references count="1">
          <reference field="4294967294" count="1">
            <x v="1"/>
          </reference>
        </references>
      </pivotArea>
    </format>
    <format dxfId="1208">
      <pivotArea outline="0" collapsedLevelsAreSubtotals="1" fieldPosition="0">
        <references count="1">
          <reference field="4294967294" count="1" selected="0">
            <x v="1"/>
          </reference>
        </references>
      </pivotArea>
    </format>
    <format dxfId="1207">
      <pivotArea dataOnly="0" labelOnly="1" outline="0" fieldPosition="0">
        <references count="1">
          <reference field="4294967294" count="1">
            <x v="1"/>
          </reference>
        </references>
      </pivotArea>
    </format>
    <format dxfId="1206">
      <pivotArea dataOnly="0" labelOnly="1" outline="0" fieldPosition="0">
        <references count="1">
          <reference field="5" count="1" defaultSubtotal="1">
            <x v="3"/>
          </reference>
        </references>
      </pivotArea>
    </format>
    <format dxfId="1205">
      <pivotArea outline="0" collapsedLevelsAreSubtotals="1" fieldPosition="0">
        <references count="1">
          <reference field="5" count="1" selected="0" defaultSubtotal="1">
            <x v="3"/>
          </reference>
        </references>
      </pivotArea>
    </format>
    <format dxfId="1204">
      <pivotArea dataOnly="0" labelOnly="1" outline="0" fieldPosition="0">
        <references count="1">
          <reference field="5" count="1" defaultSubtotal="1">
            <x v="6"/>
          </reference>
        </references>
      </pivotArea>
    </format>
    <format dxfId="1203">
      <pivotArea dataOnly="0" labelOnly="1" grandRow="1" outline="0" fieldPosition="0"/>
    </format>
    <format dxfId="1202">
      <pivotArea outline="0" collapsedLevelsAreSubtotals="1" fieldPosition="0">
        <references count="4">
          <reference field="4294967294" count="1" selected="0">
            <x v="3"/>
          </reference>
          <reference field="5" count="1" selected="0">
            <x v="6"/>
          </reference>
          <reference field="11" count="15" selected="0">
            <x v="9"/>
            <x v="13"/>
            <x v="14"/>
            <x v="21"/>
            <x v="33"/>
            <x v="44"/>
            <x v="53"/>
            <x v="54"/>
            <x v="55"/>
            <x v="71"/>
            <x v="72"/>
            <x v="73"/>
            <x v="75"/>
            <x v="87"/>
            <x v="93"/>
          </reference>
          <reference field="12" count="16" selected="0">
            <x v="36"/>
            <x v="38"/>
            <x v="39"/>
            <x v="42"/>
            <x v="43"/>
            <x v="45"/>
            <x v="53"/>
            <x v="83"/>
            <x v="84"/>
            <x v="87"/>
            <x v="98"/>
            <x v="99"/>
            <x v="100"/>
            <x v="101"/>
            <x v="102"/>
            <x v="103"/>
          </reference>
        </references>
      </pivotArea>
    </format>
    <format dxfId="1201">
      <pivotArea outline="0" collapsedLevelsAreSubtotals="1" fieldPosition="0">
        <references count="2">
          <reference field="4294967294" count="1" selected="0">
            <x v="3"/>
          </reference>
          <reference field="5" count="1" selected="0" defaultSubtotal="1">
            <x v="3"/>
          </reference>
        </references>
      </pivotArea>
    </format>
    <format dxfId="1200">
      <pivotArea outline="0" collapsedLevelsAreSubtotals="1" fieldPosition="0">
        <references count="2">
          <reference field="4294967294" count="1" selected="0">
            <x v="3"/>
          </reference>
          <reference field="5" count="1" selected="0" defaultSubtotal="1">
            <x v="6"/>
          </reference>
        </references>
      </pivotArea>
    </format>
    <format dxfId="1199">
      <pivotArea field="5" grandRow="1" outline="0" collapsedLevelsAreSubtotals="1" axis="axisRow" fieldPosition="0">
        <references count="1">
          <reference field="4294967294" count="1" selected="0">
            <x v="3"/>
          </reference>
        </references>
      </pivotArea>
    </format>
    <format dxfId="1198">
      <pivotArea outline="0" collapsedLevelsAreSubtotals="1" fieldPosition="0">
        <references count="4">
          <reference field="4294967294" count="1" selected="0">
            <x v="3"/>
          </reference>
          <reference field="5" count="1" selected="0">
            <x v="3"/>
          </reference>
          <reference field="11" count="4" selected="0">
            <x v="3"/>
            <x v="8"/>
            <x v="38"/>
            <x v="79"/>
          </reference>
          <reference field="12" count="5" selected="0">
            <x v="14"/>
            <x v="15"/>
            <x v="16"/>
            <x v="17"/>
            <x v="18"/>
          </reference>
        </references>
      </pivotArea>
    </format>
    <format dxfId="1197">
      <pivotArea outline="0" collapsedLevelsAreSubtotals="1" fieldPosition="0">
        <references count="3">
          <reference field="5" count="1" selected="0">
            <x v="6"/>
          </reference>
          <reference field="11" count="18" selected="0">
            <x v="9"/>
            <x v="12"/>
            <x v="13"/>
            <x v="14"/>
            <x v="21"/>
            <x v="22"/>
            <x v="33"/>
            <x v="44"/>
            <x v="53"/>
            <x v="54"/>
            <x v="55"/>
            <x v="71"/>
            <x v="72"/>
            <x v="73"/>
            <x v="75"/>
            <x v="87"/>
            <x v="93"/>
            <x v="94"/>
          </reference>
          <reference field="12" count="19" selected="0">
            <x v="36"/>
            <x v="38"/>
            <x v="39"/>
            <x v="42"/>
            <x v="43"/>
            <x v="45"/>
            <x v="53"/>
            <x v="82"/>
            <x v="83"/>
            <x v="84"/>
            <x v="86"/>
            <x v="87"/>
            <x v="92"/>
            <x v="98"/>
            <x v="99"/>
            <x v="100"/>
            <x v="101"/>
            <x v="102"/>
            <x v="103"/>
          </reference>
        </references>
      </pivotArea>
    </format>
    <format dxfId="1196">
      <pivotArea dataOnly="0" labelOnly="1" outline="0" fieldPosition="0">
        <references count="2">
          <reference field="5" count="1" selected="0">
            <x v="6"/>
          </reference>
          <reference field="11" count="18">
            <x v="9"/>
            <x v="12"/>
            <x v="13"/>
            <x v="14"/>
            <x v="21"/>
            <x v="22"/>
            <x v="33"/>
            <x v="44"/>
            <x v="53"/>
            <x v="54"/>
            <x v="55"/>
            <x v="71"/>
            <x v="72"/>
            <x v="73"/>
            <x v="75"/>
            <x v="87"/>
            <x v="93"/>
            <x v="94"/>
          </reference>
        </references>
      </pivotArea>
    </format>
    <format dxfId="1195">
      <pivotArea dataOnly="0" labelOnly="1" outline="0" fieldPosition="0">
        <references count="3">
          <reference field="5" count="1" selected="0">
            <x v="6"/>
          </reference>
          <reference field="11" count="1" selected="0">
            <x v="71"/>
          </reference>
          <reference field="12" count="1">
            <x v="98"/>
          </reference>
        </references>
      </pivotArea>
    </format>
    <format dxfId="1194">
      <pivotArea dataOnly="0" labelOnly="1" outline="0" fieldPosition="0">
        <references count="3">
          <reference field="5" count="1" selected="0">
            <x v="6"/>
          </reference>
          <reference field="11" count="1" selected="0">
            <x v="72"/>
          </reference>
          <reference field="12" count="1">
            <x v="99"/>
          </reference>
        </references>
      </pivotArea>
    </format>
    <format dxfId="1193">
      <pivotArea dataOnly="0" labelOnly="1" outline="0" fieldPosition="0">
        <references count="3">
          <reference field="5" count="1" selected="0">
            <x v="6"/>
          </reference>
          <reference field="11" count="1" selected="0">
            <x v="75"/>
          </reference>
          <reference field="12" count="1">
            <x v="53"/>
          </reference>
        </references>
      </pivotArea>
    </format>
    <format dxfId="1192">
      <pivotArea outline="0" collapsedLevelsAreSubtotals="1" fieldPosition="0">
        <references count="3">
          <reference field="5" count="1" selected="0">
            <x v="7"/>
          </reference>
          <reference field="11" count="2" selected="0">
            <x v="30"/>
            <x v="83"/>
          </reference>
          <reference field="12" count="2" selected="0">
            <x v="12"/>
            <x v="13"/>
          </reference>
        </references>
      </pivotArea>
    </format>
    <format dxfId="1191">
      <pivotArea outline="0" collapsedLevelsAreSubtotals="1" fieldPosition="0">
        <references count="1">
          <reference field="5" count="1" selected="0" defaultSubtotal="1">
            <x v="7"/>
          </reference>
        </references>
      </pivotArea>
    </format>
    <format dxfId="1190">
      <pivotArea outline="0" collapsedLevelsAreSubtotals="1" fieldPosition="0">
        <references count="3">
          <reference field="5" count="1" selected="0">
            <x v="3"/>
          </reference>
          <reference field="11" count="4" selected="0">
            <x v="3"/>
            <x v="8"/>
            <x v="38"/>
            <x v="79"/>
          </reference>
          <reference field="12" count="5" selected="0">
            <x v="14"/>
            <x v="15"/>
            <x v="16"/>
            <x v="17"/>
            <x v="18"/>
          </reference>
        </references>
      </pivotArea>
    </format>
    <format dxfId="1189">
      <pivotArea dataOnly="0" labelOnly="1" outline="0" fieldPosition="0">
        <references count="2">
          <reference field="5" count="1" selected="0">
            <x v="3"/>
          </reference>
          <reference field="11" count="4">
            <x v="3"/>
            <x v="8"/>
            <x v="38"/>
            <x v="79"/>
          </reference>
        </references>
      </pivotArea>
    </format>
    <format dxfId="1188">
      <pivotArea dataOnly="0" labelOnly="1" outline="0" fieldPosition="0">
        <references count="3">
          <reference field="5" count="1" selected="0">
            <x v="3"/>
          </reference>
          <reference field="11" count="1" selected="0">
            <x v="8"/>
          </reference>
          <reference field="12" count="1">
            <x v="14"/>
          </reference>
        </references>
      </pivotArea>
    </format>
    <format dxfId="1187">
      <pivotArea outline="0" collapsedLevelsAreSubtotals="1" fieldPosition="0">
        <references count="4">
          <reference field="4294967294" count="1" selected="0">
            <x v="3"/>
          </reference>
          <reference field="5" count="1" selected="0">
            <x v="7"/>
          </reference>
          <reference field="11" count="2" selected="0">
            <x v="30"/>
            <x v="83"/>
          </reference>
          <reference field="12" count="2" selected="0">
            <x v="12"/>
            <x v="13"/>
          </reference>
        </references>
      </pivotArea>
    </format>
    <format dxfId="1186">
      <pivotArea outline="0" collapsedLevelsAreSubtotals="1" fieldPosition="0">
        <references count="2">
          <reference field="4294967294" count="1" selected="0">
            <x v="3"/>
          </reference>
          <reference field="5" count="1" selected="0" defaultSubtotal="1">
            <x v="7"/>
          </reference>
        </references>
      </pivotArea>
    </format>
    <format dxfId="1185">
      <pivotArea type="all" dataOnly="0" outline="0" fieldPosition="0"/>
    </format>
    <format dxfId="1184">
      <pivotArea outline="0" collapsedLevelsAreSubtotals="1" fieldPosition="0"/>
    </format>
    <format dxfId="1183">
      <pivotArea dataOnly="0" labelOnly="1" outline="0" fieldPosition="0">
        <references count="2">
          <reference field="5" count="1" selected="0">
            <x v="7"/>
          </reference>
          <reference field="11" count="2">
            <x v="30"/>
            <x v="83"/>
          </reference>
        </references>
      </pivotArea>
    </format>
    <format dxfId="1182">
      <pivotArea dataOnly="0" labelOnly="1" outline="0" fieldPosition="0">
        <references count="3">
          <reference field="5" count="1" selected="0">
            <x v="7"/>
          </reference>
          <reference field="11" count="1" selected="0">
            <x v="30"/>
          </reference>
          <reference field="12" count="1">
            <x v="12"/>
          </reference>
        </references>
      </pivotArea>
    </format>
    <format dxfId="1181">
      <pivotArea type="all" dataOnly="0" outline="0" fieldPosition="0"/>
    </format>
    <format dxfId="1180">
      <pivotArea outline="0" collapsedLevelsAreSubtotals="1" fieldPosition="0"/>
    </format>
    <format dxfId="1179">
      <pivotArea dataOnly="0" labelOnly="1" outline="0" fieldPosition="0">
        <references count="2">
          <reference field="5" count="1" selected="0">
            <x v="7"/>
          </reference>
          <reference field="11" count="2">
            <x v="30"/>
            <x v="83"/>
          </reference>
        </references>
      </pivotArea>
    </format>
    <format dxfId="1178">
      <pivotArea dataOnly="0" labelOnly="1" outline="0" fieldPosition="0">
        <references count="3">
          <reference field="5" count="1" selected="0">
            <x v="7"/>
          </reference>
          <reference field="11" count="1" selected="0">
            <x v="30"/>
          </reference>
          <reference field="12" count="1">
            <x v="12"/>
          </reference>
        </references>
      </pivotArea>
    </format>
    <format dxfId="1177">
      <pivotArea outline="0" collapsedLevelsAreSubtotals="1" fieldPosition="0"/>
    </format>
    <format dxfId="1176">
      <pivotArea type="all" dataOnly="0" outline="0" fieldPosition="0"/>
    </format>
    <format dxfId="1175">
      <pivotArea outline="0" collapsedLevelsAreSubtotals="1" fieldPosition="0"/>
    </format>
    <format dxfId="1174">
      <pivotArea dataOnly="0" labelOnly="1" outline="0" fieldPosition="0">
        <references count="1">
          <reference field="5" count="0"/>
        </references>
      </pivotArea>
    </format>
    <format dxfId="1173">
      <pivotArea dataOnly="0" labelOnly="1" outline="0" fieldPosition="0">
        <references count="1">
          <reference field="5" count="0" defaultSubtotal="1"/>
        </references>
      </pivotArea>
    </format>
    <format dxfId="1172">
      <pivotArea dataOnly="0" labelOnly="1" grandRow="1" outline="0" fieldPosition="0"/>
    </format>
    <format dxfId="1171">
      <pivotArea dataOnly="0" labelOnly="1" outline="0" fieldPosition="0">
        <references count="2">
          <reference field="5" count="1" selected="0">
            <x v="3"/>
          </reference>
          <reference field="11" count="3">
            <x v="3"/>
            <x v="38"/>
            <x v="79"/>
          </reference>
        </references>
      </pivotArea>
    </format>
    <format dxfId="1170">
      <pivotArea dataOnly="0" labelOnly="1" outline="0" fieldPosition="0">
        <references count="2">
          <reference field="5" count="1" selected="0">
            <x v="6"/>
          </reference>
          <reference field="11" count="15">
            <x v="9"/>
            <x v="12"/>
            <x v="13"/>
            <x v="14"/>
            <x v="21"/>
            <x v="22"/>
            <x v="33"/>
            <x v="44"/>
            <x v="53"/>
            <x v="54"/>
            <x v="55"/>
            <x v="73"/>
            <x v="87"/>
            <x v="93"/>
            <x v="94"/>
          </reference>
        </references>
      </pivotArea>
    </format>
    <format dxfId="1169">
      <pivotArea dataOnly="0" labelOnly="1" outline="0" fieldPosition="0">
        <references count="2">
          <reference field="5" count="1" selected="0">
            <x v="7"/>
          </reference>
          <reference field="11" count="1">
            <x v="83"/>
          </reference>
        </references>
      </pivotArea>
    </format>
    <format dxfId="1168">
      <pivotArea dataOnly="0" labelOnly="1" outline="0" fieldPosition="0">
        <references count="3">
          <reference field="5" count="1" selected="0">
            <x v="3"/>
          </reference>
          <reference field="11" count="1" selected="0">
            <x v="3"/>
          </reference>
          <reference field="12" count="1">
            <x v="15"/>
          </reference>
        </references>
      </pivotArea>
    </format>
    <format dxfId="1167">
      <pivotArea dataOnly="0" labelOnly="1" outline="0" fieldPosition="0">
        <references count="3">
          <reference field="5" count="1" selected="0">
            <x v="3"/>
          </reference>
          <reference field="11" count="1" selected="0">
            <x v="38"/>
          </reference>
          <reference field="12" count="1">
            <x v="17"/>
          </reference>
        </references>
      </pivotArea>
    </format>
    <format dxfId="1166">
      <pivotArea dataOnly="0" labelOnly="1" outline="0" fieldPosition="0">
        <references count="3">
          <reference field="5" count="1" selected="0">
            <x v="3"/>
          </reference>
          <reference field="11" count="1" selected="0">
            <x v="79"/>
          </reference>
          <reference field="12" count="1">
            <x v="18"/>
          </reference>
        </references>
      </pivotArea>
    </format>
    <format dxfId="1165">
      <pivotArea dataOnly="0" labelOnly="1" outline="0" fieldPosition="0">
        <references count="3">
          <reference field="5" count="1" selected="0">
            <x v="6"/>
          </reference>
          <reference field="11" count="1" selected="0">
            <x v="9"/>
          </reference>
          <reference field="12" count="1">
            <x v="36"/>
          </reference>
        </references>
      </pivotArea>
    </format>
    <format dxfId="1164">
      <pivotArea dataOnly="0" labelOnly="1" outline="0" fieldPosition="0">
        <references count="3">
          <reference field="5" count="1" selected="0">
            <x v="6"/>
          </reference>
          <reference field="11" count="1" selected="0">
            <x v="12"/>
          </reference>
          <reference field="12" count="1">
            <x v="92"/>
          </reference>
        </references>
      </pivotArea>
    </format>
    <format dxfId="1163">
      <pivotArea dataOnly="0" labelOnly="1" outline="0" fieldPosition="0">
        <references count="3">
          <reference field="5" count="1" selected="0">
            <x v="6"/>
          </reference>
          <reference field="11" count="1" selected="0">
            <x v="13"/>
          </reference>
          <reference field="12" count="1">
            <x v="100"/>
          </reference>
        </references>
      </pivotArea>
    </format>
    <format dxfId="1162">
      <pivotArea dataOnly="0" labelOnly="1" outline="0" fieldPosition="0">
        <references count="3">
          <reference field="5" count="1" selected="0">
            <x v="6"/>
          </reference>
          <reference field="11" count="1" selected="0">
            <x v="14"/>
          </reference>
          <reference field="12" count="1">
            <x v="101"/>
          </reference>
        </references>
      </pivotArea>
    </format>
    <format dxfId="1161">
      <pivotArea dataOnly="0" labelOnly="1" outline="0" fieldPosition="0">
        <references count="3">
          <reference field="5" count="1" selected="0">
            <x v="6"/>
          </reference>
          <reference field="11" count="1" selected="0">
            <x v="21"/>
          </reference>
          <reference field="12" count="1">
            <x v="38"/>
          </reference>
        </references>
      </pivotArea>
    </format>
    <format dxfId="1160">
      <pivotArea dataOnly="0" labelOnly="1" outline="0" fieldPosition="0">
        <references count="3">
          <reference field="5" count="1" selected="0">
            <x v="6"/>
          </reference>
          <reference field="11" count="1" selected="0">
            <x v="22"/>
          </reference>
          <reference field="12" count="1">
            <x v="86"/>
          </reference>
        </references>
      </pivotArea>
    </format>
    <format dxfId="1159">
      <pivotArea dataOnly="0" labelOnly="1" outline="0" fieldPosition="0">
        <references count="3">
          <reference field="5" count="1" selected="0">
            <x v="6"/>
          </reference>
          <reference field="11" count="1" selected="0">
            <x v="33"/>
          </reference>
          <reference field="12" count="1">
            <x v="39"/>
          </reference>
        </references>
      </pivotArea>
    </format>
    <format dxfId="1158">
      <pivotArea dataOnly="0" labelOnly="1" outline="0" fieldPosition="0">
        <references count="3">
          <reference field="5" count="1" selected="0">
            <x v="6"/>
          </reference>
          <reference field="11" count="1" selected="0">
            <x v="44"/>
          </reference>
          <reference field="12" count="1">
            <x v="83"/>
          </reference>
        </references>
      </pivotArea>
    </format>
    <format dxfId="1157">
      <pivotArea dataOnly="0" labelOnly="1" outline="0" fieldPosition="0">
        <references count="3">
          <reference field="5" count="1" selected="0">
            <x v="6"/>
          </reference>
          <reference field="11" count="1" selected="0">
            <x v="53"/>
          </reference>
          <reference field="12" count="1">
            <x v="87"/>
          </reference>
        </references>
      </pivotArea>
    </format>
    <format dxfId="1156">
      <pivotArea dataOnly="0" labelOnly="1" outline="0" fieldPosition="0">
        <references count="3">
          <reference field="5" count="1" selected="0">
            <x v="6"/>
          </reference>
          <reference field="11" count="1" selected="0">
            <x v="54"/>
          </reference>
          <reference field="12" count="1">
            <x v="102"/>
          </reference>
        </references>
      </pivotArea>
    </format>
    <format dxfId="1155">
      <pivotArea dataOnly="0" labelOnly="1" outline="0" fieldPosition="0">
        <references count="3">
          <reference field="5" count="1" selected="0">
            <x v="6"/>
          </reference>
          <reference field="11" count="1" selected="0">
            <x v="55"/>
          </reference>
          <reference field="12" count="1">
            <x v="103"/>
          </reference>
        </references>
      </pivotArea>
    </format>
    <format dxfId="1154">
      <pivotArea dataOnly="0" labelOnly="1" outline="0" fieldPosition="0">
        <references count="3">
          <reference field="5" count="1" selected="0">
            <x v="6"/>
          </reference>
          <reference field="11" count="1" selected="0">
            <x v="73"/>
          </reference>
          <reference field="12" count="1">
            <x v="42"/>
          </reference>
        </references>
      </pivotArea>
    </format>
    <format dxfId="1153">
      <pivotArea dataOnly="0" labelOnly="1" outline="0" fieldPosition="0">
        <references count="3">
          <reference field="5" count="1" selected="0">
            <x v="6"/>
          </reference>
          <reference field="11" count="1" selected="0">
            <x v="87"/>
          </reference>
          <reference field="12" count="1">
            <x v="43"/>
          </reference>
        </references>
      </pivotArea>
    </format>
    <format dxfId="1152">
      <pivotArea dataOnly="0" labelOnly="1" outline="0" fieldPosition="0">
        <references count="3">
          <reference field="5" count="1" selected="0">
            <x v="6"/>
          </reference>
          <reference field="11" count="1" selected="0">
            <x v="93"/>
          </reference>
          <reference field="12" count="1">
            <x v="45"/>
          </reference>
        </references>
      </pivotArea>
    </format>
    <format dxfId="1151">
      <pivotArea dataOnly="0" labelOnly="1" outline="0" fieldPosition="0">
        <references count="3">
          <reference field="5" count="1" selected="0">
            <x v="6"/>
          </reference>
          <reference field="11" count="1" selected="0">
            <x v="94"/>
          </reference>
          <reference field="12" count="1">
            <x v="82"/>
          </reference>
        </references>
      </pivotArea>
    </format>
    <format dxfId="1150">
      <pivotArea dataOnly="0" labelOnly="1" outline="0" fieldPosition="0">
        <references count="3">
          <reference field="5" count="1" selected="0">
            <x v="7"/>
          </reference>
          <reference field="11" count="1" selected="0">
            <x v="83"/>
          </reference>
          <reference field="12" count="1">
            <x v="13"/>
          </reference>
        </references>
      </pivotArea>
    </format>
    <format dxfId="1149">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5" rowHeaderCaption="Township">
  <location ref="A170:F177" firstHeaderRow="1" firstDataRow="2" firstDataCol="1" rowPageCount="1" colPageCount="1"/>
  <pivotFields count="37">
    <pivotField axis="axisPage" showAll="0">
      <items count="6">
        <item x="1"/>
        <item x="0"/>
        <item x="2"/>
        <item x="3"/>
        <item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 x="24"/>
        <item x="12"/>
        <item t="default"/>
      </items>
    </pivotField>
    <pivotField showAll="0"/>
    <pivotField showAll="0"/>
    <pivotField showAll="0"/>
    <pivotField showAll="0"/>
    <pivotField showAll="0"/>
    <pivotField showAll="0"/>
    <pivotField showAll="0"/>
    <pivotField showAll="0"/>
    <pivotField showAll="0"/>
    <pivotField axis="axisCol" dataField="1" showAll="0">
      <items count="7">
        <item x="5"/>
        <item x="1"/>
        <item x="0"/>
        <item x="2"/>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s>
  <rowFields count="1">
    <field x="5"/>
  </rowFields>
  <rowItems count="6">
    <i>
      <x/>
    </i>
    <i>
      <x v="3"/>
    </i>
    <i>
      <x v="4"/>
    </i>
    <i>
      <x v="7"/>
    </i>
    <i>
      <x v="8"/>
    </i>
    <i t="grand">
      <x/>
    </i>
  </rowItems>
  <colFields count="1">
    <field x="21"/>
  </colFields>
  <colItems count="5">
    <i>
      <x v="1"/>
    </i>
    <i>
      <x v="2"/>
    </i>
    <i>
      <x v="3"/>
    </i>
    <i>
      <x v="4"/>
    </i>
    <i t="grand">
      <x/>
    </i>
  </colItems>
  <pageFields count="1">
    <pageField fld="0" item="1" hier="-1"/>
  </pageFields>
  <dataFields count="1">
    <dataField name="Count of Type of Accomodation" fld="21" subtotal="count" baseField="0" baseItem="0"/>
  </dataFields>
  <chartFormats count="18">
    <chartFormat chart="0" format="0" series="1">
      <pivotArea type="data" outline="0" fieldPosition="0">
        <references count="2">
          <reference field="4294967294" count="1" selected="0">
            <x v="0"/>
          </reference>
          <reference field="21" count="1" selected="0">
            <x v="1"/>
          </reference>
        </references>
      </pivotArea>
    </chartFormat>
    <chartFormat chart="0" format="1" series="1">
      <pivotArea type="data" outline="0" fieldPosition="0">
        <references count="2">
          <reference field="4294967294" count="1" selected="0">
            <x v="0"/>
          </reference>
          <reference field="21" count="1" selected="0">
            <x v="2"/>
          </reference>
        </references>
      </pivotArea>
    </chartFormat>
    <chartFormat chart="0" format="2" series="1">
      <pivotArea type="data" outline="0" fieldPosition="0">
        <references count="2">
          <reference field="4294967294" count="1" selected="0">
            <x v="0"/>
          </reference>
          <reference field="21" count="1" selected="0">
            <x v="3"/>
          </reference>
        </references>
      </pivotArea>
    </chartFormat>
    <chartFormat chart="2" format="6" series="1">
      <pivotArea type="data" outline="0" fieldPosition="0">
        <references count="2">
          <reference field="4294967294" count="1" selected="0">
            <x v="0"/>
          </reference>
          <reference field="21" count="1" selected="0">
            <x v="1"/>
          </reference>
        </references>
      </pivotArea>
    </chartFormat>
    <chartFormat chart="2" format="7" series="1">
      <pivotArea type="data" outline="0" fieldPosition="0">
        <references count="2">
          <reference field="4294967294" count="1" selected="0">
            <x v="0"/>
          </reference>
          <reference field="21" count="1" selected="0">
            <x v="2"/>
          </reference>
        </references>
      </pivotArea>
    </chartFormat>
    <chartFormat chart="2" format="8" series="1">
      <pivotArea type="data" outline="0" fieldPosition="0">
        <references count="2">
          <reference field="4294967294" count="1" selected="0">
            <x v="0"/>
          </reference>
          <reference field="21" count="1" selected="0">
            <x v="3"/>
          </reference>
        </references>
      </pivotArea>
    </chartFormat>
    <chartFormat chart="4" format="6" series="1">
      <pivotArea type="data" outline="0" fieldPosition="0">
        <references count="2">
          <reference field="4294967294" count="1" selected="0">
            <x v="0"/>
          </reference>
          <reference field="21" count="1" selected="0">
            <x v="1"/>
          </reference>
        </references>
      </pivotArea>
    </chartFormat>
    <chartFormat chart="4" format="7" series="1">
      <pivotArea type="data" outline="0" fieldPosition="0">
        <references count="2">
          <reference field="4294967294" count="1" selected="0">
            <x v="0"/>
          </reference>
          <reference field="21" count="1" selected="0">
            <x v="2"/>
          </reference>
        </references>
      </pivotArea>
    </chartFormat>
    <chartFormat chart="4" format="8" series="1">
      <pivotArea type="data" outline="0" fieldPosition="0">
        <references count="2">
          <reference field="4294967294" count="1" selected="0">
            <x v="0"/>
          </reference>
          <reference field="21" count="1" selected="0">
            <x v="3"/>
          </reference>
        </references>
      </pivotArea>
    </chartFormat>
    <chartFormat chart="4" format="9" series="1">
      <pivotArea type="data" outline="0" fieldPosition="0">
        <references count="2">
          <reference field="4294967294" count="1" selected="0">
            <x v="0"/>
          </reference>
          <reference field="21" count="1" selected="0">
            <x v="4"/>
          </reference>
        </references>
      </pivotArea>
    </chartFormat>
    <chartFormat chart="23" format="0" series="1">
      <pivotArea type="data" outline="0" fieldPosition="0">
        <references count="2">
          <reference field="4294967294" count="1" selected="0">
            <x v="0"/>
          </reference>
          <reference field="21" count="1" selected="0">
            <x v="1"/>
          </reference>
        </references>
      </pivotArea>
    </chartFormat>
    <chartFormat chart="23" format="1" series="1">
      <pivotArea type="data" outline="0" fieldPosition="0">
        <references count="2">
          <reference field="4294967294" count="1" selected="0">
            <x v="0"/>
          </reference>
          <reference field="21" count="1" selected="0">
            <x v="2"/>
          </reference>
        </references>
      </pivotArea>
    </chartFormat>
    <chartFormat chart="23" format="2" series="1">
      <pivotArea type="data" outline="0" fieldPosition="0">
        <references count="2">
          <reference field="4294967294" count="1" selected="0">
            <x v="0"/>
          </reference>
          <reference field="21" count="1" selected="0">
            <x v="3"/>
          </reference>
        </references>
      </pivotArea>
    </chartFormat>
    <chartFormat chart="23" format="3" series="1">
      <pivotArea type="data" outline="0" fieldPosition="0">
        <references count="2">
          <reference field="4294967294" count="1" selected="0">
            <x v="0"/>
          </reference>
          <reference field="21" count="1" selected="0">
            <x v="4"/>
          </reference>
        </references>
      </pivotArea>
    </chartFormat>
    <chartFormat chart="24" format="10" series="1">
      <pivotArea type="data" outline="0" fieldPosition="0">
        <references count="2">
          <reference field="4294967294" count="1" selected="0">
            <x v="0"/>
          </reference>
          <reference field="21" count="1" selected="0">
            <x v="1"/>
          </reference>
        </references>
      </pivotArea>
    </chartFormat>
    <chartFormat chart="24" format="11" series="1">
      <pivotArea type="data" outline="0" fieldPosition="0">
        <references count="2">
          <reference field="4294967294" count="1" selected="0">
            <x v="0"/>
          </reference>
          <reference field="21" count="1" selected="0">
            <x v="2"/>
          </reference>
        </references>
      </pivotArea>
    </chartFormat>
    <chartFormat chart="24" format="12" series="1">
      <pivotArea type="data" outline="0" fieldPosition="0">
        <references count="2">
          <reference field="4294967294" count="1" selected="0">
            <x v="0"/>
          </reference>
          <reference field="21" count="1" selected="0">
            <x v="3"/>
          </reference>
        </references>
      </pivotArea>
    </chartFormat>
    <chartFormat chart="24" format="13" series="1">
      <pivotArea type="data" outline="0" fieldPosition="0">
        <references count="2">
          <reference field="4294967294" count="1" selected="0">
            <x v="0"/>
          </reference>
          <reference field="2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G51:J58"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0"/>
        <item x="1"/>
        <item x="2"/>
      </items>
    </pivotField>
    <pivotField axis="axisRow" showAll="0" sortType="descending" defaultSubtotal="0">
      <items count="7">
        <item x="1"/>
        <item x="2"/>
        <item x="0"/>
        <item x="5"/>
        <item x="6"/>
        <item x="3"/>
        <item x="4"/>
      </items>
      <autoSortScope>
        <pivotArea dataOnly="0" outline="0" fieldPosition="0">
          <references count="1">
            <reference field="4294967294" count="1" selected="0">
              <x v="0"/>
            </reference>
          </references>
        </pivotArea>
      </autoSortScope>
    </pivotField>
    <pivotField showAll="0"/>
    <pivotField showAll="0"/>
    <pivotField numFmtId="15" showAll="0"/>
    <pivotField showAl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1">
    <field x="29"/>
  </rowFields>
  <rowItems count="6">
    <i>
      <x v="1"/>
    </i>
    <i>
      <x v="2"/>
    </i>
    <i>
      <x v="6"/>
    </i>
    <i>
      <x/>
    </i>
    <i>
      <x v="3"/>
    </i>
    <i t="grand">
      <x/>
    </i>
  </rowItems>
  <colFields count="1">
    <field x="28"/>
  </colFields>
  <colItems count="3">
    <i>
      <x/>
    </i>
    <i>
      <x v="1"/>
    </i>
    <i t="grand">
      <x/>
    </i>
  </colItems>
  <pageFields count="1">
    <pageField fld="0" hier="-1"/>
  </pageFields>
  <dataFields count="1">
    <dataField name="Sum of Total" fld="17" baseField="23" baseItem="0"/>
  </dataFields>
  <formats count="1">
    <format dxfId="1112">
      <pivotArea type="all" dataOnly="0" outline="0" fieldPosition="0"/>
    </format>
  </formats>
  <chartFormats count="7">
    <chartFormat chart="2" format="2" series="1">
      <pivotArea type="data" outline="0" fieldPosition="0">
        <references count="1">
          <reference field="4294967294" count="1" selected="0">
            <x v="0"/>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pivotArea type="data" outline="0" fieldPosition="0">
        <references count="3">
          <reference field="4294967294" count="1" selected="0">
            <x v="0"/>
          </reference>
          <reference field="28" count="1" selected="0">
            <x v="1"/>
          </reference>
          <reference field="29" count="1" selected="0">
            <x v="6"/>
          </reference>
        </references>
      </pivotArea>
    </chartFormat>
    <chartFormat chart="6" format="0" series="1">
      <pivotArea type="data" outline="0" fieldPosition="0">
        <references count="2">
          <reference field="4294967294" count="1" selected="0">
            <x v="0"/>
          </reference>
          <reference field="28" count="1" selected="0">
            <x v="0"/>
          </reference>
        </references>
      </pivotArea>
    </chartFormat>
    <chartFormat chart="6" format="1" series="1">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6">
  <location ref="A65:D87" firstHeaderRow="1" firstDataRow="2" firstDataCol="1" rowPageCount="2"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multipleItemSelectionAllowed="1" showAll="0">
      <items count="12">
        <item h="1" x="3"/>
        <item h="1" x="7"/>
        <item h="1" x="8"/>
        <item x="0"/>
        <item h="1" x="2"/>
        <item h="1" x="9"/>
        <item x="1"/>
        <item x="5"/>
        <item h="1" x="4"/>
        <item h="1" x="6"/>
        <item h="1" x="10"/>
        <item t="default"/>
      </items>
    </pivotField>
    <pivotField showAll="0"/>
    <pivotField showAll="0"/>
    <pivotField showAll="0"/>
    <pivotField showAll="0"/>
    <pivotField showAll="0"/>
    <pivotField axis="axisRow"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pivotField showAll="0"/>
    <pivotField dataField="1" showAll="0"/>
    <pivotField numFmtId="169" showAll="0"/>
    <pivotField showAll="0" defaultSubtotal="0"/>
    <pivotField showAll="0"/>
    <pivotField axis="axisPage" multipleItemSelectionAllowed="1" showAll="0" defaultSubtotal="0">
      <items count="6">
        <item x="0"/>
        <item x="2"/>
        <item h="1" x="1"/>
        <item h="1" x="5"/>
        <item h="1" x="3"/>
        <item h="1" x="4"/>
      </items>
    </pivotField>
    <pivotField showAll="0" defaultSubtotal="0"/>
    <pivotField showAll="0"/>
    <pivotField showAll="0"/>
    <pivotField showAll="0"/>
    <pivotField axis="axisCol" showAll="0" defaultSubtotal="0">
      <items count="6">
        <item x="5"/>
        <item x="2"/>
        <item x="3"/>
        <item x="4"/>
        <item x="1"/>
        <item x="0"/>
      </items>
    </pivotField>
    <pivotField showAll="0" defaultSubtotal="0"/>
    <pivotField showAll="0"/>
    <pivotField showAll="0"/>
    <pivotField showAll="0"/>
    <pivotField showAll="0"/>
    <pivotField numFmtId="15" showAll="0"/>
    <pivotField showAll="0"/>
    <pivotField showAll="0" defaultSubtotal="0"/>
    <pivotField numFmtId="9" showAll="0" defaultSubtotal="0"/>
    <pivotField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2">
    <field x="5"/>
    <field x="11"/>
  </rowFields>
  <rowItems count="21">
    <i>
      <x v="3"/>
    </i>
    <i r="1">
      <x v="3"/>
    </i>
    <i r="1">
      <x v="38"/>
    </i>
    <i r="1">
      <x v="79"/>
    </i>
    <i r="1">
      <x v="105"/>
    </i>
    <i>
      <x v="6"/>
    </i>
    <i r="1">
      <x v="9"/>
    </i>
    <i r="1">
      <x v="13"/>
    </i>
    <i r="1">
      <x v="14"/>
    </i>
    <i r="1">
      <x v="21"/>
    </i>
    <i r="1">
      <x v="33"/>
    </i>
    <i r="1">
      <x v="44"/>
    </i>
    <i r="1">
      <x v="53"/>
    </i>
    <i r="1">
      <x v="54"/>
    </i>
    <i r="1">
      <x v="55"/>
    </i>
    <i r="1">
      <x v="73"/>
    </i>
    <i r="1">
      <x v="87"/>
    </i>
    <i r="1">
      <x v="93"/>
    </i>
    <i>
      <x v="7"/>
    </i>
    <i r="1">
      <x v="83"/>
    </i>
    <i t="grand">
      <x/>
    </i>
  </rowItems>
  <colFields count="1">
    <field x="26"/>
  </colFields>
  <colItems count="3">
    <i>
      <x v="2"/>
    </i>
    <i>
      <x v="5"/>
    </i>
    <i t="grand">
      <x/>
    </i>
  </colItems>
  <pageFields count="2">
    <pageField fld="0" hier="-1"/>
    <pageField fld="21" hier="-1"/>
  </pageFields>
  <dataFields count="1">
    <dataField name="Sum of Total" fld="17" baseField="5" baseItem="0" numFmtId="3"/>
  </dataFields>
  <formats count="5">
    <format dxfId="1117">
      <pivotArea type="all" dataOnly="0" outline="0" fieldPosition="0"/>
    </format>
    <format dxfId="1116">
      <pivotArea field="0" type="button" dataOnly="0" labelOnly="1" outline="0" axis="axisPage" fieldPosition="0"/>
    </format>
    <format dxfId="1115">
      <pivotArea dataOnly="0" labelOnly="1" outline="0" fieldPosition="0">
        <references count="1">
          <reference field="0" count="0"/>
        </references>
      </pivotArea>
    </format>
    <format dxfId="1114">
      <pivotArea field="21" type="button" dataOnly="0" labelOnly="1" outline="0" axis="axisPage" fieldPosition="1"/>
    </format>
    <format dxfId="1113">
      <pivotArea dataOnly="0" labelOnly="1" outline="0" fieldPosition="0">
        <references count="1">
          <reference field="21" count="0"/>
        </references>
      </pivotArea>
    </format>
  </formats>
  <chartFormats count="38">
    <chartFormat chart="4" format="15" series="1">
      <pivotArea type="data" outline="0" fieldPosition="0">
        <references count="2">
          <reference field="4294967294" count="1" selected="0">
            <x v="0"/>
          </reference>
          <reference field="26" count="1" selected="0">
            <x v="1"/>
          </reference>
        </references>
      </pivotArea>
    </chartFormat>
    <chartFormat chart="4" format="17" series="1">
      <pivotArea type="data" outline="0" fieldPosition="0">
        <references count="2">
          <reference field="4294967294" count="1" selected="0">
            <x v="0"/>
          </reference>
          <reference field="26" count="1" selected="0">
            <x v="2"/>
          </reference>
        </references>
      </pivotArea>
    </chartFormat>
    <chartFormat chart="7" format="23" series="1">
      <pivotArea type="data" outline="0" fieldPosition="0">
        <references count="2">
          <reference field="4294967294" count="1" selected="0">
            <x v="0"/>
          </reference>
          <reference field="26" count="1" selected="0">
            <x v="1"/>
          </reference>
        </references>
      </pivotArea>
    </chartFormat>
    <chartFormat chart="7" format="25" series="1">
      <pivotArea type="data" outline="0" fieldPosition="0">
        <references count="2">
          <reference field="4294967294" count="1" selected="0">
            <x v="0"/>
          </reference>
          <reference field="26" count="1" selected="0">
            <x v="2"/>
          </reference>
        </references>
      </pivotArea>
    </chartFormat>
    <chartFormat chart="10" format="9" series="1">
      <pivotArea type="data" outline="0" fieldPosition="0">
        <references count="2">
          <reference field="4294967294" count="1" selected="0">
            <x v="0"/>
          </reference>
          <reference field="26" count="1" selected="0">
            <x v="1"/>
          </reference>
        </references>
      </pivotArea>
    </chartFormat>
    <chartFormat chart="10" format="10" series="1">
      <pivotArea type="data" outline="0" fieldPosition="0">
        <references count="2">
          <reference field="4294967294" count="1" selected="0">
            <x v="0"/>
          </reference>
          <reference field="26" count="1" selected="0">
            <x v="2"/>
          </reference>
        </references>
      </pivotArea>
    </chartFormat>
    <chartFormat chart="10" format="13">
      <pivotArea type="data" outline="0" fieldPosition="0">
        <references count="4">
          <reference field="4294967294" count="1" selected="0">
            <x v="0"/>
          </reference>
          <reference field="5" count="1" selected="0">
            <x v="3"/>
          </reference>
          <reference field="11" count="1" selected="0">
            <x v="79"/>
          </reference>
          <reference field="26" count="1" selected="0">
            <x v="2"/>
          </reference>
        </references>
      </pivotArea>
    </chartFormat>
    <chartFormat chart="10" format="14" series="1">
      <pivotArea type="data" outline="0" fieldPosition="0">
        <references count="2">
          <reference field="4294967294" count="1" selected="0">
            <x v="0"/>
          </reference>
          <reference field="26" count="1" selected="0">
            <x v="3"/>
          </reference>
        </references>
      </pivotArea>
    </chartFormat>
    <chartFormat chart="10" format="15" series="1">
      <pivotArea type="data" outline="0" fieldPosition="0">
        <references count="3">
          <reference field="4294967294" count="1" selected="0">
            <x v="0"/>
          </reference>
          <reference field="5" count="1" selected="0">
            <x v="3"/>
          </reference>
          <reference field="11" count="1" selected="0">
            <x v="3"/>
          </reference>
        </references>
      </pivotArea>
    </chartFormat>
    <chartFormat chart="10" format="16" series="1">
      <pivotArea type="data" outline="0" fieldPosition="0">
        <references count="3">
          <reference field="4294967294" count="1" selected="0">
            <x v="0"/>
          </reference>
          <reference field="5" count="1" selected="0">
            <x v="3"/>
          </reference>
          <reference field="11" count="1" selected="0">
            <x v="38"/>
          </reference>
        </references>
      </pivotArea>
    </chartFormat>
    <chartFormat chart="10" format="19" series="1">
      <pivotArea type="data" outline="0" fieldPosition="0">
        <references count="3">
          <reference field="4294967294" count="1" selected="0">
            <x v="0"/>
          </reference>
          <reference field="5" count="1" selected="0">
            <x v="6"/>
          </reference>
          <reference field="11" count="1" selected="0">
            <x v="12"/>
          </reference>
        </references>
      </pivotArea>
    </chartFormat>
    <chartFormat chart="10" format="20" series="1">
      <pivotArea type="data" outline="0" fieldPosition="0">
        <references count="3">
          <reference field="4294967294" count="1" selected="0">
            <x v="0"/>
          </reference>
          <reference field="5" count="1" selected="0">
            <x v="6"/>
          </reference>
          <reference field="11" count="1" selected="0">
            <x v="75"/>
          </reference>
        </references>
      </pivotArea>
    </chartFormat>
    <chartFormat chart="10" format="22" series="1">
      <pivotArea type="data" outline="0" fieldPosition="0">
        <references count="3">
          <reference field="4294967294" count="1" selected="0">
            <x v="0"/>
          </reference>
          <reference field="5" count="1" selected="0">
            <x v="6"/>
          </reference>
          <reference field="11" count="1" selected="0">
            <x v="71"/>
          </reference>
        </references>
      </pivotArea>
    </chartFormat>
    <chartFormat chart="10" format="23" series="1">
      <pivotArea type="data" outline="0" fieldPosition="0">
        <references count="3">
          <reference field="4294967294" count="1" selected="0">
            <x v="0"/>
          </reference>
          <reference field="5" count="1" selected="0">
            <x v="6"/>
          </reference>
          <reference field="11" count="1" selected="0">
            <x v="72"/>
          </reference>
        </references>
      </pivotArea>
    </chartFormat>
    <chartFormat chart="10" format="24" series="1">
      <pivotArea type="data" outline="0" fieldPosition="0">
        <references count="3">
          <reference field="4294967294" count="1" selected="0">
            <x v="0"/>
          </reference>
          <reference field="5" count="1" selected="0">
            <x v="6"/>
          </reference>
          <reference field="11" count="1" selected="0">
            <x v="9"/>
          </reference>
        </references>
      </pivotArea>
    </chartFormat>
    <chartFormat chart="10" format="25" series="1">
      <pivotArea type="data" outline="0" fieldPosition="0">
        <references count="3">
          <reference field="4294967294" count="1" selected="0">
            <x v="0"/>
          </reference>
          <reference field="5" count="1" selected="0">
            <x v="6"/>
          </reference>
          <reference field="11" count="1" selected="0">
            <x v="94"/>
          </reference>
        </references>
      </pivotArea>
    </chartFormat>
    <chartFormat chart="10" format="26" series="1">
      <pivotArea type="data" outline="0" fieldPosition="0">
        <references count="3">
          <reference field="4294967294" count="1" selected="0">
            <x v="0"/>
          </reference>
          <reference field="5" count="1" selected="0">
            <x v="6"/>
          </reference>
          <reference field="11" count="1" selected="0">
            <x v="22"/>
          </reference>
        </references>
      </pivotArea>
    </chartFormat>
    <chartFormat chart="10" format="27" series="1">
      <pivotArea type="data" outline="0" fieldPosition="0">
        <references count="3">
          <reference field="4294967294" count="1" selected="0">
            <x v="0"/>
          </reference>
          <reference field="5" count="1" selected="0">
            <x v="6"/>
          </reference>
          <reference field="11" count="1" selected="0">
            <x v="44"/>
          </reference>
        </references>
      </pivotArea>
    </chartFormat>
    <chartFormat chart="10" format="28" series="1">
      <pivotArea type="data" outline="0" fieldPosition="0">
        <references count="3">
          <reference field="4294967294" count="1" selected="0">
            <x v="0"/>
          </reference>
          <reference field="5" count="1" selected="0">
            <x v="6"/>
          </reference>
          <reference field="11" count="1" selected="0">
            <x v="53"/>
          </reference>
        </references>
      </pivotArea>
    </chartFormat>
    <chartFormat chart="10" format="29" series="1">
      <pivotArea type="data" outline="0" fieldPosition="0">
        <references count="3">
          <reference field="4294967294" count="1" selected="0">
            <x v="0"/>
          </reference>
          <reference field="5" count="1" selected="0">
            <x v="6"/>
          </reference>
          <reference field="11" count="1" selected="0">
            <x v="33"/>
          </reference>
        </references>
      </pivotArea>
    </chartFormat>
    <chartFormat chart="10" format="30" series="1">
      <pivotArea type="data" outline="0" fieldPosition="0">
        <references count="3">
          <reference field="4294967294" count="1" selected="0">
            <x v="0"/>
          </reference>
          <reference field="5" count="1" selected="0">
            <x v="6"/>
          </reference>
          <reference field="11" count="1" selected="0">
            <x v="13"/>
          </reference>
        </references>
      </pivotArea>
    </chartFormat>
    <chartFormat chart="10" format="31" series="1">
      <pivotArea type="data" outline="0" fieldPosition="0">
        <references count="3">
          <reference field="4294967294" count="1" selected="0">
            <x v="0"/>
          </reference>
          <reference field="5" count="1" selected="0">
            <x v="6"/>
          </reference>
          <reference field="11" count="1" selected="0">
            <x v="88"/>
          </reference>
        </references>
      </pivotArea>
    </chartFormat>
    <chartFormat chart="10" format="32" series="1">
      <pivotArea type="data" outline="0" fieldPosition="0">
        <references count="3">
          <reference field="4294967294" count="1" selected="0">
            <x v="0"/>
          </reference>
          <reference field="5" count="1" selected="0">
            <x v="6"/>
          </reference>
          <reference field="11" count="1" selected="0">
            <x v="93"/>
          </reference>
        </references>
      </pivotArea>
    </chartFormat>
    <chartFormat chart="10" format="33" series="1">
      <pivotArea type="data" outline="0" fieldPosition="0">
        <references count="3">
          <reference field="4294967294" count="1" selected="0">
            <x v="0"/>
          </reference>
          <reference field="5" count="1" selected="0">
            <x v="6"/>
          </reference>
          <reference field="11" count="1" selected="0">
            <x v="87"/>
          </reference>
        </references>
      </pivotArea>
    </chartFormat>
    <chartFormat chart="10" format="34" series="1">
      <pivotArea type="data" outline="0" fieldPosition="0">
        <references count="3">
          <reference field="4294967294" count="1" selected="0">
            <x v="0"/>
          </reference>
          <reference field="5" count="1" selected="0">
            <x v="6"/>
          </reference>
          <reference field="11" count="1" selected="0">
            <x v="14"/>
          </reference>
        </references>
      </pivotArea>
    </chartFormat>
    <chartFormat chart="10" format="35" series="1">
      <pivotArea type="data" outline="0" fieldPosition="0">
        <references count="3">
          <reference field="4294967294" count="1" selected="0">
            <x v="0"/>
          </reference>
          <reference field="5" count="1" selected="0">
            <x v="6"/>
          </reference>
          <reference field="11" count="1" selected="0">
            <x v="21"/>
          </reference>
        </references>
      </pivotArea>
    </chartFormat>
    <chartFormat chart="10" format="36" series="1">
      <pivotArea type="data" outline="0" fieldPosition="0">
        <references count="3">
          <reference field="4294967294" count="1" selected="0">
            <x v="0"/>
          </reference>
          <reference field="5" count="1" selected="0">
            <x v="6"/>
          </reference>
          <reference field="11" count="1" selected="0">
            <x v="55"/>
          </reference>
        </references>
      </pivotArea>
    </chartFormat>
    <chartFormat chart="10" format="37" series="1">
      <pivotArea type="data" outline="0" fieldPosition="0">
        <references count="3">
          <reference field="4294967294" count="1" selected="0">
            <x v="0"/>
          </reference>
          <reference field="5" count="1" selected="0">
            <x v="6"/>
          </reference>
          <reference field="11" count="1" selected="0">
            <x v="54"/>
          </reference>
        </references>
      </pivotArea>
    </chartFormat>
    <chartFormat chart="10" format="38" series="1">
      <pivotArea type="data" outline="0" fieldPosition="0">
        <references count="3">
          <reference field="4294967294" count="1" selected="0">
            <x v="0"/>
          </reference>
          <reference field="5" count="1" selected="0">
            <x v="6"/>
          </reference>
          <reference field="11" count="1" selected="0">
            <x v="73"/>
          </reference>
        </references>
      </pivotArea>
    </chartFormat>
    <chartFormat chart="10" format="41" series="1">
      <pivotArea type="data" outline="0" fieldPosition="0">
        <references count="3">
          <reference field="4294967294" count="1" selected="0">
            <x v="0"/>
          </reference>
          <reference field="5" count="1" selected="0">
            <x v="3"/>
          </reference>
          <reference field="11" count="1" selected="0">
            <x v="8"/>
          </reference>
        </references>
      </pivotArea>
    </chartFormat>
    <chartFormat chart="10" format="42" series="1">
      <pivotArea type="data" outline="0" fieldPosition="0">
        <references count="3">
          <reference field="4294967294" count="1" selected="0">
            <x v="0"/>
          </reference>
          <reference field="5" count="1" selected="0">
            <x v="3"/>
          </reference>
          <reference field="11" count="1" selected="0">
            <x v="79"/>
          </reference>
        </references>
      </pivotArea>
    </chartFormat>
    <chartFormat chart="11" format="0" series="1">
      <pivotArea type="data" outline="0" fieldPosition="0">
        <references count="2">
          <reference field="4294967294" count="1" selected="0">
            <x v="0"/>
          </reference>
          <reference field="26" count="1" selected="0">
            <x v="1"/>
          </reference>
        </references>
      </pivotArea>
    </chartFormat>
    <chartFormat chart="11" format="1" series="1">
      <pivotArea type="data" outline="0" fieldPosition="0">
        <references count="2">
          <reference field="4294967294" count="1" selected="0">
            <x v="0"/>
          </reference>
          <reference field="26" count="1" selected="0">
            <x v="2"/>
          </reference>
        </references>
      </pivotArea>
    </chartFormat>
    <chartFormat chart="11" format="3" series="1">
      <pivotArea type="data" outline="0" fieldPosition="0">
        <references count="2">
          <reference field="4294967294" count="1" selected="0">
            <x v="0"/>
          </reference>
          <reference field="26" count="1" selected="0">
            <x v="3"/>
          </reference>
        </references>
      </pivotArea>
    </chartFormat>
    <chartFormat chart="13" format="23" series="1">
      <pivotArea type="data" outline="0" fieldPosition="0">
        <references count="2">
          <reference field="4294967294" count="1" selected="0">
            <x v="0"/>
          </reference>
          <reference field="26" count="1" selected="0">
            <x v="1"/>
          </reference>
        </references>
      </pivotArea>
    </chartFormat>
    <chartFormat chart="13" format="24" series="1">
      <pivotArea type="data" outline="0" fieldPosition="0">
        <references count="2">
          <reference field="4294967294" count="1" selected="0">
            <x v="0"/>
          </reference>
          <reference field="26" count="1" selected="0">
            <x v="2"/>
          </reference>
        </references>
      </pivotArea>
    </chartFormat>
    <chartFormat chart="13" format="26" series="1">
      <pivotArea type="data" outline="0" fieldPosition="0">
        <references count="2">
          <reference field="4294967294" count="1" selected="0">
            <x v="0"/>
          </reference>
          <reference field="26" count="1" selected="0">
            <x v="3"/>
          </reference>
        </references>
      </pivotArea>
    </chartFormat>
    <chartFormat chart="13" format="27" series="1">
      <pivotArea type="data" outline="0" fieldPosition="0">
        <references count="2">
          <reference field="4294967294" count="1" selected="0">
            <x v="0"/>
          </reference>
          <reference field="2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16">
  <location ref="A137:G148" firstHeaderRow="1" firstDataRow="3" firstDataCol="2"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multipleItemSelectionAllowed="1" showAll="0">
      <items count="12">
        <item x="3"/>
        <item x="7"/>
        <item x="8"/>
        <item x="0"/>
        <item x="2"/>
        <item x="9"/>
        <item x="1"/>
        <item x="5"/>
        <item x="4"/>
        <item x="6"/>
        <item x="10"/>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numFmtId="169" outline="0" showAll="0"/>
    <pivotField compact="0" outline="0" showAll="0" defaultSubtotal="0"/>
    <pivotField compact="0" outline="0" showAll="0"/>
    <pivotField axis="axisCol" compact="0" outline="0" multipleItemSelectionAllowed="1" showAll="0" defaultSubtotal="0">
      <items count="6">
        <item x="0"/>
        <item x="2"/>
        <item x="1"/>
        <item x="5"/>
        <item x="3"/>
        <item x="4"/>
      </items>
    </pivotField>
    <pivotField compact="0" outline="0" showAll="0" defaultSubtotal="0"/>
    <pivotField compact="0" outline="0" showAll="0"/>
    <pivotField axis="axisCol" compact="0" outline="0" showAll="0">
      <items count="5">
        <item x="3"/>
        <item x="1"/>
        <item x="0"/>
        <item x="2"/>
        <item t="default"/>
      </items>
    </pivotField>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numFmtId="15" outline="0" showAll="0"/>
    <pivotField compact="0" outline="0" showAll="0"/>
    <pivotField compact="0" outline="0" showAll="0" defaultSubtotal="0"/>
    <pivotField compact="0" numFmtId="9" outline="0" showAll="0" defaultSubtotal="0"/>
    <pivotField axis="axisPage" compact="0" outline="0" multipleItemSelectionAllowed="1" showAll="0" defaultSubtotal="0">
      <items count="65">
        <item n="Priority Camps" h="1" sd="0" x="59"/>
        <item n="Zone 1" sd="0" x="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h="1" x="62"/>
        <item h="1" x="63"/>
        <item h="1" x="64"/>
      </items>
    </pivotField>
  </pivotFields>
  <rowFields count="2">
    <field x="5"/>
    <field x="11"/>
  </rowFields>
  <rowItems count="9">
    <i>
      <x/>
      <x v="50"/>
    </i>
    <i t="default">
      <x/>
    </i>
    <i>
      <x v="6"/>
      <x v="12"/>
    </i>
    <i r="1">
      <x v="94"/>
    </i>
    <i r="1">
      <x v="22"/>
    </i>
    <i t="default">
      <x v="6"/>
    </i>
    <i>
      <x v="8"/>
      <x v="37"/>
    </i>
    <i t="default">
      <x v="8"/>
    </i>
    <i t="grand">
      <x/>
    </i>
  </rowItems>
  <colFields count="2">
    <field x="24"/>
    <field x="21"/>
  </colFields>
  <colItems count="5">
    <i>
      <x v="2"/>
      <x/>
    </i>
    <i r="1">
      <x v="1"/>
    </i>
    <i r="1">
      <x v="2"/>
    </i>
    <i t="default">
      <x v="2"/>
    </i>
    <i t="grand">
      <x/>
    </i>
  </colItems>
  <pageFields count="2">
    <pageField fld="0" hier="-1"/>
    <pageField fld="36" hier="-1"/>
  </pageFields>
  <dataFields count="1">
    <dataField name="Sum of Total" fld="17" baseField="11" baseItem="1" numFmtId="3"/>
  </dataFields>
  <formats count="5">
    <format dxfId="1122">
      <pivotArea field="0" type="button" dataOnly="0" labelOnly="1" outline="0" axis="axisPage" fieldPosition="0"/>
    </format>
    <format dxfId="1121">
      <pivotArea dataOnly="0" labelOnly="1" outline="0" fieldPosition="0">
        <references count="1">
          <reference field="0" count="0"/>
        </references>
      </pivotArea>
    </format>
    <format dxfId="1120">
      <pivotArea field="36" type="button" dataOnly="0" labelOnly="1" outline="0" axis="axisPage" fieldPosition="1"/>
    </format>
    <format dxfId="1119">
      <pivotArea dataOnly="0" labelOnly="1" outline="0" fieldPosition="0">
        <references count="1">
          <reference field="36" count="0"/>
        </references>
      </pivotArea>
    </format>
    <format dxfId="1118">
      <pivotArea type="all" dataOnly="0" outline="0" fieldPosition="0"/>
    </format>
  </formats>
  <chartFormats count="10">
    <chartFormat chart="6" format="0" series="1">
      <pivotArea type="data" outline="0" fieldPosition="0">
        <references count="2">
          <reference field="4294967294" count="1" selected="0">
            <x v="0"/>
          </reference>
          <reference field="24" count="1" selected="0">
            <x v="1"/>
          </reference>
        </references>
      </pivotArea>
    </chartFormat>
    <chartFormat chart="8" format="4" series="1">
      <pivotArea type="data" outline="0" fieldPosition="0">
        <references count="2">
          <reference field="4294967294" count="1" selected="0">
            <x v="0"/>
          </reference>
          <reference field="24" count="1" selected="0">
            <x v="1"/>
          </reference>
        </references>
      </pivotArea>
    </chartFormat>
    <chartFormat chart="10" format="10"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8"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12" series="1">
      <pivotArea type="data" outline="0" fieldPosition="0">
        <references count="3">
          <reference field="4294967294" count="1" selected="0">
            <x v="0"/>
          </reference>
          <reference field="21" count="1" selected="0">
            <x v="1"/>
          </reference>
          <reference field="24" count="1" selected="0">
            <x v="1"/>
          </reference>
        </references>
      </pivotArea>
    </chartFormat>
    <chartFormat chart="13" format="15" series="1">
      <pivotArea type="data" outline="0" fieldPosition="0">
        <references count="3">
          <reference field="4294967294" count="1" selected="0">
            <x v="0"/>
          </reference>
          <reference field="21" count="1" selected="0">
            <x v="2"/>
          </reference>
          <reference field="24" count="1" selected="0">
            <x v="1"/>
          </reference>
        </references>
      </pivotArea>
    </chartFormat>
    <chartFormat chart="13" format="16" series="1">
      <pivotArea type="data" outline="0" fieldPosition="0">
        <references count="3">
          <reference field="4294967294" count="1" selected="0">
            <x v="0"/>
          </reference>
          <reference field="21" count="1" selected="0">
            <x v="0"/>
          </reference>
          <reference field="24" count="1" selected="0">
            <x v="2"/>
          </reference>
        </references>
      </pivotArea>
    </chartFormat>
    <chartFormat chart="13" format="17" series="1">
      <pivotArea type="data" outline="0" fieldPosition="0">
        <references count="3">
          <reference field="4294967294" count="1" selected="0">
            <x v="0"/>
          </reference>
          <reference field="21" count="1" selected="0">
            <x v="1"/>
          </reference>
          <reference field="24" count="1" selected="0">
            <x v="2"/>
          </reference>
        </references>
      </pivotArea>
    </chartFormat>
    <chartFormat chart="13" format="18" series="1">
      <pivotArea type="data" outline="0" fieldPosition="0">
        <references count="3">
          <reference field="4294967294" count="1" selected="0">
            <x v="0"/>
          </reference>
          <reference field="21" count="1" selected="0">
            <x v="2"/>
          </reference>
          <reference field="24" count="1" selected="0">
            <x v="2"/>
          </reference>
        </references>
      </pivotArea>
    </chartFormat>
    <chartFormat chart="13" format="1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5"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52:D54"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x="5"/>
        <item x="2"/>
        <item x="3"/>
        <item x="4"/>
        <item x="1"/>
        <item x="0"/>
      </items>
    </pivotField>
    <pivotField showAll="0" defaultSubtotal="0"/>
    <pivotField showAll="0" defaultSubtotal="0"/>
    <pivotField showAll="0" defaultSubtotal="0"/>
    <pivotField showAll="0"/>
    <pivotField showAll="0"/>
    <pivotField numFmtId="15" showAll="0"/>
    <pivotField showAl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Items count="1">
    <i/>
  </rowItems>
  <colFields count="1">
    <field x="26"/>
  </colFields>
  <colItems count="3">
    <i>
      <x v="2"/>
    </i>
    <i>
      <x v="5"/>
    </i>
    <i t="grand">
      <x/>
    </i>
  </colItems>
  <pageFields count="1">
    <pageField fld="0" hier="-1"/>
  </pageFields>
  <dataFields count="1">
    <dataField name="Sum of Total" fld="17" baseField="23" baseItem="0"/>
  </dataFields>
  <formats count="3">
    <format dxfId="1125">
      <pivotArea type="all" dataOnly="0" outline="0" fieldPosition="0"/>
    </format>
    <format dxfId="1124">
      <pivotArea field="0" type="button" dataOnly="0" labelOnly="1" outline="0" axis="axisPage" fieldPosition="0"/>
    </format>
    <format dxfId="1123">
      <pivotArea dataOnly="0" labelOnly="1" outline="0" fieldPosition="0">
        <references count="1">
          <reference field="0" count="0"/>
        </references>
      </pivotArea>
    </format>
  </formats>
  <chartFormats count="2">
    <chartFormat chart="2" format="2"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WNSHIP_NAME1" sourceName="TOWNSHIP_NAME">
  <pivotTables>
    <pivotTable tabId="67" name="PivotTable1"/>
  </pivotTables>
  <data>
    <tabular pivotCacheId="1">
      <items count="11">
        <i x="4" s="1"/>
        <i x="3" s="1"/>
        <i x="5" s="1"/>
        <i x="0" s="1"/>
        <i x="1" s="1"/>
        <i x="7" s="1" nd="1"/>
        <i x="8" s="1" nd="1"/>
        <i x="6" s="1" nd="1"/>
        <i x="2" s="1" nd="1"/>
        <i x="9" s="1" nd="1"/>
        <i x="1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OWNSHIP_NAME11" sourceName="TOWNSHIP_NAME">
  <data>
    <tabular pivotCacheId="1">
      <items count="11">
        <i x="4" s="1"/>
        <i x="3" s="1"/>
        <i x="7" s="1"/>
        <i x="8" s="1"/>
        <i x="6" s="1"/>
        <i x="5" s="1"/>
        <i x="0" s="1"/>
        <i x="2" s="1"/>
        <i x="9" s="1"/>
        <i x="1" s="1"/>
        <i x="1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WNSHIP_NAME 1" cache="Slicer_TOWNSHIP_NAME1" caption="TOWNSHIP_NAM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TOWNSHIP_NAME 2" cache="Slicer_TOWNSHIP_NAME11" caption="TOWNSHIP_NAME" rowHeight="241300"/>
</slicers>
</file>

<file path=xl/tables/table1.xml><?xml version="1.0" encoding="utf-8"?>
<table xmlns="http://schemas.openxmlformats.org/spreadsheetml/2006/main" id="3" name="Definition_State" displayName="Definition_State" ref="J1:J2" totalsRowShown="0" headerRowDxfId="1514" dataDxfId="1513">
  <autoFilter ref="J1:J2"/>
  <tableColumns count="1">
    <tableColumn id="1" name="State" dataDxfId="1512"/>
  </tableColumns>
  <tableStyleInfo name="TableStyleMedium2" showFirstColumn="0" showLastColumn="0" showRowStripes="1" showColumnStripes="0"/>
</table>
</file>

<file path=xl/tables/table10.xml><?xml version="1.0" encoding="utf-8"?>
<table xmlns="http://schemas.openxmlformats.org/spreadsheetml/2006/main" id="19" name="Type_Vulnerability_t" displayName="Type_Vulnerability_t" ref="X1:X17" totalsRowShown="0">
  <autoFilter ref="X1:X17"/>
  <tableColumns count="1">
    <tableColumn id="1" name="Type_Vulnerability"/>
  </tableColumns>
  <tableStyleInfo name="TableStyleMedium2" showFirstColumn="0" showLastColumn="0" showRowStripes="1" showColumnStripes="0"/>
</table>
</file>

<file path=xl/tables/table11.xml><?xml version="1.0" encoding="utf-8"?>
<table xmlns="http://schemas.openxmlformats.org/spreadsheetml/2006/main" id="20" name="Age_Category_t" displayName="Age_Category_t" ref="AE1:AH13" totalsRowShown="0">
  <autoFilter ref="AE1:AH13"/>
  <tableColumns count="4">
    <tableColumn id="1" name="Age_Cat_Code"/>
    <tableColumn id="2" name="Age_Cat" dataDxfId="1498"/>
    <tableColumn id="3" name="Age_Min"/>
    <tableColumn id="4" name="Age_Max"/>
  </tableColumns>
  <tableStyleInfo name="TableStyleMedium2" showFirstColumn="0" showLastColumn="0" showRowStripes="1" showColumnStripes="0"/>
</table>
</file>

<file path=xl/tables/table12.xml><?xml version="1.0" encoding="utf-8"?>
<table xmlns="http://schemas.openxmlformats.org/spreadsheetml/2006/main" id="1" name="Camp_List" displayName="Camp_List" ref="A4:AJ131" tableType="xml" totalsRowShown="0" headerRowDxfId="1493" dataDxfId="1491" headerRowBorderDxfId="1492" tableBorderDxfId="1490" headerRowCellStyle="Normal_Sheet11">
  <autoFilter ref="A4:AJ131">
    <filterColumn colId="0">
      <filters blank="1">
        <filter val="Open"/>
        <filter val="Relocated"/>
        <filter val="Returned"/>
      </filters>
    </filterColumn>
  </autoFilter>
  <sortState ref="A5:AJ141">
    <sortCondition ref="A5:A141"/>
  </sortState>
  <tableColumns count="36">
    <tableColumn id="24" uniqueName="Status" name="Status" dataDxfId="1489">
      <xmlColumnPr mapId="8" xpath="/dataroot/Data_CCCM_t/Status" xmlDataType="string"/>
    </tableColumn>
    <tableColumn id="2" uniqueName="State" name="State" dataDxfId="1488">
      <xmlColumnPr mapId="8" xpath="/dataroot/Data_CCCM_t/State" xmlDataType="string"/>
    </tableColumn>
    <tableColumn id="12" uniqueName="State_Pcode" name="State_Pcode" dataDxfId="1487">
      <xmlColumnPr mapId="8" xpath="/dataroot/Data_CCCM_t/State_Pcode" xmlDataType="string"/>
    </tableColumn>
    <tableColumn id="23" uniqueName="District" name="District" dataDxfId="1486">
      <xmlColumnPr mapId="8" xpath="/dataroot/Data_CCCM_t/District" xmlDataType="string"/>
    </tableColumn>
    <tableColumn id="19" uniqueName="District_Pcode" name="District_Pcode" dataDxfId="1485">
      <xmlColumnPr mapId="8" xpath="/dataroot/Data_CCCM_t/District_Pcode" xmlDataType="string"/>
    </tableColumn>
    <tableColumn id="3" uniqueName="TOWNSHIP_NAME" name="TOWNSHIP_NAME" dataDxfId="1484">
      <xmlColumnPr mapId="8" xpath="/dataroot/Data_CCCM_t/TOWNSHIP_NAME" xmlDataType="string"/>
    </tableColumn>
    <tableColumn id="13" uniqueName="Township_Pcode" name="Township_Pcode" dataDxfId="1483">
      <xmlColumnPr mapId="8" xpath="/dataroot/Data_CCCM_t/Township_Pcode" xmlDataType="string"/>
    </tableColumn>
    <tableColumn id="14" uniqueName="VillageTracKTown_Name" name="VillageTracKTown_Name" dataDxfId="1482">
      <xmlColumnPr mapId="8" xpath="/dataroot/Data_CCCM_t/VillageTracKTown_Name" xmlDataType="string"/>
    </tableColumn>
    <tableColumn id="15" uniqueName="VillageTrackTown_Pcode" name="VillageTrackTown_Pcode" dataDxfId="1481">
      <xmlColumnPr mapId="8" xpath="/dataroot/Data_CCCM_t/VillageTrackTown_Pcode" xmlDataType="string"/>
    </tableColumn>
    <tableColumn id="16" uniqueName="VillageWard_Name" name="VillageWard_Name" dataDxfId="1480">
      <xmlColumnPr mapId="8" xpath="/dataroot/Data_CCCM_t/VillageWard_Name" xmlDataType="string"/>
    </tableColumn>
    <tableColumn id="17" uniqueName="VillageWard_Pcode" name="VillageWard_Pcode" dataDxfId="1479">
      <xmlColumnPr mapId="8" xpath="/dataroot/Data_CCCM_t/VillageWard_Pcode" xmlDataType="string"/>
    </tableColumn>
    <tableColumn id="4" uniqueName="Camp Name" name="Camp Name" dataDxfId="1478">
      <xmlColumnPr mapId="8" xpath="/dataroot/Data_CCCM_t/Camp_x005f_x0020_Name" xmlDataType="string"/>
    </tableColumn>
    <tableColumn id="5" uniqueName="P_Code" name="P_Code" dataDxfId="1477">
      <xmlColumnPr mapId="8" xpath="/dataroot/Data_CCCM_t/P_Code" xmlDataType="string"/>
    </tableColumn>
    <tableColumn id="6" uniqueName="Longitude" name="Longitude" dataDxfId="1476">
      <xmlColumnPr mapId="8" xpath="/dataroot/Data_CCCM_t/Longitude" xmlDataType="double"/>
    </tableColumn>
    <tableColumn id="7" uniqueName="Latitude" name="Latitude" dataDxfId="1475">
      <xmlColumnPr mapId="8" xpath="/dataroot/Data_CCCM_t/Latitude" xmlDataType="double"/>
    </tableColumn>
    <tableColumn id="1" uniqueName="Altitude" name="Altitude" dataDxfId="1474">
      <xmlColumnPr mapId="8" xpath="/dataroot/Data_CCCM_t/Altitude" xmlDataType="string"/>
    </tableColumn>
    <tableColumn id="8" uniqueName="HH" name="HH" dataDxfId="1473" dataCellStyle="Percent">
      <xmlColumnPr mapId="8" xpath="/dataroot/Data_CCCM_t/HH" xmlDataType="double"/>
    </tableColumn>
    <tableColumn id="9" uniqueName="Total" name="Total" dataDxfId="1472" dataCellStyle="Comma">
      <xmlColumnPr mapId="8" xpath="/dataroot/Data_CCCM_t/Total" xmlDataType="double"/>
    </tableColumn>
    <tableColumn id="11" uniqueName="Avg" name="Avg" dataDxfId="1471" dataCellStyle="Percent">
      <xmlColumnPr mapId="8" xpath="/dataroot/Data_CCCM_t/Avg" xmlDataType="double"/>
    </tableColumn>
    <tableColumn id="29" uniqueName="Accessibility" name="Accessibility" dataDxfId="1470">
      <xmlColumnPr mapId="8" xpath="/dataroot/Data_CCCM_t/Accessibility" xmlDataType="string"/>
    </tableColumn>
    <tableColumn id="33" uniqueName="Affected population" name="Affected population" dataDxfId="1469">
      <xmlColumnPr mapId="8" xpath="/dataroot/Data_CCCM_t/Affected_x005f_x0020_population" xmlDataType="string"/>
    </tableColumn>
    <tableColumn id="26" uniqueName="Type of Accomodation" name="Type of Accomodation" dataDxfId="1468">
      <xmlColumnPr mapId="8" xpath="/dataroot/Data_CCCM_t/Type_x005f_x0020_of_x005f_x0020_Accomodation" xmlDataType="string"/>
    </tableColumn>
    <tableColumn id="37" uniqueName="Isolated Location" name="Isolated Location" dataDxfId="1467">
      <xmlColumnPr mapId="8" xpath="/dataroot/Data_CCCM_t/Isolated_x005f_x0020_Location" xmlDataType="string"/>
    </tableColumn>
    <tableColumn id="30" uniqueName="Opening Date" name="Opening Date" dataDxfId="1466">
      <xmlColumnPr mapId="8" xpath="/dataroot/Data_CCCM_t/Opening_x005f_x0020_Date" xmlDataType="string"/>
    </tableColumn>
    <tableColumn id="34" uniqueName="Ethnicity" name="Ethnicity" dataDxfId="1465">
      <xmlColumnPr mapId="8" xpath="/dataroot/Data_CCCM_t/Ethnicity" xmlDataType="string"/>
    </tableColumn>
    <tableColumn id="35" uniqueName="Religion" name="Religion" dataDxfId="1464">
      <xmlColumnPr mapId="8" xpath="/dataroot/Data_CCCM_t/Religion" xmlDataType="string"/>
    </tableColumn>
    <tableColumn id="36" uniqueName="Type of Population" name="Type of Population" dataDxfId="1463">
      <calculatedColumnFormula>CONCATENATE(Camp_List[[#This Row],[Ethnicity]],"-",Camp_List[[#This Row],[Religion]])</calculatedColumnFormula>
      <xmlColumnPr mapId="8" xpath="/dataroot/Data_CCCM_t/Type_x005f_x0020_of_x005f_x0020_Population" xmlDataType="string"/>
    </tableColumn>
    <tableColumn id="28" uniqueName="28" name="Type of Location" dataDxfId="1462"/>
    <tableColumn id="32" uniqueName="CM/FP" name="CM/FP" dataDxfId="1461">
      <xmlColumnPr mapId="8" xpath="/dataroot/Data_CCCM_t/CM_x005f_x002F_FP" xmlDataType="string"/>
    </tableColumn>
    <tableColumn id="22" uniqueName="Responsible Agency" name="Responsible Agency" dataDxfId="1460">
      <xmlColumnPr mapId="8" xpath="/dataroot/Data_CCCM_t/Responsible_x005f_x0020_Agency" xmlDataType="string"/>
    </tableColumn>
    <tableColumn id="18" uniqueName="Source" name="Source" dataDxfId="1459">
      <xmlColumnPr mapId="8" xpath="/dataroot/Data_CCCM_t/Source" xmlDataType="string"/>
    </tableColumn>
    <tableColumn id="20" uniqueName="Method" name="Method" dataDxfId="1458">
      <xmlColumnPr mapId="8" xpath="/dataroot/Data_CCCM_t/Method" xmlDataType="string"/>
    </tableColumn>
    <tableColumn id="31" uniqueName="Update Date" name="Update Date" dataDxfId="1457">
      <xmlColumnPr mapId="8" xpath="/dataroot/Data_CCCM_t/Update_x005f_x0020_Date" xmlDataType="dateTime"/>
    </tableColumn>
    <tableColumn id="25" uniqueName="Comment" name="Comment" dataDxfId="1456">
      <xmlColumnPr mapId="8" xpath="/dataroot/Data_CCCM_t/Comment" xmlDataType="string"/>
    </tableColumn>
    <tableColumn id="10" uniqueName="Contact" name="Contact" dataDxfId="1455">
      <calculatedColumnFormula>IFERROR(VLOOKUP(Camp_List[[#This Row],[Responsible Agency]],Organization_t[],3,0),"")</calculatedColumnFormula>
      <xmlColumnPr mapId="8" xpath="/dataroot/Data_CCCM_t/Contact" xmlDataType="double"/>
    </tableColumn>
    <tableColumn id="21" uniqueName="shelter_coverage" name="shelter_coverage" dataDxfId="1454" dataCellStyle="Percent">
      <calculatedColumnFormula>IF((SUMIFS(Data_Shelter_t[Coverage],Data_Shelter_t[Pcode],Camp_List[[#This Row],[P_Code]]))&gt;1,1,SUMIFS(Data_Shelter_t[Coverage],Data_Shelter_t[Pcode],Camp_List[[#This Row],[P_Code]]))</calculatedColumnFormula>
      <xmlColumnPr mapId="8" xpath="/dataroot/Data_CCCM_t/shelter_coverage" xmlDataType="double"/>
    </tableColumn>
  </tableColumns>
  <tableStyleInfo name="TableStyleMedium2" showFirstColumn="0" showLastColumn="0" showRowStripes="1" showColumnStripes="0"/>
</table>
</file>

<file path=xl/tables/table13.xml><?xml version="1.0" encoding="utf-8"?>
<table xmlns="http://schemas.openxmlformats.org/spreadsheetml/2006/main" id="21" name="Table922" displayName="Table922" ref="H16:L25" totalsRowShown="0" headerRowDxfId="1280" headerRowBorderDxfId="1279" tableBorderDxfId="1278" totalsRowBorderDxfId="1277">
  <tableColumns count="5">
    <tableColumn id="1" name="Township" dataDxfId="1276"/>
    <tableColumn id="2" name="# of HH" dataDxfId="1275" dataCellStyle="Comma"/>
    <tableColumn id="3" name="# of IDPs" dataDxfId="1274" dataCellStyle="Comma"/>
    <tableColumn id="4" name="# of Planned Camp" dataDxfId="1273" dataCellStyle="Comma">
      <calculatedColumnFormula>AN21</calculatedColumnFormula>
    </tableColumn>
    <tableColumn id="5" name="# of Other Accomodation" dataDxfId="1272">
      <calculatedColumnFormula>AR21-Table922[[#This Row],['# of Planned Camp]]</calculatedColumnFormula>
    </tableColumn>
  </tableColumns>
  <tableStyleInfo name="TableStyleLight10" showFirstColumn="0" showLastColumn="0" showRowStripes="1" showColumnStripes="0"/>
</table>
</file>

<file path=xl/tables/table14.xml><?xml version="1.0" encoding="utf-8"?>
<table xmlns="http://schemas.openxmlformats.org/spreadsheetml/2006/main" id="12" name="Table58" displayName="Table58" ref="T2:AG13" totalsRowShown="0" headerRowDxfId="1266" dataDxfId="1264" headerRowBorderDxfId="1265" tableBorderDxfId="1263" totalsRowBorderDxfId="1262" dataCellStyle="Percent">
  <autoFilter ref="T2:AG13"/>
  <tableColumns count="14">
    <tableColumn id="1" name="Pcode" dataDxfId="1261" totalsRowDxfId="1260"/>
    <tableColumn id="2" name="Township" dataDxfId="1259" totalsRowDxfId="1258">
      <calculatedColumnFormula>'CCCM Dashboard'!H17</calculatedColumnFormula>
    </tableColumn>
    <tableColumn id="3" name="Long." dataDxfId="1257" totalsRowDxfId="1256"/>
    <tableColumn id="4" name="Lat." dataDxfId="1255" totalsRowDxfId="1254"/>
    <tableColumn id="5" name="HS" dataDxfId="1253" totalsRowDxfId="1252">
      <calculatedColumnFormula>'CCCM Dashboard'!I17</calculatedColumnFormula>
    </tableColumn>
    <tableColumn id="6" name="Pop" dataDxfId="1251" totalsRowDxfId="1250" dataCellStyle="Comma">
      <calculatedColumnFormula>'CCCM Dashboard'!J17</calculatedColumnFormula>
    </tableColumn>
    <tableColumn id="7" name="N_cps" dataDxfId="1249" totalsRowDxfId="1248">
      <calculatedColumnFormula>'CCCM Dashboard'!K17</calculatedColumnFormula>
    </tableColumn>
    <tableColumn id="8" name="Coverage" dataDxfId="1247" totalsRowDxfId="1246" dataCellStyle="Percent"/>
    <tableColumn id="9" name="Hygiene" dataDxfId="1245" totalsRowDxfId="1244" dataCellStyle="Percent"/>
    <tableColumn id="10" name="Core" dataDxfId="1243" totalsRowDxfId="1242" dataCellStyle="Percent"/>
    <tableColumn id="11" name="Sanitary" dataDxfId="1241" totalsRowDxfId="1240" dataCellStyle="Percent"/>
    <tableColumn id="12" name="Y" dataDxfId="1239" totalsRowDxfId="1238">
      <calculatedColumnFormula>$S$3-ROUND((W3-$S$1)*$S$5,0)</calculatedColumnFormula>
    </tableColumn>
    <tableColumn id="13" name="X" dataDxfId="1237" totalsRowDxfId="1236">
      <calculatedColumnFormula>ROUND((V3-$S$2)*$S$5,0)+$S$4</calculatedColumnFormula>
    </tableColumn>
    <tableColumn id="14" name="Column1" dataDxfId="1235" totalsRowDxfId="1234" dataCellStyle="Comma"/>
  </tableColumns>
  <tableStyleInfo name="TableStyleMedium10" showFirstColumn="0" showLastColumn="0" showRowStripes="1" showColumnStripes="0"/>
</table>
</file>

<file path=xl/tables/table15.xml><?xml version="1.0" encoding="utf-8"?>
<table xmlns="http://schemas.openxmlformats.org/spreadsheetml/2006/main" id="11" name="Data_Demography_t" displayName="Data_Demography_t" ref="A3:J219" tableType="xml" totalsRowShown="0" headerRowDxfId="1024" dataDxfId="1022" headerRowBorderDxfId="1023" tableBorderDxfId="1021" totalsRowBorderDxfId="1020">
  <autoFilter ref="A3:J219"/>
  <sortState ref="A131:J144">
    <sortCondition ref="C1:C275"/>
  </sortState>
  <tableColumns count="10">
    <tableColumn id="1" uniqueName="State" name="State" dataDxfId="1019">
      <xmlColumnPr mapId="2" xpath="/dataroot/Data_Demography_t/State" xmlDataType="string"/>
    </tableColumn>
    <tableColumn id="2" uniqueName="Township" name="Township" dataDxfId="1018">
      <xmlColumnPr mapId="2" xpath="/dataroot/Data_Demography_t/Township" xmlDataType="string"/>
    </tableColumn>
    <tableColumn id="3" uniqueName="Camp" name="Camp" dataDxfId="1017">
      <xmlColumnPr mapId="2" xpath="/dataroot/Data_Demography_t/Camp" xmlDataType="string"/>
    </tableColumn>
    <tableColumn id="9" uniqueName="Pcode" name="Pcode" dataDxfId="1016">
      <calculatedColumnFormula>IFERROR(OFFSET(Camp_List[P_Code],MATCH(Data_Demography_t[[#This Row],[Camp]],Camp_List[Camp Name],0)-1,0,1,1),"")</calculatedColumnFormula>
      <xmlColumnPr mapId="2" xpath="/dataroot/Data_Demography_t/Pcode" xmlDataType="string"/>
    </tableColumn>
    <tableColumn id="4" uniqueName="Age_Cat" name="Age_Cat" dataDxfId="1015">
      <xmlColumnPr mapId="2" xpath="/dataroot/Data_Demography_t/Age_Cat" xmlDataType="string"/>
    </tableColumn>
    <tableColumn id="6" uniqueName="Sex" name="Sex" dataDxfId="1014">
      <xmlColumnPr mapId="2" xpath="/dataroot/Data_Demography_t/Sex" xmlDataType="string"/>
    </tableColumn>
    <tableColumn id="5" uniqueName="Total" name="Total" dataDxfId="1013" dataCellStyle="Comma">
      <xmlColumnPr mapId="2" xpath="/dataroot/Data_Demography_t/Total" xmlDataType="double"/>
    </tableColumn>
    <tableColumn id="7" uniqueName="Total2" name="Total2" dataDxfId="1012">
      <calculatedColumnFormula>IF(F4="M",-G4,G4)</calculatedColumnFormula>
      <xmlColumnPr mapId="2" xpath="/dataroot/Data_Demography_t/Total2" xmlDataType="double"/>
    </tableColumn>
    <tableColumn id="8" uniqueName="Source" name="Source" dataDxfId="1011">
      <xmlColumnPr mapId="2" xpath="/dataroot/Data_Demography_t/Source" xmlDataType="string"/>
    </tableColumn>
    <tableColumn id="10" uniqueName="Updated Date" name="Updated Date" dataDxfId="1010">
      <xmlColumnPr mapId="2" xpath="/dataroot/Data_Demography_t/Updated_x005f_x0020_Date" xmlDataType="dateTime"/>
    </tableColumn>
  </tableColumns>
  <tableStyleInfo name="TableStyleMedium2" showFirstColumn="0" showLastColumn="0" showRowStripes="1" showColumnStripes="0"/>
</table>
</file>

<file path=xl/tables/table16.xml><?xml version="1.0" encoding="utf-8"?>
<table xmlns="http://schemas.openxmlformats.org/spreadsheetml/2006/main" id="13" name="Data_Vulnerability_t" displayName="Data_Vulnerability_t" ref="A1:J163" tableType="xml" totalsRowShown="0" headerRowDxfId="995" dataDxfId="993" headerRowBorderDxfId="994" tableBorderDxfId="992" totalsRowBorderDxfId="991">
  <autoFilter ref="A1:J163"/>
  <sortState ref="A2:H183">
    <sortCondition descending="1" ref="C1:C183"/>
  </sortState>
  <tableColumns count="10">
    <tableColumn id="1" uniqueName="State" name="State" dataDxfId="990">
      <xmlColumnPr mapId="6" xpath="/dataroot/Data_Vulnerability_t/State" xmlDataType="string"/>
    </tableColumn>
    <tableColumn id="2" uniqueName="Township" name="Township" dataDxfId="989">
      <xmlColumnPr mapId="6" xpath="/dataroot/Data_Vulnerability_t/Township" xmlDataType="string"/>
    </tableColumn>
    <tableColumn id="3" uniqueName="Camp Name" name="Camp Name" dataDxfId="988">
      <xmlColumnPr mapId="6" xpath="/dataroot/Data_Vulnerability_t/Camp_x005f_x0020_Name" xmlDataType="string"/>
    </tableColumn>
    <tableColumn id="7" uniqueName="Pcode" name="Pcode" dataDxfId="987">
      <calculatedColumnFormula>IFERROR(OFFSET(Camp_List[P_Code],MATCH(Data_Vulnerability_t[[#This Row],[Camp Name]],Camp_List[Camp Name],0)-1,0,1,1),"")</calculatedColumnFormula>
      <xmlColumnPr mapId="6" xpath="/dataroot/Data_Vulnerability_t/Pcode" xmlDataType="string"/>
    </tableColumn>
    <tableColumn id="4" uniqueName="Vulnerability" name="Vulnerability" dataDxfId="986">
      <xmlColumnPr mapId="6" xpath="/dataroot/Data_Vulnerability_t/Vulnerability" xmlDataType="string"/>
    </tableColumn>
    <tableColumn id="9" uniqueName="9" name="Male" dataDxfId="985"/>
    <tableColumn id="10" uniqueName="10" name="Female" dataDxfId="984"/>
    <tableColumn id="5" uniqueName="Total" name="Total" dataDxfId="983">
      <xmlColumnPr mapId="6" xpath="/dataroot/Data_Vulnerability_t/Total" xmlDataType="double"/>
    </tableColumn>
    <tableColumn id="6" uniqueName="Source" name="Source" dataDxfId="982">
      <xmlColumnPr mapId="6" xpath="/dataroot/Data_Vulnerability_t/Source" xmlDataType="string"/>
    </tableColumn>
    <tableColumn id="8" uniqueName="Updated date" name="Updated date" dataDxfId="981">
      <xmlColumnPr mapId="6" xpath="/dataroot/Data_Vulnerability_t/Updated_x005f_x0020_date" xmlDataType="dateTime"/>
    </tableColumn>
  </tableColumns>
  <tableStyleInfo name="TableStyleMedium2" showFirstColumn="0" showLastColumn="0" showRowStripes="1" showColumnStripes="0"/>
</table>
</file>

<file path=xl/tables/table17.xml><?xml version="1.0" encoding="utf-8"?>
<table xmlns="http://schemas.openxmlformats.org/spreadsheetml/2006/main" id="4" name="Data_Shelter_t" displayName="Data_Shelter_t" ref="A4:AA93" tableType="xml" totalsRowCount="1" headerRowDxfId="754" headerRowBorderDxfId="753" tableBorderDxfId="752" totalsRowBorderDxfId="751">
  <autoFilter ref="A4:AA92"/>
  <sortState ref="A5:AA92">
    <sortCondition descending="1" ref="A4:A92"/>
  </sortState>
  <tableColumns count="27">
    <tableColumn id="1" uniqueName="DateUpdated" name="DateUpdated" totalsRowLabel="Total" dataDxfId="750" totalsRowDxfId="749">
      <xmlColumnPr mapId="5" xpath="/dataroot/Data_Shelter_t/DateUpdated" xmlDataType="dateTime"/>
    </tableColumn>
    <tableColumn id="2" uniqueName="Organization" name="Organization" dataDxfId="748" totalsRowDxfId="747">
      <xmlColumnPr mapId="5" xpath="/dataroot/Data_Shelter_t/Organization" xmlDataType="string"/>
    </tableColumn>
    <tableColumn id="3" uniqueName="Implementing Partner" name="Implementing Partner" dataDxfId="746" totalsRowDxfId="745">
      <xmlColumnPr mapId="5" xpath="/dataroot/Data_Shelter_t/Implementing_x005f_x0020_Partner" xmlDataType="string"/>
    </tableColumn>
    <tableColumn id="4" uniqueName="State" name="State" dataDxfId="744" totalsRowDxfId="743">
      <xmlColumnPr mapId="5" xpath="/dataroot/Data_Shelter_t/State" xmlDataType="string"/>
    </tableColumn>
    <tableColumn id="5" uniqueName="Township" name="Township" dataDxfId="742" totalsRowDxfId="741">
      <xmlColumnPr mapId="5" xpath="/dataroot/Data_Shelter_t/Township" xmlDataType="string"/>
    </tableColumn>
    <tableColumn id="6" uniqueName="Camp Name" name="Camp Name/ Relocation Sites" dataDxfId="740" totalsRowDxfId="739">
      <xmlColumnPr mapId="5" xpath="/dataroot/Data_Shelter_t/Camp_x005f_x0020_Name" xmlDataType="string"/>
    </tableColumn>
    <tableColumn id="7" uniqueName="HH per Shelter" name="HH per Shelter" dataDxfId="738" totalsRowDxfId="737">
      <xmlColumnPr mapId="5" xpath="/dataroot/Data_Shelter_t/HH_x005f_x0020_per_x005f_x0020_Shelter" xmlDataType="double"/>
    </tableColumn>
    <tableColumn id="8" uniqueName="#ofFamilyTentPlanned(Target)" name="#ofFamilyTentPlanned(Target)" totalsRowFunction="sum" dataDxfId="736" totalsRowDxfId="735">
      <xmlColumnPr mapId="5" xpath="/dataroot/Data_Shelter_t/_x005f_x0023_ofFamilyTentPlanned_x005f_x0028_Target_x005f_x0029_" xmlDataType="string"/>
    </tableColumn>
    <tableColumn id="9" uniqueName="#ofFamilyTentDistributed" name="#ofFamilyTentDistributed" totalsRowFunction="sum" dataDxfId="734" totalsRowDxfId="733">
      <xmlColumnPr mapId="5" xpath="/dataroot/Data_Shelter_t/_x005f_x0023_ofFamilyTentDistributed" xmlDataType="string"/>
    </tableColumn>
    <tableColumn id="10" uniqueName="# of Temporary Shelter Planned (Target)" name="# of Temporary Shelter Planned (Target)" totalsRowFunction="sum" dataDxfId="732" totalsRowDxfId="731">
      <xmlColumnPr mapId="5" xpath="/dataroot/Data_Shelter_t/_x005f_x0023__x005f_x0020_of_x005f_x0020_Temporary_x005f_x0020_Shelter_x005f_x0020_Planned_x005f_x0020__x005f_x0028_Target_x005f_x0029_" xmlDataType="double"/>
    </tableColumn>
    <tableColumn id="11" uniqueName="# of Temporary Shelter Built" name="# of Temporary Shelter Built" totalsRowFunction="sum" dataDxfId="730" totalsRowDxfId="729">
      <xmlColumnPr mapId="5" xpath="/dataroot/Data_Shelter_t/_x005f_x0023__x005f_x0020_of_x005f_x0020_Temporary_x005f_x0020_Shelter_x005f_x0020_Built" xmlDataType="double"/>
    </tableColumn>
    <tableColumn id="12" uniqueName="# of Temporary Shelter Under Construction" name="# of Temporary Shelter Under Construction" totalsRowFunction="sum" dataDxfId="728" totalsRowDxfId="727">
      <xmlColumnPr mapId="5" xpath="/dataroot/Data_Shelter_t/_x005f_x0023__x005f_x0020_of_x005f_x0020_Temporary_x005f_x0020_Shelter_x005f_x0020_Under_x005f_x0020_Construction" xmlDataType="double"/>
    </tableColumn>
    <tableColumn id="13" uniqueName="# of Permanent House Planned (Target)" name="# of Permanent House Planned (Target)" totalsRowFunction="sum" dataDxfId="726" totalsRowDxfId="725">
      <xmlColumnPr mapId="5" xpath="/dataroot/Data_Shelter_t/_x005f_x0023__x005f_x0020_of_x005f_x0020_Permanent_x005f_x0020_House_x005f_x0020_Planned_x005f_x0020__x005f_x0028_Target_x005f_x0029_" xmlDataType="double"/>
    </tableColumn>
    <tableColumn id="14" uniqueName="# of Permanent House Built" name="# of Permanent House Built" totalsRowFunction="sum" dataDxfId="724" totalsRowDxfId="723">
      <xmlColumnPr mapId="5" xpath="/dataroot/Data_Shelter_t/_x005f_x0023__x005f_x0020_of_x005f_x0020_Permanent_x005f_x0020_House_x005f_x0020_Built" xmlDataType="double"/>
    </tableColumn>
    <tableColumn id="15" uniqueName="#ofPermanentHouseUnderConstruction" name="#of Permanent House Under Construction" totalsRowFunction="sum" dataDxfId="722" totalsRowDxfId="721">
      <xmlColumnPr mapId="5" xpath="/dataroot/Data_Shelter_t/_x005f_x0023_ofPermanentHouseUnderConstruction" xmlDataType="string"/>
    </tableColumn>
    <tableColumn id="26" uniqueName="26" name="# Informal /Makeshift Shelter Built" dataDxfId="720" totalsRowDxfId="719"/>
    <tableColumn id="23" uniqueName="23" name="# of Individual House Planned (Target)" totalsRowFunction="sum" dataDxfId="718" totalsRowDxfId="717"/>
    <tableColumn id="22" uniqueName="22" name="# of Individual House Built" totalsRowFunction="sum" dataDxfId="716" totalsRowDxfId="715"/>
    <tableColumn id="16" uniqueName="HH Covered" name="#of Individual House Under Construction" totalsRowFunction="sum" dataDxfId="714" totalsRowDxfId="713">
      <xmlColumnPr mapId="5" xpath="/dataroot/Data_Shelter_t/HH_x005f_x0020_Covered" xmlDataType="double"/>
    </tableColumn>
    <tableColumn id="17" uniqueName="17" name="HH Covered" totalsRowFunction="sum" dataDxfId="712" totalsRowDxfId="711"/>
    <tableColumn id="18" uniqueName="Pcode" name="HH Covered 2" totalsRowFunction="sum" dataDxfId="710" totalsRowDxfId="709">
      <calculatedColumnFormula>IF(Data_Shelter_t[[#This Row],[Status]]="Open",Data_Shelter_t[[#This Row],[HH Covered]],0)</calculatedColumnFormula>
      <xmlColumnPr mapId="5" xpath="/dataroot/Data_Shelter_t/Pcode" xmlDataType="string"/>
    </tableColumn>
    <tableColumn id="27" uniqueName="27" name="Pcode" dataDxfId="708" totalsRowDxfId="707"/>
    <tableColumn id="19" uniqueName="Status" name="Status" dataDxfId="706" totalsRowDxfId="705" dataCellStyle="Percent">
      <calculatedColumnFormula>IFERROR(OFFSET(Camp_List[Status],MATCH(Data_Shelter_t[[#This Row],[Camp Name/ Relocation Sites]],Camp_List[Camp Name],0)-1,0,1,1),"")</calculatedColumnFormula>
      <xmlColumnPr mapId="5" xpath="/dataroot/Data_Shelter_t/Status" xmlDataType="string"/>
    </tableColumn>
    <tableColumn id="20" uniqueName="Coverage2" name="Coverage" dataDxfId="704" totalsRowDxfId="703">
      <calculatedColumnFormula>IFERROR(Data_Shelter_t[[#This Row],[HH Covered]]/OFFSET(Camp_List[HH],MATCH(Data_Shelter_t[[#This Row],[Camp Name/ Relocation Sites]],Camp_List[Camp Name],0)-1,0,1,1),"")</calculatedColumnFormula>
      <xmlColumnPr mapId="5" xpath="/dataroot/Data_Shelter_t/Coverage2" xmlDataType="double"/>
    </tableColumn>
    <tableColumn id="24" uniqueName="24" name="Plan" dataDxfId="702" totalsRowDxfId="701">
      <calculatedColumnFormula>Data_Shelter_t[[#This Row],['# of Permanent House Planned (Target)]]+Data_Shelter_t[[#This Row],['# of Individual House Planned (Target)]]</calculatedColumnFormula>
    </tableColumn>
    <tableColumn id="25" uniqueName="25" name="Built" totalsRowFunction="sum" dataDxfId="700" totalsRowDxfId="699">
      <calculatedColumnFormula>Data_Shelter_t[[#This Row],['# of Permanent House Built]]+Data_Shelter_t[[#This Row],['# of Individual House Built]]</calculatedColumnFormula>
    </tableColumn>
    <tableColumn id="21" uniqueName="21" name="Remark" dataDxfId="698" totalsRowDxfId="697"/>
  </tableColumns>
  <tableStyleInfo name="TableStyleMedium2" showFirstColumn="0" showLastColumn="0" showRowStripes="1" showColumnStripes="0"/>
</table>
</file>

<file path=xl/tables/table18.xml><?xml version="1.0" encoding="utf-8"?>
<table xmlns="http://schemas.openxmlformats.org/spreadsheetml/2006/main" id="23" name="Table2928272324" displayName="Table2928272324" ref="D3:E35" totalsRowShown="0" headerRowDxfId="696" dataDxfId="694" headerRowBorderDxfId="695" tableBorderDxfId="693">
  <autoFilter ref="D3:E35"/>
  <tableColumns count="2">
    <tableColumn id="1" name="Shelter" dataDxfId="692"/>
    <tableColumn id="3" name="Room" dataDxfId="691">
      <calculatedColumnFormula>Table2928272324[[#This Row],[Shelter]]*8</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id="8" name="Table8" displayName="Table8" ref="I7:O14" totalsRowShown="0" headerRowDxfId="662" headerRowBorderDxfId="661" tableBorderDxfId="660">
  <tableColumns count="7">
    <tableColumn id="1" name="Township" dataDxfId="659"/>
    <tableColumn id="2" name="# of HH" dataDxfId="658" dataCellStyle="Comma"/>
    <tableColumn id="3" name="# of Ind." dataDxfId="657" dataCellStyle="Comma"/>
    <tableColumn id="4" name="# of Camp" dataDxfId="656" dataCellStyle="Comma"/>
    <tableColumn id="5" name="# Ind. Covered" dataDxfId="655" dataCellStyle="Comma">
      <calculatedColumnFormula>'Shelter Progress'!#REF!</calculatedColumnFormula>
    </tableColumn>
    <tableColumn id="6" name="# Ind. Not Covered" dataDxfId="654" dataCellStyle="Comma">
      <calculatedColumnFormula>'Shelter Progress'!L6</calculatedColumnFormula>
    </tableColumn>
    <tableColumn id="7" name="% Coverage" dataDxfId="653" dataCellStyle="Percent">
      <calculatedColumnFormula>IFERROR(M8/(M8+N8),0)</calculatedColumnFormula>
    </tableColumn>
  </tableColumns>
  <tableStyleInfo name="TableStyleMedium24" showFirstColumn="0" showLastColumn="0" showRowStripes="1" showColumnStripes="0"/>
</table>
</file>

<file path=xl/tables/table2.xml><?xml version="1.0" encoding="utf-8"?>
<table xmlns="http://schemas.openxmlformats.org/spreadsheetml/2006/main" id="6" name="Definition_Rakhine" displayName="Definition_Rakhine" ref="L1:L11" totalsRowShown="0" headerRowDxfId="1511" dataDxfId="1510">
  <autoFilter ref="L1:L11"/>
  <tableColumns count="1">
    <tableColumn id="1" name="Rakhine" dataDxfId="1509"/>
  </tableColumns>
  <tableStyleInfo name="TableStyleMedium2" showFirstColumn="0" showLastColumn="0" showRowStripes="1" showColumnStripes="0"/>
</table>
</file>

<file path=xl/tables/table20.xml><?xml version="1.0" encoding="utf-8"?>
<table xmlns="http://schemas.openxmlformats.org/spreadsheetml/2006/main" id="15" name="Data_Infrastructure" displayName="Data_Infrastructure" ref="A12:J45" tableType="xml" totalsRowShown="0" headerRowDxfId="649" dataDxfId="647" headerRowBorderDxfId="648">
  <autoFilter ref="A12:J45"/>
  <sortState ref="A13:J45">
    <sortCondition ref="D22"/>
  </sortState>
  <tableColumns count="10">
    <tableColumn id="1" uniqueName="Lot" name="Lot" dataDxfId="646">
      <xmlColumnPr mapId="3" xpath="/dataroot/Data_Infrastructure_t/Lot" xmlDataType="string"/>
    </tableColumn>
    <tableColumn id="8" uniqueName="State" name="State" dataDxfId="645">
      <xmlColumnPr mapId="3" xpath="/dataroot/Data_Infrastructure_t/State" xmlDataType="string"/>
    </tableColumn>
    <tableColumn id="9" uniqueName="Township" name="Township" dataDxfId="644">
      <xmlColumnPr mapId="3" xpath="/dataroot/Data_Infrastructure_t/Township" xmlDataType="string"/>
    </tableColumn>
    <tableColumn id="2" uniqueName="Camp" name="Camp" dataDxfId="643">
      <xmlColumnPr mapId="3" xpath="/dataroot/Data_Infrastructure_t/Camp" xmlDataType="string"/>
    </tableColumn>
    <tableColumn id="10" uniqueName="Pcode" name="Pcode" dataDxfId="642">
      <calculatedColumnFormula>IFERROR(OFFSET(Camp_List[P_Code],MATCH(Data_Infrastructure[[#This Row],[Camp]],Camp_List[Camp Name],0)-1,0,1,1),"")</calculatedColumnFormula>
      <xmlColumnPr mapId="3" xpath="/dataroot/Data_Infrastructure_t/Pcode" xmlDataType="string"/>
    </tableColumn>
    <tableColumn id="3" uniqueName="Infrastructure" name="Infrastructure" dataDxfId="641">
      <xmlColumnPr mapId="3" xpath="/dataroot/Data_Infrastructure_t/Infrastructure" xmlDataType="string"/>
    </tableColumn>
    <tableColumn id="7" uniqueName="Type" name="Type" dataDxfId="640">
      <xmlColumnPr mapId="3" xpath="/dataroot/Data_Infrastructure_t/Type" xmlDataType="string"/>
    </tableColumn>
    <tableColumn id="4" uniqueName="Total" name="Total" dataDxfId="639" dataCellStyle="Comma 2">
      <xmlColumnPr mapId="3" xpath="/dataroot/Data_Infrastructure_t/Total" xmlDataType="double"/>
    </tableColumn>
    <tableColumn id="5" uniqueName="Status" name="Status" dataDxfId="638" dataCellStyle="Comma 2">
      <xmlColumnPr mapId="3" xpath="/dataroot/Data_Infrastructure_t/Status" xmlDataType="string"/>
    </tableColumn>
    <tableColumn id="6" uniqueName="Comment" name="Comment" dataDxfId="637">
      <xmlColumnPr mapId="3" xpath="/dataroot/Data_Infrastructure_t/Comment" xmlDataType="string"/>
    </tableColumn>
  </tableColumns>
  <tableStyleInfo name="TableStyleMedium2" showFirstColumn="0" showLastColumn="0" showRowStripes="1" showColumnStripes="0"/>
</table>
</file>

<file path=xl/tables/table21.xml><?xml version="1.0" encoding="utf-8"?>
<table xmlns="http://schemas.openxmlformats.org/spreadsheetml/2006/main" id="2" name="Data_NFI_t" displayName="Data_NFI_t" ref="A5:AT540" tableType="xml" totalsRowCount="1" headerRowDxfId="634" headerRowBorderDxfId="633" tableBorderDxfId="632">
  <sortState ref="A6:AT539">
    <sortCondition descending="1" ref="C5:C539"/>
  </sortState>
  <tableColumns count="46">
    <tableColumn id="29" uniqueName="Months" name="Months" dataDxfId="631">
      <calculatedColumnFormula>IF(ISBLANK(C6),"",(Report_Date-C6)/30)</calculatedColumnFormula>
      <xmlColumnPr mapId="4" xpath="/dataroot/Data_NFI_T/Months" xmlDataType="double"/>
    </tableColumn>
    <tableColumn id="31" uniqueName="year" name="year" dataDxfId="630" totalsRowDxfId="629">
      <calculatedColumnFormula>YEAR(Data_NFI_t[[#This Row],[Distribution Date]])</calculatedColumnFormula>
      <xmlColumnPr mapId="4" xpath="/dataroot/Data_NFI_T/year" xmlDataType="double"/>
    </tableColumn>
    <tableColumn id="1" uniqueName="Distribution Date" name="Distribution Date" dataDxfId="628">
      <xmlColumnPr mapId="4" xpath="/dataroot/Data_NFI_T/Distribution_x005f_x0020_Date" xmlDataType="dateTime"/>
    </tableColumn>
    <tableColumn id="2" uniqueName="Organization" name="Organization" dataDxfId="627">
      <xmlColumnPr mapId="4" xpath="/dataroot/Data_NFI_T/Organization" xmlDataType="string"/>
    </tableColumn>
    <tableColumn id="3" uniqueName="Implementing Partner" name="Implementing Partner" dataDxfId="626" totalsRowDxfId="625">
      <xmlColumnPr mapId="4" xpath="/dataroot/Data_NFI_T/Implementing_x005f_x0020_Partner" xmlDataType="string"/>
    </tableColumn>
    <tableColumn id="4" uniqueName="State" name="State" dataDxfId="624">
      <xmlColumnPr mapId="4" xpath="/dataroot/Data_NFI_T/State" xmlDataType="string"/>
    </tableColumn>
    <tableColumn id="5" uniqueName="Township" name="Township" dataDxfId="623">
      <xmlColumnPr mapId="4" xpath="/dataroot/Data_NFI_T/Township" xmlDataType="string"/>
    </tableColumn>
    <tableColumn id="6" uniqueName="Camp Name" name="Camp Name" dataDxfId="622">
      <xmlColumnPr mapId="4" xpath="/dataroot/Data_NFI_T/Camp_x005f_x0020_Name" xmlDataType="string"/>
    </tableColumn>
    <tableColumn id="7" uniqueName="Hygiene Kit" name="Hygiene Kit" dataDxfId="621" totalsRowDxfId="620">
      <xmlColumnPr mapId="4" xpath="/dataroot/Data_NFI_T/Hygiene_x005f_x0020_Kit" xmlDataType="string"/>
    </tableColumn>
    <tableColumn id="43" uniqueName="43" name="Household Coverage" dataDxfId="619" totalsRowDxfId="618"/>
    <tableColumn id="42" uniqueName="42" name=" Estimated Individual Coverage" dataDxfId="617" totalsRowDxfId="616"/>
    <tableColumn id="8" uniqueName="NFI Core Kit" name="NFI Core Kit" dataDxfId="615" totalsRowDxfId="614">
      <xmlColumnPr mapId="4" xpath="/dataroot/Data_NFI_T/NFI_x005f_x0020_Core_x005f_x0020_Kit" xmlDataType="string"/>
    </tableColumn>
    <tableColumn id="9" uniqueName="Sanitary Kit" name="Sanitary Kit" dataDxfId="613" totalsRowDxfId="612">
      <xmlColumnPr mapId="4" xpath="/dataroot/Data_NFI_T/Sanitary_x005f_x0020_Kit" xmlDataType="string"/>
    </tableColumn>
    <tableColumn id="10" uniqueName="Mosquito net" name="Mosquito net" dataDxfId="611" totalsRowDxfId="610">
      <xmlColumnPr mapId="4" xpath="/dataroot/Data_NFI_T/Mosquito_x005f_x0020_net" xmlDataType="string"/>
    </tableColumn>
    <tableColumn id="11" uniqueName="Tarpaulin" name="Tarpaulin" dataDxfId="609" totalsRowDxfId="608">
      <xmlColumnPr mapId="4" xpath="/dataroot/Data_NFI_T/Tarpaulin" xmlDataType="double"/>
    </tableColumn>
    <tableColumn id="12" uniqueName="Blanket" name="Blanket" dataDxfId="607" totalsRowDxfId="606">
      <xmlColumnPr mapId="4" xpath="/dataroot/Data_NFI_T/Blanket" xmlDataType="string"/>
    </tableColumn>
    <tableColumn id="13" uniqueName="Kitchen Set" name="Kitchen Set" dataDxfId="605" totalsRowDxfId="604">
      <xmlColumnPr mapId="4" xpath="/dataroot/Data_NFI_T/Kitchen_x005f_x0020_Set" xmlDataType="string"/>
    </tableColumn>
    <tableColumn id="14" uniqueName="Complementary Kit" name="Complementary Kit" dataDxfId="603" totalsRowDxfId="602">
      <xmlColumnPr mapId="4" xpath="/dataroot/Data_NFI_T/Complementary_x005f_x0020_Kit" xmlDataType="string"/>
    </tableColumn>
    <tableColumn id="26" uniqueName="Plastic Bucket" name="Plastic Bucket" dataDxfId="601" totalsRowDxfId="600">
      <xmlColumnPr mapId="4" xpath="/dataroot/Data_NFI_T/Plastic_x005f_x0020_Bucket" xmlDataType="string"/>
    </tableColumn>
    <tableColumn id="30" uniqueName="30" name="Jerry Can" dataDxfId="599" totalsRowDxfId="598"/>
    <tableColumn id="25" uniqueName="Plastic Mat" name="Plastic Mat" dataDxfId="597" totalsRowDxfId="596">
      <xmlColumnPr mapId="4" xpath="/dataroot/Data_NFI_T/Plastic_x005f_x0020_Mat" xmlDataType="string"/>
    </tableColumn>
    <tableColumn id="35" uniqueName="35" name="Adult Clothes" totalsRowDxfId="595"/>
    <tableColumn id="34" uniqueName="34" name="Children Clothes" totalsRowDxfId="594"/>
    <tableColumn id="32" uniqueName="32" name="Sewing Kit" dataDxfId="593" totalsRowDxfId="592"/>
    <tableColumn id="40" uniqueName="40" name="Solar Lantern" dataDxfId="591" totalsRowDxfId="590"/>
    <tableColumn id="44" uniqueName="44" name="Bathing Towel" dataDxfId="589" totalsRowDxfId="588"/>
    <tableColumn id="45" uniqueName="45" name="Storage Container" dataDxfId="587" totalsRowDxfId="586"/>
    <tableColumn id="46" uniqueName="46" name="CGI Sheet" dataDxfId="585" totalsRowDxfId="584"/>
    <tableColumn id="15" uniqueName="Hygiene Kit_LS" name="Hygiene Kit_LS" dataDxfId="583">
      <calculatedColumnFormula>IF(NFI_Expiration=1,IF($A6&lt;VLOOKUP(I$5,NFI,5,0),1,0)*Data_NFI_t[[#This Row],[Hygiene Kit]],0)</calculatedColumnFormula>
      <xmlColumnPr mapId="4" xpath="/dataroot/Data_NFI_T/Hygiene_x005f_x0020_Kit_LS" xmlDataType="double"/>
    </tableColumn>
    <tableColumn id="16" uniqueName="NFI Core Kit_LS" name="NFI Core Kit_LS" dataDxfId="582">
      <calculatedColumnFormula>IF(NFI_Expiration=1,IF($A6&lt;VLOOKUP(L$5,NFI,5,0),1,0)*Data_NFI_t[[#This Row],[NFI Core Kit]],0)</calculatedColumnFormula>
      <xmlColumnPr mapId="4" xpath="/dataroot/Data_NFI_T/NFI_x005f_x0020_Core_x005f_x0020_Kit_LS" xmlDataType="double"/>
    </tableColumn>
    <tableColumn id="17" uniqueName="Sanitary Kit4_LS" name="Sanitary Kit_LS" dataDxfId="581">
      <calculatedColumnFormula>IF(NFI_Expiration=1,IF($A6&lt;VLOOKUP(M$5,NFI,5,0),1,0)*Data_NFI_t[[#This Row],[Sanitary Kit]],0)</calculatedColumnFormula>
      <xmlColumnPr mapId="4" xpath="/dataroot/Data_NFI_T/Sanitary_x005f_x0020_Kit4_LS" xmlDataType="double"/>
    </tableColumn>
    <tableColumn id="18" uniqueName="Mosquito net5_LS" name="Mosquito net_LS" dataDxfId="580">
      <calculatedColumnFormula>IF(NFI_Expiration=1,IF($A6&lt;VLOOKUP(N$5,NFI,5,0),1,0)*Data_NFI_t[[#This Row],[Mosquito net]],0)</calculatedColumnFormula>
      <xmlColumnPr mapId="4" xpath="/dataroot/Data_NFI_T/Mosquito_x005f_x0020_net5_LS" xmlDataType="double"/>
    </tableColumn>
    <tableColumn id="19" uniqueName="Tarpaulin_LS" name="Tarpaulin_LS" dataDxfId="579">
      <calculatedColumnFormula>IF(NFI_Expiration=1,IF($A6&lt;VLOOKUP(O$5,NFI,5,0),1,0)*Data_NFI_t[[#This Row],[Tarpaulin]],0)</calculatedColumnFormula>
      <xmlColumnPr mapId="4" xpath="/dataroot/Data_NFI_T/Tarpaulin_LS" xmlDataType="double"/>
    </tableColumn>
    <tableColumn id="20" uniqueName="Blanket_LS" name="Blanket_LS" dataDxfId="578">
      <calculatedColumnFormula>IF(NFI_Expiration=1,IF($A6&lt;VLOOKUP(P$5,NFI,5,0),1,0)*Data_NFI_t[[#This Row],[Blanket]],0)</calculatedColumnFormula>
      <xmlColumnPr mapId="4" xpath="/dataroot/Data_NFI_T/Blanket_LS" xmlDataType="double"/>
    </tableColumn>
    <tableColumn id="21" uniqueName="Kitchen Set_LS" name="Kitchen Set_LS" dataDxfId="577">
      <calculatedColumnFormula>IF(NFI_Expiration=1,IF($A6&lt;VLOOKUP(Q$5,NFI,5,0),1,0)*Data_NFI_t[[#This Row],[Kitchen Set]],0)</calculatedColumnFormula>
      <xmlColumnPr mapId="4" xpath="/dataroot/Data_NFI_T/Kitchen_x005f_x0020_Set_LS" xmlDataType="double"/>
    </tableColumn>
    <tableColumn id="22" uniqueName="Complementary Kit_LS" name="Complementary Kit_LS" dataDxfId="576">
      <calculatedColumnFormula>IF(NFI_Expiration=1,IF($A6&lt;VLOOKUP(R$5,NFI,5,0),1,0)*Data_NFI_t[[#This Row],[Complementary Kit]],0)</calculatedColumnFormula>
      <xmlColumnPr mapId="4" xpath="/dataroot/Data_NFI_T/Complementary_x005f_x0020_Kit_LS" xmlDataType="double"/>
    </tableColumn>
    <tableColumn id="28" uniqueName="Plastic Bucket_LS" name="Plastic Bucket_LS" dataDxfId="575">
      <calculatedColumnFormula>IF(NFI_Expiration=1,IF($A6&lt;VLOOKUP(S$5,NFI,5,0),1,0)*Data_NFI_t[[#This Row],[Plastic Bucket]],0)</calculatedColumnFormula>
      <xmlColumnPr mapId="4" xpath="/dataroot/Data_NFI_T/Plastic_x005f_x0020_Bucket_LS" xmlDataType="double"/>
    </tableColumn>
    <tableColumn id="33" uniqueName="33" name="Jerry Can_LS" dataDxfId="574">
      <calculatedColumnFormula>IF(NFI_Expiration=1,IF($A6&lt;VLOOKUP(T$5,NFI,5,0),1,0)*Data_NFI_t[[#This Row],[Jerry Can]],0)</calculatedColumnFormula>
    </tableColumn>
    <tableColumn id="27" uniqueName="Plastic  Mat_LS" name="Plastic  Mat_LS" dataDxfId="573">
      <calculatedColumnFormula>IF(NFI_Expiration=1,IF($A6&lt;VLOOKUP(U$5,NFI,5,0),1,0)*Data_NFI_t[[#This Row],[Plastic Mat]],0)*IF(Data_NFI_t[[#This Row],[Distribution Date]]&gt;"01-06-2015",1,2.5)</calculatedColumnFormula>
      <xmlColumnPr mapId="4" xpath="/dataroot/Data_NFI_T/Plastic_x005f_x0020__x005f_x0020_Mat_LS" xmlDataType="double"/>
    </tableColumn>
    <tableColumn id="36" uniqueName="36" name="Adult Clothes_LS" dataDxfId="572">
      <calculatedColumnFormula>IF(NFI_Expiration=1,IF($A6&lt;VLOOKUP(V$5,NFI,5,0),1,0)*Data_NFI_t[[#This Row],[Adult Clothes]],0)</calculatedColumnFormula>
    </tableColumn>
    <tableColumn id="38" uniqueName="38" name="Children Clothes_LS" dataDxfId="571">
      <calculatedColumnFormula>IF(NFI_Expiration=1,IF($A6&lt;VLOOKUP(W$5,NFI,5,0),1,0)*Data_NFI_t[[#This Row],[Children Clothes]],0)</calculatedColumnFormula>
    </tableColumn>
    <tableColumn id="37" uniqueName="37" name="Sewing Kit_LS" dataDxfId="570">
      <calculatedColumnFormula>IF(NFI_Expiration=1,IF($A6&lt;VLOOKUP(X$5,NFI,5,0),1,0)*Data_NFI_t[[#This Row],[Sewing Kit]],0)</calculatedColumnFormula>
    </tableColumn>
    <tableColumn id="41" uniqueName="41" name="Solar Lantern_LS" dataDxfId="569">
      <calculatedColumnFormula>IF(NFI_Expiration=1,IF($A6&lt;VLOOKUP(X$5,NFI,5,0),1,0)*Data_NFI_t[[#This Row],[Solar Lantern]],0)</calculatedColumnFormula>
    </tableColumn>
    <tableColumn id="23" uniqueName="Pcode" name="Pcode" dataDxfId="568">
      <calculatedColumnFormula>IFERROR(OFFSET(Camp_List[P_Code],MATCH(Data_NFI_t[[#This Row],[Camp Name]],Camp_List[Camp Name],0)-1,0,1,1),"")</calculatedColumnFormula>
      <xmlColumnPr mapId="4" xpath="/dataroot/Data_NFI_T/Pcode" xmlDataType="string"/>
    </tableColumn>
    <tableColumn id="24" uniqueName="Status" name="Status" dataDxfId="567">
      <calculatedColumnFormula>IFERROR(OFFSET(Camp_List[Status],MATCH(Data_NFI_t[[#This Row],[Camp Name]],Camp_List[Camp Name],0)-1,0,1,1),"")</calculatedColumnFormula>
      <xmlColumnPr mapId="4" xpath="/dataroot/Data_NFI_T/Status" xmlDataType="string"/>
    </tableColumn>
    <tableColumn id="39" uniqueName="39" name="Remark" dataDxfId="566"/>
  </tableColumns>
  <tableStyleInfo name="TableStyleLight1" showFirstColumn="0" showLastColumn="0" showRowStripes="1" showColumnStripes="0"/>
</table>
</file>

<file path=xl/tables/table3.xml><?xml version="1.0" encoding="utf-8"?>
<table xmlns="http://schemas.openxmlformats.org/spreadsheetml/2006/main" id="7" name="Definition_Type_of_Accomodation" displayName="Definition_Type_of_Accomodation" ref="N1:N6" totalsRowShown="0" headerRowDxfId="1508" dataDxfId="1507">
  <autoFilter ref="N1:N6"/>
  <sortState ref="N2:N5">
    <sortCondition ref="N3"/>
  </sortState>
  <tableColumns count="1">
    <tableColumn id="1" name="Type of Accomodation" dataDxfId="1506"/>
  </tableColumns>
  <tableStyleInfo name="TableStyleMedium2" showFirstColumn="0" showLastColumn="0" showRowStripes="1" showColumnStripes="0"/>
</table>
</file>

<file path=xl/tables/table4.xml><?xml version="1.0" encoding="utf-8"?>
<table xmlns="http://schemas.openxmlformats.org/spreadsheetml/2006/main" id="10" name="Definition_Camp_Accessibility" displayName="Definition_Camp_Accessibility" ref="P1:P4" totalsRowShown="0" headerRowDxfId="1505" dataDxfId="1504">
  <autoFilter ref="P1:P4"/>
  <tableColumns count="1">
    <tableColumn id="1" name="Camp_Acessibility" dataDxfId="1503"/>
  </tableColumns>
  <tableStyleInfo name="TableStyleMedium2" showFirstColumn="0" showLastColumn="0" showRowStripes="1" showColumnStripes="0"/>
</table>
</file>

<file path=xl/tables/table5.xml><?xml version="1.0" encoding="utf-8"?>
<table xmlns="http://schemas.openxmlformats.org/spreadsheetml/2006/main" id="5" name="Definition_AgeCat" displayName="Definition_AgeCat" ref="R1:R7" totalsRowShown="0">
  <autoFilter ref="R1:R7"/>
  <tableColumns count="1">
    <tableColumn id="1" name="Age_Category"/>
  </tableColumns>
  <tableStyleInfo name="TableStyleMedium2" showFirstColumn="0" showLastColumn="0" showRowStripes="1" showColumnStripes="0"/>
</table>
</file>

<file path=xl/tables/table6.xml><?xml version="1.0" encoding="utf-8"?>
<table xmlns="http://schemas.openxmlformats.org/spreadsheetml/2006/main" id="14" name="Definition_Vulnerability" displayName="Definition_Vulnerability" ref="T1:T9" totalsRowShown="0">
  <autoFilter ref="T1:T9"/>
  <tableColumns count="1">
    <tableColumn id="1" name="Vulnerability"/>
  </tableColumns>
  <tableStyleInfo name="TableStyleMedium2" showFirstColumn="0" showLastColumn="0" showRowStripes="1" showColumnStripes="0"/>
</table>
</file>

<file path=xl/tables/table7.xml><?xml version="1.0" encoding="utf-8"?>
<table xmlns="http://schemas.openxmlformats.org/spreadsheetml/2006/main" id="16" name="NFI_t" displayName="NFI_t" ref="A1:F16" totalsRowShown="0">
  <autoFilter ref="A1:F16"/>
  <sortState ref="A2:F11">
    <sortCondition ref="A7"/>
  </sortState>
  <tableColumns count="6">
    <tableColumn id="1" name="Label"/>
    <tableColumn id="2" name="Distribution"/>
    <tableColumn id="3" name="Stock"/>
    <tableColumn id="4" name="Pipeline"/>
    <tableColumn id="5" name="Expiration (month)"/>
    <tableColumn id="6" name="NB"/>
  </tableColumns>
  <tableStyleInfo name="TableStyleMedium2" showFirstColumn="0" showLastColumn="0" showRowStripes="1" showColumnStripes="0"/>
</table>
</file>

<file path=xl/tables/table8.xml><?xml version="1.0" encoding="utf-8"?>
<table xmlns="http://schemas.openxmlformats.org/spreadsheetml/2006/main" id="17" name="Organization_t" displayName="Organization_t" ref="Z1:AB7" totalsRowShown="0" dataDxfId="1502">
  <autoFilter ref="Z1:AB7"/>
  <sortState ref="Z2:AB7">
    <sortCondition ref="Z6"/>
  </sortState>
  <tableColumns count="3">
    <tableColumn id="1" name="Organization_Code" dataDxfId="1501"/>
    <tableColumn id="2" name="Organization" dataDxfId="1500"/>
    <tableColumn id="3" name="Contact" dataDxfId="1499"/>
  </tableColumns>
  <tableStyleInfo name="TableStyleMedium2" showFirstColumn="0" showLastColumn="0" showRowStripes="1" showColumnStripes="0"/>
</table>
</file>

<file path=xl/tables/table9.xml><?xml version="1.0" encoding="utf-8"?>
<table xmlns="http://schemas.openxmlformats.org/spreadsheetml/2006/main" id="18" name="Type_Population_t" displayName="Type_Population_t" ref="V1:V10" totalsRowShown="0">
  <autoFilter ref="V1:V10"/>
  <sortState ref="V2:V10">
    <sortCondition ref="V5"/>
  </sortState>
  <tableColumns count="1">
    <tableColumn id="1" name="Type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image" Target="../media/image11.emf"/><Relationship Id="rId10" Type="http://schemas.openxmlformats.org/officeDocument/2006/relationships/table" Target="../tables/table14.xml"/><Relationship Id="rId4" Type="http://schemas.openxmlformats.org/officeDocument/2006/relationships/control" Target="../activeX/activeX3.xml"/><Relationship Id="rId9"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drawing" Target="../drawings/drawing8.xml"/><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rinterSettings" Target="../printerSettings/printerSettings10.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table" Target="../tables/table15.xml"/><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ivotTable" Target="../pivotTables/pivotTable18.xml"/><Relationship Id="rId4"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pivotTable" Target="../pivotTables/pivotTable20.xml"/><Relationship Id="rId4" Type="http://schemas.microsoft.com/office/2007/relationships/slicer" Target="../slicers/slicer2.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pivotTable" Target="../pivotTables/pivotTable2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8.xml"/><Relationship Id="rId1" Type="http://schemas.openxmlformats.org/officeDocument/2006/relationships/vmlDrawing" Target="../drawings/vmlDrawing3.vml"/></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24.xml"/><Relationship Id="rId2" Type="http://schemas.openxmlformats.org/officeDocument/2006/relationships/pivotTable" Target="../pivotTables/pivotTable23.xml"/><Relationship Id="rId1" Type="http://schemas.openxmlformats.org/officeDocument/2006/relationships/pivotTable" Target="../pivotTables/pivotTable22.xml"/><Relationship Id="rId5" Type="http://schemas.openxmlformats.org/officeDocument/2006/relationships/drawing" Target="../drawings/drawing16.xml"/><Relationship Id="rId4"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5" Type="http://schemas.openxmlformats.org/officeDocument/2006/relationships/drawing" Target="../drawings/drawing17.xml"/><Relationship Id="rId4"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printerSettings" Target="../printerSettings/printerSettings21.bin"/><Relationship Id="rId1" Type="http://schemas.openxmlformats.org/officeDocument/2006/relationships/pivotTable" Target="../pivotTables/pivotTable28.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pivotTable" Target="../pivotTables/pivotTable31.xml"/><Relationship Id="rId7" Type="http://schemas.openxmlformats.org/officeDocument/2006/relationships/drawing" Target="../drawings/drawing23.xml"/><Relationship Id="rId2" Type="http://schemas.openxmlformats.org/officeDocument/2006/relationships/pivotTable" Target="../pivotTables/pivotTable30.xml"/><Relationship Id="rId1" Type="http://schemas.openxmlformats.org/officeDocument/2006/relationships/pivotTable" Target="../pivotTables/pivotTable29.xml"/><Relationship Id="rId6" Type="http://schemas.openxmlformats.org/officeDocument/2006/relationships/printerSettings" Target="../printerSettings/printerSettings24.bin"/><Relationship Id="rId5" Type="http://schemas.openxmlformats.org/officeDocument/2006/relationships/pivotTable" Target="../pivotTables/pivotTable33.xml"/><Relationship Id="rId4" Type="http://schemas.openxmlformats.org/officeDocument/2006/relationships/pivotTable" Target="../pivotTables/pivotTable32.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ivotTable" Target="../pivotTables/pivotTable35.xml"/><Relationship Id="rId1" Type="http://schemas.openxmlformats.org/officeDocument/2006/relationships/pivotTable" Target="../pivotTables/pivotTable34.xml"/><Relationship Id="rId4" Type="http://schemas.openxmlformats.org/officeDocument/2006/relationships/drawing" Target="../drawings/drawing25.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13"/>
  <sheetViews>
    <sheetView workbookViewId="0">
      <selection activeCell="C19" sqref="C19"/>
    </sheetView>
  </sheetViews>
  <sheetFormatPr defaultRowHeight="15" x14ac:dyDescent="0.25"/>
  <cols>
    <col min="1" max="1" width="6.7109375" customWidth="1"/>
    <col min="2" max="2" width="34.42578125" customWidth="1"/>
  </cols>
  <sheetData>
    <row r="1" spans="1:13" x14ac:dyDescent="0.25">
      <c r="A1" s="102"/>
      <c r="B1" s="103"/>
      <c r="C1" s="78"/>
      <c r="E1" t="s">
        <v>626</v>
      </c>
      <c r="K1" t="s">
        <v>627</v>
      </c>
      <c r="L1" t="s">
        <v>628</v>
      </c>
    </row>
    <row r="2" spans="1:13" ht="51.75" x14ac:dyDescent="0.25">
      <c r="A2" s="102"/>
      <c r="B2" s="103" t="s">
        <v>629</v>
      </c>
      <c r="C2" s="103" t="str">
        <f>CONCATENATE("d:\",C3,".kml")</f>
        <v>d:\Rakhine_CampList_20180331.kml</v>
      </c>
      <c r="G2" t="s">
        <v>630</v>
      </c>
      <c r="H2" t="s">
        <v>631</v>
      </c>
      <c r="K2" t="s">
        <v>632</v>
      </c>
      <c r="L2" t="s">
        <v>633</v>
      </c>
      <c r="M2" t="s">
        <v>634</v>
      </c>
    </row>
    <row r="3" spans="1:13" x14ac:dyDescent="0.25">
      <c r="A3" s="102"/>
      <c r="B3" s="104" t="s">
        <v>635</v>
      </c>
      <c r="C3" s="78" t="str">
        <f>CONCATENATE("Rakhine_CampList_",TEXT(Report_Date,"yyyymmdd"))</f>
        <v>Rakhine_CampList_20180331</v>
      </c>
      <c r="G3" t="s">
        <v>636</v>
      </c>
      <c r="H3" t="s">
        <v>637</v>
      </c>
      <c r="K3" t="s">
        <v>638</v>
      </c>
      <c r="L3" t="s">
        <v>639</v>
      </c>
      <c r="M3" t="s">
        <v>640</v>
      </c>
    </row>
    <row r="4" spans="1:13" x14ac:dyDescent="0.25">
      <c r="A4" s="102"/>
      <c r="B4" s="104"/>
      <c r="C4" s="78"/>
      <c r="G4" t="s">
        <v>641</v>
      </c>
      <c r="H4" t="s">
        <v>642</v>
      </c>
      <c r="K4" t="s">
        <v>643</v>
      </c>
      <c r="L4" t="s">
        <v>644</v>
      </c>
      <c r="M4" t="s">
        <v>645</v>
      </c>
    </row>
    <row r="5" spans="1:13" x14ac:dyDescent="0.25">
      <c r="B5" t="s">
        <v>646</v>
      </c>
      <c r="C5" t="s">
        <v>647</v>
      </c>
      <c r="K5" t="s">
        <v>648</v>
      </c>
      <c r="L5" t="s">
        <v>649</v>
      </c>
      <c r="M5" t="s">
        <v>650</v>
      </c>
    </row>
    <row r="6" spans="1:13" x14ac:dyDescent="0.25">
      <c r="B6" t="s">
        <v>651</v>
      </c>
      <c r="C6" t="s">
        <v>652</v>
      </c>
      <c r="K6" t="s">
        <v>653</v>
      </c>
      <c r="L6" t="s">
        <v>654</v>
      </c>
      <c r="M6" t="s">
        <v>655</v>
      </c>
    </row>
    <row r="8" spans="1:13" x14ac:dyDescent="0.25">
      <c r="B8" t="s">
        <v>617</v>
      </c>
      <c r="C8" t="s">
        <v>618</v>
      </c>
    </row>
    <row r="9" spans="1:13" x14ac:dyDescent="0.25">
      <c r="B9" t="s">
        <v>619</v>
      </c>
      <c r="C9" t="s">
        <v>620</v>
      </c>
      <c r="D9" t="s">
        <v>621</v>
      </c>
    </row>
    <row r="10" spans="1:13" x14ac:dyDescent="0.25">
      <c r="B10" t="s">
        <v>622</v>
      </c>
      <c r="C10" t="s">
        <v>623</v>
      </c>
    </row>
    <row r="11" spans="1:13" x14ac:dyDescent="0.25">
      <c r="B11" t="s">
        <v>624</v>
      </c>
      <c r="C11" t="s">
        <v>625</v>
      </c>
    </row>
    <row r="13" spans="1:13" x14ac:dyDescent="0.25">
      <c r="B13" t="s">
        <v>656</v>
      </c>
      <c r="C13" t="s">
        <v>657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H52"/>
  <sheetViews>
    <sheetView zoomScale="80" zoomScaleNormal="80" workbookViewId="0">
      <selection activeCell="W6" sqref="W6"/>
    </sheetView>
  </sheetViews>
  <sheetFormatPr defaultColWidth="9.140625" defaultRowHeight="12" customHeight="1" x14ac:dyDescent="0.25"/>
  <cols>
    <col min="1" max="5" width="19" style="5" customWidth="1"/>
    <col min="6" max="6" width="16.28515625" style="5" customWidth="1"/>
    <col min="7" max="18" width="1.28515625" style="5" customWidth="1"/>
    <col min="19" max="20" width="14.42578125" style="5" customWidth="1"/>
    <col min="21" max="21" width="12" style="5" customWidth="1"/>
    <col min="22" max="33" width="9.28515625" style="5" customWidth="1"/>
    <col min="34" max="97" width="14.42578125" style="5" customWidth="1"/>
    <col min="98" max="109" width="14.42578125" style="16" customWidth="1"/>
    <col min="110" max="110" width="12.7109375" style="16" customWidth="1"/>
    <col min="111" max="111" width="9.140625" style="16"/>
    <col min="112" max="112" width="11.42578125" style="16" customWidth="1"/>
    <col min="113" max="113" width="6.140625" style="5" customWidth="1"/>
    <col min="114" max="114" width="5.85546875" style="5" customWidth="1"/>
    <col min="115" max="16384" width="9.140625" style="5"/>
  </cols>
  <sheetData>
    <row r="1" spans="15:112" ht="15.75" thickBot="1" x14ac:dyDescent="0.3">
      <c r="O1" s="16"/>
      <c r="P1" s="16"/>
      <c r="S1" s="16">
        <v>19</v>
      </c>
      <c r="T1" s="106" t="s">
        <v>492</v>
      </c>
      <c r="U1" s="107"/>
      <c r="V1" s="107"/>
      <c r="W1" s="107"/>
      <c r="X1" s="107"/>
      <c r="Y1" s="107"/>
      <c r="Z1" s="107"/>
      <c r="AA1" s="108" t="s">
        <v>226</v>
      </c>
      <c r="AB1" s="106" t="s">
        <v>227</v>
      </c>
      <c r="AC1" s="107"/>
      <c r="AD1" s="76"/>
      <c r="CT1" s="5"/>
      <c r="CU1" s="5"/>
      <c r="CV1" s="5"/>
      <c r="CW1" s="5"/>
      <c r="CX1" s="5"/>
      <c r="CY1" s="5"/>
      <c r="CZ1" s="5"/>
      <c r="DA1" s="5"/>
      <c r="DB1" s="5"/>
      <c r="DC1" s="5"/>
      <c r="DD1" s="5"/>
      <c r="DE1" s="5"/>
      <c r="DF1" s="5"/>
      <c r="DG1" s="5"/>
      <c r="DH1" s="5"/>
    </row>
    <row r="2" spans="15:112" ht="15" x14ac:dyDescent="0.25">
      <c r="O2" s="16"/>
      <c r="P2" s="16"/>
      <c r="S2" s="16">
        <v>92.8</v>
      </c>
      <c r="T2" s="109" t="s">
        <v>521</v>
      </c>
      <c r="U2" s="110" t="s">
        <v>1</v>
      </c>
      <c r="V2" s="110" t="s">
        <v>523</v>
      </c>
      <c r="W2" s="111" t="s">
        <v>522</v>
      </c>
      <c r="X2" s="109" t="s">
        <v>526</v>
      </c>
      <c r="Y2" s="110" t="s">
        <v>527</v>
      </c>
      <c r="Z2" s="112" t="s">
        <v>659</v>
      </c>
      <c r="AA2" s="113" t="s">
        <v>221</v>
      </c>
      <c r="AB2" s="114" t="s">
        <v>493</v>
      </c>
      <c r="AC2" s="110" t="s">
        <v>494</v>
      </c>
      <c r="AD2" s="115" t="s">
        <v>495</v>
      </c>
      <c r="AE2" s="74" t="s">
        <v>524</v>
      </c>
      <c r="AF2" s="73" t="s">
        <v>525</v>
      </c>
      <c r="AG2" s="116" t="s">
        <v>660</v>
      </c>
      <c r="CT2" s="5"/>
      <c r="CU2" s="5"/>
      <c r="CV2" s="5"/>
      <c r="CW2" s="5"/>
      <c r="CX2" s="5"/>
      <c r="CY2" s="5"/>
      <c r="CZ2" s="5"/>
      <c r="DA2" s="5"/>
      <c r="DB2" s="5"/>
      <c r="DC2" s="5"/>
      <c r="DD2" s="5"/>
      <c r="DE2" s="5"/>
      <c r="DF2" s="5"/>
      <c r="DG2" s="5"/>
      <c r="DH2" s="5"/>
    </row>
    <row r="3" spans="15:112" ht="15" x14ac:dyDescent="0.25">
      <c r="O3" s="16"/>
      <c r="P3" s="16"/>
      <c r="S3" s="16">
        <v>600</v>
      </c>
      <c r="T3" s="117" t="s">
        <v>661</v>
      </c>
      <c r="U3" s="118" t="str">
        <f>'CCCM Dashboard'!H17</f>
        <v>Kyaukpyu</v>
      </c>
      <c r="V3" s="69">
        <v>93.5</v>
      </c>
      <c r="W3" s="71">
        <v>19.315330739299597</v>
      </c>
      <c r="X3" s="118">
        <f>'CCCM Dashboard'!I17</f>
        <v>415</v>
      </c>
      <c r="Y3" s="118">
        <f>'CCCM Dashboard'!J17</f>
        <v>1050</v>
      </c>
      <c r="Z3" s="118">
        <f>'CCCM Dashboard'!K17</f>
        <v>1</v>
      </c>
      <c r="AA3" s="119">
        <f ca="1">'Shelter Coverage &amp; Gaps'!O8</f>
        <v>1</v>
      </c>
      <c r="AB3" s="119">
        <v>0</v>
      </c>
      <c r="AC3" s="119">
        <v>0</v>
      </c>
      <c r="AD3" s="67">
        <v>0</v>
      </c>
      <c r="AE3" s="120">
        <f t="shared" ref="AE3:AE12" si="0">$S$3-ROUND((W3-$S$1)*$S$5,0)</f>
        <v>521</v>
      </c>
      <c r="AF3" s="121">
        <f t="shared" ref="AF3:AF12" si="1">ROUND((V3-$S$2)*$S$5,0)+$S$4</f>
        <v>325</v>
      </c>
      <c r="AG3" s="122">
        <v>13</v>
      </c>
      <c r="CT3" s="5"/>
      <c r="CU3" s="5"/>
      <c r="CV3" s="5"/>
      <c r="CW3" s="5"/>
      <c r="CX3" s="5"/>
      <c r="CY3" s="5"/>
      <c r="CZ3" s="5"/>
      <c r="DA3" s="5"/>
      <c r="DB3" s="5"/>
      <c r="DC3" s="5"/>
      <c r="DD3" s="5"/>
      <c r="DE3" s="5"/>
      <c r="DF3" s="5"/>
      <c r="DG3" s="5"/>
      <c r="DH3" s="5"/>
    </row>
    <row r="4" spans="15:112" ht="15" x14ac:dyDescent="0.25">
      <c r="O4" s="16"/>
      <c r="P4" s="16"/>
      <c r="S4" s="16">
        <v>150</v>
      </c>
      <c r="T4" s="123" t="s">
        <v>662</v>
      </c>
      <c r="U4" s="118" t="str">
        <f>'CCCM Dashboard'!H18</f>
        <v>Kyauktaw</v>
      </c>
      <c r="V4" s="69">
        <v>92.954056224899546</v>
      </c>
      <c r="W4" s="71">
        <v>20.835542168674699</v>
      </c>
      <c r="X4" s="118">
        <f>'CCCM Dashboard'!I18</f>
        <v>85</v>
      </c>
      <c r="Y4" s="118">
        <f>'CCCM Dashboard'!J18</f>
        <v>546</v>
      </c>
      <c r="Z4" s="118">
        <f>'CCCM Dashboard'!K18</f>
        <v>0</v>
      </c>
      <c r="AA4" s="119">
        <f ca="1">'Shelter Coverage &amp; Gaps'!O9</f>
        <v>0.84705882352941175</v>
      </c>
      <c r="AB4" s="119">
        <v>1</v>
      </c>
      <c r="AC4" s="119">
        <v>0</v>
      </c>
      <c r="AD4" s="67">
        <v>0.95387840670859536</v>
      </c>
      <c r="AE4" s="120">
        <f t="shared" si="0"/>
        <v>141</v>
      </c>
      <c r="AF4" s="121">
        <f t="shared" si="1"/>
        <v>189</v>
      </c>
      <c r="AG4" s="122">
        <v>6</v>
      </c>
      <c r="CT4" s="5"/>
      <c r="CU4" s="5"/>
      <c r="CV4" s="5"/>
      <c r="CW4" s="5"/>
      <c r="CX4" s="5"/>
      <c r="CY4" s="5"/>
      <c r="CZ4" s="5"/>
      <c r="DA4" s="5"/>
      <c r="DB4" s="5"/>
      <c r="DC4" s="5"/>
      <c r="DD4" s="5"/>
      <c r="DE4" s="5"/>
      <c r="DF4" s="5"/>
      <c r="DG4" s="5"/>
      <c r="DH4" s="5"/>
    </row>
    <row r="5" spans="15:112" ht="15" x14ac:dyDescent="0.25">
      <c r="O5" s="16"/>
      <c r="P5" s="16"/>
      <c r="S5" s="16">
        <v>250</v>
      </c>
      <c r="T5" s="117" t="s">
        <v>663</v>
      </c>
      <c r="U5" s="118" t="e">
        <f>'CCCM Dashboard'!#REF!</f>
        <v>#REF!</v>
      </c>
      <c r="V5" s="69">
        <v>92.3</v>
      </c>
      <c r="W5" s="71">
        <v>20.89</v>
      </c>
      <c r="X5" s="118" t="e">
        <f>'CCCM Dashboard'!#REF!</f>
        <v>#REF!</v>
      </c>
      <c r="Y5" s="118" t="e">
        <f>'CCCM Dashboard'!#REF!</f>
        <v>#REF!</v>
      </c>
      <c r="Z5" s="118" t="e">
        <f>'CCCM Dashboard'!#REF!</f>
        <v>#REF!</v>
      </c>
      <c r="AA5" s="119" t="e">
        <f>'Shelter Coverage &amp; Gaps'!#REF!</f>
        <v>#REF!</v>
      </c>
      <c r="AB5" s="119">
        <v>0.69172932330827064</v>
      </c>
      <c r="AC5" s="119">
        <v>0</v>
      </c>
      <c r="AD5" s="67">
        <v>1</v>
      </c>
      <c r="AE5" s="120">
        <f t="shared" si="0"/>
        <v>127</v>
      </c>
      <c r="AF5" s="121">
        <f t="shared" si="1"/>
        <v>25</v>
      </c>
      <c r="AG5" s="122">
        <v>24</v>
      </c>
      <c r="CT5" s="5"/>
      <c r="CU5" s="5"/>
      <c r="CV5" s="5"/>
      <c r="CW5" s="5"/>
      <c r="CX5" s="5"/>
      <c r="CY5" s="5"/>
      <c r="CZ5" s="5"/>
      <c r="DA5" s="5"/>
      <c r="DB5" s="5"/>
      <c r="DC5" s="5"/>
      <c r="DD5" s="5"/>
      <c r="DE5" s="5"/>
      <c r="DF5" s="5"/>
      <c r="DG5" s="5"/>
      <c r="DH5" s="5"/>
    </row>
    <row r="6" spans="15:112" ht="15" x14ac:dyDescent="0.25">
      <c r="O6" s="16"/>
      <c r="P6" s="16"/>
      <c r="T6" s="123"/>
      <c r="U6" s="118" t="str">
        <f>'CCCM Dashboard'!H19</f>
        <v>Myebon</v>
      </c>
      <c r="V6" s="69">
        <v>93.45</v>
      </c>
      <c r="W6" s="71">
        <v>19.899999999999999</v>
      </c>
      <c r="X6" s="118">
        <f>'CCCM Dashboard'!I19</f>
        <v>687</v>
      </c>
      <c r="Y6" s="118">
        <f>'CCCM Dashboard'!J19</f>
        <v>2606</v>
      </c>
      <c r="Z6" s="118">
        <f>'CCCM Dashboard'!K19</f>
        <v>1</v>
      </c>
      <c r="AA6" s="119">
        <f ca="1">'Shelter Coverage &amp; Gaps'!O10</f>
        <v>1</v>
      </c>
      <c r="AB6" s="119"/>
      <c r="AC6" s="119"/>
      <c r="AD6" s="67"/>
      <c r="AE6" s="120">
        <f t="shared" si="0"/>
        <v>375</v>
      </c>
      <c r="AF6" s="121">
        <f t="shared" si="1"/>
        <v>313</v>
      </c>
      <c r="AG6" s="122">
        <v>1</v>
      </c>
      <c r="AI6" s="16"/>
      <c r="CT6" s="5"/>
      <c r="CU6" s="5"/>
      <c r="CV6" s="5"/>
      <c r="CW6" s="5"/>
      <c r="CX6" s="5"/>
      <c r="CY6" s="5"/>
      <c r="CZ6" s="5"/>
      <c r="DA6" s="5"/>
      <c r="DB6" s="5"/>
      <c r="DC6" s="5"/>
      <c r="DD6" s="5"/>
      <c r="DE6" s="5"/>
      <c r="DF6" s="5"/>
      <c r="DG6" s="5"/>
      <c r="DH6" s="5"/>
    </row>
    <row r="7" spans="15:112" ht="15" x14ac:dyDescent="0.25">
      <c r="O7" s="16"/>
      <c r="P7" s="16"/>
      <c r="T7" s="123" t="s">
        <v>664</v>
      </c>
      <c r="U7" s="118" t="e">
        <f>'CCCM Dashboard'!#REF!</f>
        <v>#REF!</v>
      </c>
      <c r="V7" s="69">
        <v>93.42</v>
      </c>
      <c r="W7" s="71">
        <v>20.39</v>
      </c>
      <c r="X7" s="118" t="e">
        <f>'CCCM Dashboard'!#REF!</f>
        <v>#REF!</v>
      </c>
      <c r="Y7" s="118" t="e">
        <f>'CCCM Dashboard'!#REF!</f>
        <v>#REF!</v>
      </c>
      <c r="Z7" s="118" t="e">
        <f>'CCCM Dashboard'!#REF!</f>
        <v>#REF!</v>
      </c>
      <c r="AA7" s="119" t="e">
        <f>'Shelter Coverage &amp; Gaps'!#REF!</f>
        <v>#REF!</v>
      </c>
      <c r="AB7" s="119">
        <v>0</v>
      </c>
      <c r="AC7" s="119">
        <v>0</v>
      </c>
      <c r="AD7" s="67">
        <v>0</v>
      </c>
      <c r="AE7" s="120">
        <f t="shared" si="0"/>
        <v>252</v>
      </c>
      <c r="AF7" s="121">
        <f t="shared" si="1"/>
        <v>305</v>
      </c>
      <c r="AG7" s="122">
        <v>1</v>
      </c>
      <c r="CT7" s="5"/>
      <c r="CU7" s="5"/>
      <c r="CV7" s="5"/>
      <c r="CW7" s="5"/>
      <c r="CX7" s="5"/>
      <c r="CY7" s="5"/>
      <c r="CZ7" s="5"/>
      <c r="DA7" s="5"/>
      <c r="DB7" s="5"/>
      <c r="DC7" s="5"/>
      <c r="DD7" s="5"/>
      <c r="DE7" s="5"/>
      <c r="DF7" s="5"/>
      <c r="DG7" s="5"/>
      <c r="DH7" s="5"/>
    </row>
    <row r="8" spans="15:112" ht="15" x14ac:dyDescent="0.25">
      <c r="O8" s="16"/>
      <c r="P8" s="16"/>
      <c r="T8" s="117" t="s">
        <v>665</v>
      </c>
      <c r="U8" s="118" t="str">
        <f>'CCCM Dashboard'!H20</f>
        <v>Mrauk-U</v>
      </c>
      <c r="V8" s="69">
        <v>93.171744680851077</v>
      </c>
      <c r="W8" s="71">
        <v>20.580936170212777</v>
      </c>
      <c r="X8" s="118">
        <f>'CCCM Dashboard'!I20</f>
        <v>0</v>
      </c>
      <c r="Y8" s="118">
        <f>'CCCM Dashboard'!J20</f>
        <v>0</v>
      </c>
      <c r="Z8" s="118">
        <f>'CCCM Dashboard'!K20</f>
        <v>0</v>
      </c>
      <c r="AA8" s="119" t="e">
        <f>'Shelter Coverage &amp; Gaps'!#REF!</f>
        <v>#REF!</v>
      </c>
      <c r="AB8" s="119">
        <v>0</v>
      </c>
      <c r="AC8" s="119">
        <v>0</v>
      </c>
      <c r="AD8" s="67">
        <v>0</v>
      </c>
      <c r="AE8" s="120">
        <f t="shared" si="0"/>
        <v>205</v>
      </c>
      <c r="AF8" s="121">
        <f t="shared" si="1"/>
        <v>243</v>
      </c>
      <c r="AG8" s="122">
        <v>1</v>
      </c>
      <c r="CT8" s="5"/>
      <c r="CU8" s="5"/>
      <c r="CV8" s="5"/>
      <c r="CW8" s="5"/>
      <c r="CX8" s="5"/>
      <c r="CY8" s="5"/>
      <c r="CZ8" s="5"/>
      <c r="DA8" s="5"/>
      <c r="DB8" s="5"/>
      <c r="DC8" s="5"/>
      <c r="DD8" s="5"/>
      <c r="DE8" s="5"/>
      <c r="DF8" s="5"/>
      <c r="DG8" s="5"/>
      <c r="DH8" s="5"/>
    </row>
    <row r="9" spans="15:112" ht="15" x14ac:dyDescent="0.25">
      <c r="O9" s="16"/>
      <c r="P9" s="16"/>
      <c r="T9" s="123" t="s">
        <v>666</v>
      </c>
      <c r="U9" s="118" t="str">
        <f>'CCCM Dashboard'!H21</f>
        <v>Pauktaw</v>
      </c>
      <c r="V9" s="69">
        <v>93.15</v>
      </c>
      <c r="W9" s="71">
        <v>19.984999999999999</v>
      </c>
      <c r="X9" s="118">
        <f>'CCCM Dashboard'!I21</f>
        <v>5113</v>
      </c>
      <c r="Y9" s="118">
        <f>'CCCM Dashboard'!J21</f>
        <v>21825</v>
      </c>
      <c r="Z9" s="118">
        <f>'CCCM Dashboard'!K21</f>
        <v>4</v>
      </c>
      <c r="AA9" s="119">
        <f ca="1">'Shelter Coverage &amp; Gaps'!O11</f>
        <v>0.81253497481813097</v>
      </c>
      <c r="AB9" s="119">
        <v>0</v>
      </c>
      <c r="AC9" s="119">
        <v>0</v>
      </c>
      <c r="AD9" s="67">
        <v>1</v>
      </c>
      <c r="AE9" s="120">
        <f t="shared" si="0"/>
        <v>354</v>
      </c>
      <c r="AF9" s="121">
        <f t="shared" si="1"/>
        <v>238</v>
      </c>
      <c r="AG9" s="122">
        <v>8</v>
      </c>
      <c r="CT9" s="5"/>
      <c r="CU9" s="5"/>
      <c r="CV9" s="5"/>
      <c r="CW9" s="5"/>
      <c r="CX9" s="5"/>
      <c r="CY9" s="5"/>
      <c r="CZ9" s="5"/>
      <c r="DA9" s="5"/>
      <c r="DB9" s="5"/>
      <c r="DC9" s="5"/>
      <c r="DD9" s="5"/>
      <c r="DE9" s="5"/>
      <c r="DF9" s="5"/>
      <c r="DG9" s="5"/>
      <c r="DH9" s="5"/>
    </row>
    <row r="10" spans="15:112" ht="15" x14ac:dyDescent="0.25">
      <c r="O10" s="16"/>
      <c r="P10" s="16"/>
      <c r="T10" s="123"/>
      <c r="U10" s="118" t="str">
        <f>'CCCM Dashboard'!H22</f>
        <v>Ramree</v>
      </c>
      <c r="V10" s="69">
        <v>93.7</v>
      </c>
      <c r="W10" s="71">
        <v>19.033045977011483</v>
      </c>
      <c r="X10" s="118">
        <f>'CCCM Dashboard'!I22</f>
        <v>0</v>
      </c>
      <c r="Y10" s="118">
        <f>'CCCM Dashboard'!J22</f>
        <v>0</v>
      </c>
      <c r="Z10" s="118">
        <f>'CCCM Dashboard'!K22</f>
        <v>0</v>
      </c>
      <c r="AA10" s="119" t="e">
        <f>'Shelter Coverage &amp; Gaps'!#REF!</f>
        <v>#REF!</v>
      </c>
      <c r="AB10" s="119"/>
      <c r="AC10" s="119"/>
      <c r="AD10" s="67"/>
      <c r="AE10" s="120">
        <f t="shared" si="0"/>
        <v>592</v>
      </c>
      <c r="AF10" s="121">
        <f t="shared" si="1"/>
        <v>375</v>
      </c>
      <c r="AG10" s="122">
        <v>1</v>
      </c>
      <c r="CT10" s="5"/>
      <c r="CU10" s="5"/>
      <c r="CV10" s="5"/>
      <c r="CW10" s="5"/>
      <c r="CX10" s="5"/>
      <c r="CY10" s="5"/>
      <c r="CZ10" s="5"/>
      <c r="DA10" s="5"/>
      <c r="DB10" s="5"/>
      <c r="DC10" s="5"/>
      <c r="DD10" s="5"/>
      <c r="DE10" s="5"/>
      <c r="DF10" s="5"/>
      <c r="DG10" s="5"/>
      <c r="DH10" s="5"/>
    </row>
    <row r="11" spans="15:112" ht="15" x14ac:dyDescent="0.25">
      <c r="O11" s="16"/>
      <c r="P11" s="16"/>
      <c r="T11" s="117" t="s">
        <v>667</v>
      </c>
      <c r="U11" s="118" t="str">
        <f>'CCCM Dashboard'!H23</f>
        <v>Rathedaung</v>
      </c>
      <c r="V11" s="69">
        <v>92.74</v>
      </c>
      <c r="W11" s="71">
        <v>20.399999999999999</v>
      </c>
      <c r="X11" s="118">
        <f>'CCCM Dashboard'!I23</f>
        <v>0</v>
      </c>
      <c r="Y11" s="118">
        <f>'CCCM Dashboard'!J23</f>
        <v>0</v>
      </c>
      <c r="Z11" s="118">
        <f>'CCCM Dashboard'!K23</f>
        <v>0</v>
      </c>
      <c r="AA11" s="119">
        <f>'Shelter Coverage &amp; Gaps'!O12</f>
        <v>0</v>
      </c>
      <c r="AB11" s="119">
        <v>0</v>
      </c>
      <c r="AC11" s="119">
        <v>0</v>
      </c>
      <c r="AD11" s="67">
        <v>0</v>
      </c>
      <c r="AE11" s="120">
        <f t="shared" si="0"/>
        <v>250</v>
      </c>
      <c r="AF11" s="121">
        <f t="shared" si="1"/>
        <v>135</v>
      </c>
      <c r="AG11" s="122">
        <v>17</v>
      </c>
      <c r="CT11" s="5"/>
      <c r="CU11" s="5"/>
      <c r="CV11" s="5"/>
      <c r="CW11" s="5"/>
      <c r="CX11" s="5"/>
      <c r="CY11" s="5"/>
      <c r="CZ11" s="5"/>
      <c r="DA11" s="5"/>
      <c r="DB11" s="5"/>
      <c r="DC11" s="5"/>
      <c r="DD11" s="5"/>
      <c r="DE11" s="5"/>
      <c r="DF11" s="5"/>
      <c r="DG11" s="5"/>
      <c r="DH11" s="5"/>
    </row>
    <row r="12" spans="15:112" ht="15.75" thickBot="1" x14ac:dyDescent="0.3">
      <c r="O12" s="16"/>
      <c r="P12" s="16"/>
      <c r="T12" s="123" t="s">
        <v>668</v>
      </c>
      <c r="U12" s="118" t="str">
        <f>'CCCM Dashboard'!H24</f>
        <v>Sittwe</v>
      </c>
      <c r="V12" s="70">
        <v>92.7</v>
      </c>
      <c r="W12" s="72">
        <v>20.11</v>
      </c>
      <c r="X12" s="118">
        <f>'CCCM Dashboard'!I24</f>
        <v>18822</v>
      </c>
      <c r="Y12" s="118">
        <f>'CCCM Dashboard'!J24</f>
        <v>101547</v>
      </c>
      <c r="Z12" s="118">
        <f>'CCCM Dashboard'!K24</f>
        <v>11</v>
      </c>
      <c r="AA12" s="119">
        <f ca="1">'Shelter Coverage &amp; Gaps'!O13</f>
        <v>0.79991499309318881</v>
      </c>
      <c r="AB12" s="119">
        <v>0</v>
      </c>
      <c r="AC12" s="119">
        <v>0</v>
      </c>
      <c r="AD12" s="67">
        <v>0</v>
      </c>
      <c r="AE12" s="120">
        <f t="shared" si="0"/>
        <v>322</v>
      </c>
      <c r="AF12" s="121">
        <f t="shared" si="1"/>
        <v>125</v>
      </c>
      <c r="AG12" s="122">
        <v>4</v>
      </c>
      <c r="CT12" s="5"/>
      <c r="CU12" s="5"/>
      <c r="CV12" s="5"/>
      <c r="CW12" s="5"/>
      <c r="CX12" s="5"/>
      <c r="CY12" s="5"/>
      <c r="CZ12" s="5"/>
      <c r="DA12" s="5"/>
      <c r="DB12" s="5"/>
      <c r="DC12" s="5"/>
      <c r="DD12" s="5"/>
      <c r="DE12" s="5"/>
      <c r="DF12" s="5"/>
      <c r="DG12" s="5"/>
      <c r="DH12" s="5"/>
    </row>
    <row r="13" spans="15:112" ht="15" x14ac:dyDescent="0.25">
      <c r="O13" s="16"/>
      <c r="P13" s="16"/>
      <c r="T13" s="117"/>
      <c r="U13" s="118" t="s">
        <v>7</v>
      </c>
      <c r="V13" s="123">
        <v>94</v>
      </c>
      <c r="W13" s="118">
        <v>20</v>
      </c>
      <c r="X13" s="122" t="e">
        <f>SUBTOTAL(109,X3:X12)</f>
        <v>#REF!</v>
      </c>
      <c r="Y13" s="122" t="e">
        <f>SUBTOTAL(109,Y3:Y12)</f>
        <v>#REF!</v>
      </c>
      <c r="Z13" s="122" t="e">
        <f>SUBTOTAL(109,Z3:Z12)</f>
        <v>#REF!</v>
      </c>
      <c r="AA13" s="122"/>
      <c r="AB13" s="122"/>
      <c r="AC13" s="122"/>
      <c r="AD13" s="122"/>
      <c r="AE13" s="120">
        <f>$S$3-ROUND((W13-$S$1)*$S$5,0)</f>
        <v>350</v>
      </c>
      <c r="AF13" s="121">
        <f>ROUND((V13-$S$2)*$S$5,0)+$S$4</f>
        <v>450</v>
      </c>
      <c r="AG13" s="122">
        <f>SUBTOTAL(109,AG3:AG12)</f>
        <v>76</v>
      </c>
      <c r="CT13" s="5"/>
      <c r="CU13" s="5"/>
      <c r="CV13" s="5"/>
      <c r="CW13" s="5"/>
      <c r="CX13" s="5"/>
      <c r="CY13" s="5"/>
      <c r="CZ13" s="5"/>
      <c r="DA13" s="5"/>
      <c r="DB13" s="5"/>
      <c r="DC13" s="5"/>
      <c r="DD13" s="5"/>
      <c r="DE13" s="5"/>
      <c r="DF13" s="5"/>
      <c r="DG13" s="5"/>
      <c r="DH13" s="5"/>
    </row>
    <row r="14" spans="15:112" ht="15" x14ac:dyDescent="0.25">
      <c r="O14" s="16"/>
      <c r="P14" s="16"/>
      <c r="CT14" s="5"/>
      <c r="CU14" s="5"/>
      <c r="CV14" s="5"/>
      <c r="CW14" s="5"/>
      <c r="CX14" s="5"/>
      <c r="CY14" s="5"/>
      <c r="CZ14" s="5"/>
      <c r="DA14" s="5"/>
      <c r="DB14" s="5"/>
      <c r="DC14" s="5"/>
      <c r="DD14" s="5"/>
      <c r="DE14" s="5"/>
      <c r="DF14" s="5"/>
      <c r="DG14" s="5"/>
      <c r="DH14" s="5"/>
    </row>
    <row r="15" spans="15:112" ht="15" x14ac:dyDescent="0.25">
      <c r="O15" s="16"/>
      <c r="P15" s="16"/>
      <c r="CT15" s="5"/>
      <c r="CU15" s="5"/>
      <c r="CV15" s="5"/>
      <c r="CW15" s="5"/>
      <c r="CX15" s="5"/>
      <c r="CY15" s="5"/>
      <c r="CZ15" s="5"/>
      <c r="DA15" s="5"/>
      <c r="DB15" s="5"/>
      <c r="DC15" s="5"/>
      <c r="DD15" s="5"/>
      <c r="DE15" s="5"/>
      <c r="DF15" s="5"/>
      <c r="DG15" s="5"/>
      <c r="DH15" s="5"/>
    </row>
    <row r="16" spans="15:112" ht="15" x14ac:dyDescent="0.25">
      <c r="O16" s="16"/>
      <c r="P16" s="16"/>
      <c r="CT16" s="5"/>
      <c r="CU16" s="5"/>
      <c r="CV16" s="5"/>
      <c r="CW16" s="5"/>
      <c r="CX16" s="5"/>
      <c r="CY16" s="5"/>
      <c r="CZ16" s="5"/>
      <c r="DA16" s="5"/>
      <c r="DB16" s="5"/>
      <c r="DC16" s="5"/>
      <c r="DD16" s="5"/>
      <c r="DE16" s="5"/>
      <c r="DF16" s="5"/>
      <c r="DG16" s="5"/>
      <c r="DH16" s="5"/>
    </row>
    <row r="17" spans="1:112" ht="15" x14ac:dyDescent="0.25">
      <c r="O17" s="16"/>
      <c r="P17" s="16"/>
      <c r="CT17" s="5"/>
      <c r="CU17" s="5"/>
      <c r="CV17" s="5"/>
      <c r="CW17" s="5"/>
      <c r="CX17" s="5"/>
      <c r="CY17" s="5"/>
      <c r="CZ17" s="5"/>
      <c r="DA17" s="5"/>
      <c r="DB17" s="5"/>
      <c r="DC17" s="5"/>
      <c r="DD17" s="5"/>
      <c r="DE17" s="5"/>
      <c r="DF17" s="5"/>
      <c r="DG17" s="5"/>
      <c r="DH17" s="5"/>
    </row>
    <row r="18" spans="1:112" ht="15" x14ac:dyDescent="0.25">
      <c r="O18" s="16"/>
      <c r="P18" s="16"/>
      <c r="CT18" s="5"/>
      <c r="CU18" s="5"/>
      <c r="CV18" s="5"/>
      <c r="CW18" s="5"/>
      <c r="CX18" s="5"/>
      <c r="CY18" s="5"/>
      <c r="CZ18" s="5"/>
      <c r="DA18" s="5"/>
      <c r="DB18" s="5"/>
      <c r="DC18" s="5"/>
      <c r="DD18" s="5"/>
      <c r="DE18" s="5"/>
      <c r="DF18" s="5"/>
      <c r="DG18" s="5"/>
      <c r="DH18" s="5"/>
    </row>
    <row r="19" spans="1:112" ht="15" x14ac:dyDescent="0.25">
      <c r="O19" s="16"/>
      <c r="P19" s="16"/>
      <c r="CT19" s="5"/>
      <c r="CU19" s="5"/>
      <c r="CV19" s="5"/>
      <c r="CW19" s="5"/>
      <c r="CX19" s="5"/>
      <c r="CY19" s="5"/>
      <c r="CZ19" s="5"/>
      <c r="DA19" s="5"/>
      <c r="DB19" s="5"/>
      <c r="DC19" s="5"/>
      <c r="DD19" s="5"/>
      <c r="DE19" s="5"/>
      <c r="DF19" s="5"/>
      <c r="DG19" s="5"/>
      <c r="DH19" s="5"/>
    </row>
    <row r="20" spans="1:112" ht="15" x14ac:dyDescent="0.25">
      <c r="O20" s="16"/>
      <c r="P20" s="16"/>
      <c r="CT20" s="5"/>
      <c r="CU20" s="5"/>
      <c r="CV20" s="5"/>
      <c r="CW20" s="5"/>
      <c r="CX20" s="5"/>
      <c r="CY20" s="5"/>
      <c r="CZ20" s="5"/>
      <c r="DA20" s="5"/>
      <c r="DB20" s="5"/>
      <c r="DC20" s="5"/>
      <c r="DD20" s="5"/>
      <c r="DE20" s="5"/>
      <c r="DF20" s="5"/>
      <c r="DG20" s="5"/>
      <c r="DH20" s="5"/>
    </row>
    <row r="21" spans="1:112" ht="15" x14ac:dyDescent="0.25">
      <c r="DA21" s="66"/>
      <c r="DB21" s="67"/>
      <c r="DC21" s="67"/>
      <c r="DD21" s="67"/>
      <c r="DE21" s="67"/>
    </row>
    <row r="22" spans="1:112" ht="15" x14ac:dyDescent="0.25">
      <c r="A22" s="126"/>
      <c r="B22" s="126"/>
      <c r="C22" s="126"/>
      <c r="D22" s="126"/>
      <c r="E22" s="126"/>
      <c r="F22" s="126"/>
      <c r="G22" s="126"/>
      <c r="H22" s="126"/>
      <c r="I22" s="126"/>
      <c r="J22" s="126"/>
      <c r="K22" s="126"/>
      <c r="L22" s="126"/>
      <c r="M22" s="126"/>
      <c r="N22" s="127"/>
      <c r="DA22" s="66"/>
      <c r="DB22" s="67"/>
      <c r="DC22" s="67"/>
      <c r="DD22" s="67"/>
      <c r="DE22" s="67"/>
    </row>
    <row r="23" spans="1:112" ht="15" x14ac:dyDescent="0.25">
      <c r="A23" s="118"/>
      <c r="B23" s="118"/>
      <c r="C23" s="124"/>
      <c r="D23" s="124"/>
      <c r="E23" s="125"/>
      <c r="F23" s="125"/>
      <c r="G23" s="126"/>
      <c r="H23" s="126"/>
      <c r="I23" s="126"/>
      <c r="J23" s="126"/>
      <c r="K23" s="126"/>
      <c r="L23" s="126"/>
      <c r="M23" s="126"/>
      <c r="N23" s="127"/>
      <c r="DA23" s="66"/>
      <c r="DB23" s="67"/>
      <c r="DC23" s="67"/>
      <c r="DD23" s="67"/>
      <c r="DE23" s="67"/>
    </row>
    <row r="24" spans="1:112" ht="15" x14ac:dyDescent="0.25">
      <c r="G24" s="126"/>
      <c r="H24" s="126"/>
      <c r="I24" s="126"/>
      <c r="J24" s="126"/>
      <c r="K24" s="126"/>
      <c r="L24" s="126"/>
      <c r="DA24" s="66"/>
      <c r="DE24" s="1"/>
      <c r="DF24" s="46"/>
    </row>
    <row r="25" spans="1:112" ht="15" x14ac:dyDescent="0.25">
      <c r="DA25" s="66"/>
      <c r="DE25" s="1"/>
      <c r="DF25" s="46"/>
    </row>
    <row r="26" spans="1:112" ht="15" x14ac:dyDescent="0.25">
      <c r="P26" s="75"/>
      <c r="Q26" s="75"/>
      <c r="DA26" s="66"/>
      <c r="DE26" s="1"/>
      <c r="DF26" s="46"/>
    </row>
    <row r="27" spans="1:112" s="16" customFormat="1" ht="15"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DA27" s="66"/>
      <c r="DE27" s="1"/>
      <c r="DF27" s="46"/>
    </row>
    <row r="28" spans="1:112" s="16" customFormat="1" ht="15"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DA28" s="66"/>
      <c r="DE28" s="1"/>
      <c r="DF28" s="46"/>
    </row>
    <row r="29" spans="1:112" s="16" customFormat="1" ht="15"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DA29" s="66"/>
      <c r="DE29" s="1"/>
      <c r="DF29" s="46"/>
    </row>
    <row r="30" spans="1:112" s="16" customFormat="1" ht="15"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DA30" s="66"/>
      <c r="DE30" s="1"/>
      <c r="DF30" s="46"/>
    </row>
    <row r="31" spans="1:112" s="16" customFormat="1" ht="15"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DA31" s="66"/>
      <c r="DE31" s="1"/>
      <c r="DF31" s="46"/>
    </row>
    <row r="32" spans="1:112" s="16" customFormat="1" ht="15"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DE32" s="1"/>
      <c r="DF32" s="46"/>
    </row>
    <row r="33" spans="1:111" s="16" customFormat="1" ht="15"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DE33" s="1"/>
      <c r="DF33" s="46"/>
    </row>
    <row r="34" spans="1:111" s="16" customFormat="1" ht="15"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DE34" s="1"/>
      <c r="DF34" s="46"/>
    </row>
    <row r="35" spans="1:111" s="16" customFormat="1" ht="15"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DE35" s="1"/>
      <c r="DF35" s="46"/>
    </row>
    <row r="36" spans="1:111" s="16" customFormat="1" ht="15"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DE36" s="1"/>
      <c r="DF36" s="46"/>
    </row>
    <row r="37" spans="1:111" s="16" customFormat="1" ht="15"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DE37" s="1"/>
      <c r="DF37" s="46"/>
    </row>
    <row r="38" spans="1:111" s="16" customFormat="1" ht="15"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DE38" s="1"/>
      <c r="DF38" s="46"/>
    </row>
    <row r="39" spans="1:111" s="16" customFormat="1" ht="15"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DE39" s="1"/>
      <c r="DF39" s="46"/>
    </row>
    <row r="40" spans="1:111" s="16" customFormat="1" ht="15"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DE40" s="1"/>
      <c r="DF40" s="46"/>
    </row>
    <row r="41" spans="1:111" s="16" customFormat="1" ht="15"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DE41" s="1"/>
      <c r="DF41" s="46"/>
    </row>
    <row r="42" spans="1:111" s="16" customFormat="1" ht="15"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DE42" s="1"/>
      <c r="DF42" s="46"/>
    </row>
    <row r="43" spans="1:111" s="16" customFormat="1" ht="15"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DE43" s="1"/>
      <c r="DF43" s="46"/>
    </row>
    <row r="44" spans="1:111" s="16" customFormat="1" ht="15"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DE44" s="1"/>
      <c r="DF44" s="46"/>
    </row>
    <row r="45" spans="1:111" s="16" customFormat="1" ht="15"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DE45" s="1"/>
      <c r="DF45" s="46"/>
    </row>
    <row r="46" spans="1:111" s="16" customFormat="1" ht="15"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DE46" s="1"/>
      <c r="DF46" s="46"/>
      <c r="DG46" s="46"/>
    </row>
    <row r="47" spans="1:111" s="16" customFormat="1" ht="15"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DE47" s="1"/>
      <c r="DF47" s="46"/>
      <c r="DG47" s="46"/>
    </row>
    <row r="48" spans="1:111" s="16" customFormat="1" ht="15"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DE48" s="1"/>
      <c r="DF48" s="46"/>
      <c r="DG48" s="46"/>
    </row>
    <row r="49" spans="1:111" s="16" customFormat="1" ht="15"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DE49" s="1"/>
      <c r="DF49" s="46"/>
      <c r="DG49" s="46"/>
    </row>
    <row r="50" spans="1:111" s="16" customFormat="1" ht="15"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DE50" s="1"/>
      <c r="DF50" s="46"/>
      <c r="DG50" s="46"/>
    </row>
    <row r="51" spans="1:111" s="16" customFormat="1" ht="15"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DE51" s="1"/>
      <c r="DF51" s="46"/>
      <c r="DG51" s="46"/>
    </row>
    <row r="52" spans="1:111" s="16" customFormat="1" ht="15"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DE52" s="1"/>
      <c r="DF52" s="46"/>
      <c r="DG52" s="46"/>
    </row>
  </sheetData>
  <conditionalFormatting sqref="AA3:AD12">
    <cfRule type="cellIs" dxfId="1271" priority="1" operator="between">
      <formula>0.4</formula>
      <formula>0.6</formula>
    </cfRule>
    <cfRule type="cellIs" dxfId="1270" priority="2" operator="greaterThan">
      <formula>0.8</formula>
    </cfRule>
    <cfRule type="cellIs" dxfId="1269" priority="3" operator="between">
      <formula>0.6</formula>
      <formula>0.8</formula>
    </cfRule>
    <cfRule type="cellIs" dxfId="1268" priority="4" operator="between">
      <formula>0.2</formula>
      <formula>0.4</formula>
    </cfRule>
    <cfRule type="cellIs" dxfId="1267" priority="5" operator="between">
      <formula>0</formula>
      <formula>0.2</formula>
    </cfRule>
  </conditionalFormatting>
  <pageMargins left="0.7" right="0.7" top="0.75" bottom="0.75" header="0.3" footer="0.3"/>
  <pageSetup paperSize="9" orientation="portrait" r:id="rId1"/>
  <ignoredErrors>
    <ignoredError sqref="U13 X13:Z13" calculatedColumn="1"/>
  </ignoredErrors>
  <drawing r:id="rId2"/>
  <legacyDrawing r:id="rId3"/>
  <controls>
    <mc:AlternateContent xmlns:mc="http://schemas.openxmlformats.org/markup-compatibility/2006">
      <mc:Choice Requires="x14">
        <control shapeId="63494" r:id="rId4" name="CommandButton1">
          <controlPr defaultSize="0" autoLine="0" r:id="rId5">
            <anchor moveWithCells="1">
              <from>
                <xdr:col>25</xdr:col>
                <xdr:colOff>85725</xdr:colOff>
                <xdr:row>16</xdr:row>
                <xdr:rowOff>142875</xdr:rowOff>
              </from>
              <to>
                <xdr:col>27</xdr:col>
                <xdr:colOff>390525</xdr:colOff>
                <xdr:row>19</xdr:row>
                <xdr:rowOff>38100</xdr:rowOff>
              </to>
            </anchor>
          </controlPr>
        </control>
      </mc:Choice>
      <mc:Fallback>
        <control shapeId="63494" r:id="rId4" name="CommandButton1"/>
      </mc:Fallback>
    </mc:AlternateContent>
    <mc:AlternateContent xmlns:mc="http://schemas.openxmlformats.org/markup-compatibility/2006">
      <mc:Choice Requires="x14">
        <control shapeId="63489" r:id="rId6" name="Label 1">
          <controlPr defaultSize="0" autoFill="0" autoLine="0" autoPict="0">
            <anchor moveWithCells="1" sizeWithCells="1">
              <from>
                <xdr:col>5</xdr:col>
                <xdr:colOff>657225</xdr:colOff>
                <xdr:row>7</xdr:row>
                <xdr:rowOff>9525</xdr:rowOff>
              </from>
              <to>
                <xdr:col>5</xdr:col>
                <xdr:colOff>942975</xdr:colOff>
                <xdr:row>7</xdr:row>
                <xdr:rowOff>161925</xdr:rowOff>
              </to>
            </anchor>
          </controlPr>
        </control>
      </mc:Choice>
    </mc:AlternateContent>
    <mc:AlternateContent xmlns:mc="http://schemas.openxmlformats.org/markup-compatibility/2006">
      <mc:Choice Requires="x14">
        <control shapeId="63490" r:id="rId7" name="Label 2">
          <controlPr defaultSize="0" autoFill="0" autoLine="0" autoPict="0">
            <anchor moveWithCells="1" sizeWithCells="1">
              <from>
                <xdr:col>5</xdr:col>
                <xdr:colOff>1066800</xdr:colOff>
                <xdr:row>7</xdr:row>
                <xdr:rowOff>0</xdr:rowOff>
              </from>
              <to>
                <xdr:col>9</xdr:col>
                <xdr:colOff>9525</xdr:colOff>
                <xdr:row>7</xdr:row>
                <xdr:rowOff>152400</xdr:rowOff>
              </to>
            </anchor>
          </controlPr>
        </control>
      </mc:Choice>
    </mc:AlternateContent>
    <mc:AlternateContent xmlns:mc="http://schemas.openxmlformats.org/markup-compatibility/2006">
      <mc:Choice Requires="x14">
        <control shapeId="63491" r:id="rId8" name="Label 3">
          <controlPr defaultSize="0" autoFill="0" autoLine="0" autoPict="0">
            <anchor moveWithCells="1" sizeWithCells="1">
              <from>
                <xdr:col>12</xdr:col>
                <xdr:colOff>57150</xdr:colOff>
                <xdr:row>7</xdr:row>
                <xdr:rowOff>19050</xdr:rowOff>
              </from>
              <to>
                <xdr:col>16</xdr:col>
                <xdr:colOff>9525</xdr:colOff>
                <xdr:row>7</xdr:row>
                <xdr:rowOff>171450</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5</xdr:col>
                <xdr:colOff>981075</xdr:colOff>
                <xdr:row>2</xdr:row>
                <xdr:rowOff>180975</xdr:rowOff>
              </from>
              <to>
                <xdr:col>16</xdr:col>
                <xdr:colOff>76200</xdr:colOff>
                <xdr:row>3</xdr:row>
                <xdr:rowOff>133350</xdr:rowOff>
              </to>
            </anchor>
          </controlPr>
        </control>
      </mc:Choice>
    </mc:AlternateContent>
  </controls>
  <tableParts count="1">
    <tablePart r:id="rId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
  <sheetViews>
    <sheetView workbookViewId="0">
      <selection activeCell="B8" sqref="B8"/>
    </sheetView>
  </sheetViews>
  <sheetFormatPr defaultRowHeight="15" x14ac:dyDescent="0.25"/>
  <cols>
    <col min="1" max="1" width="36.28515625" bestFit="1" customWidth="1"/>
    <col min="2" max="2" width="16.7109375" customWidth="1"/>
  </cols>
  <sheetData>
    <row r="2" spans="1:15" x14ac:dyDescent="0.25">
      <c r="B2" t="s">
        <v>917</v>
      </c>
      <c r="D2" t="s">
        <v>926</v>
      </c>
    </row>
    <row r="3" spans="1:15" x14ac:dyDescent="0.25">
      <c r="B3" t="s">
        <v>918</v>
      </c>
    </row>
    <row r="5" spans="1:15" x14ac:dyDescent="0.25">
      <c r="A5" s="26" t="s">
        <v>922</v>
      </c>
      <c r="B5" s="465">
        <f>SUMIFS(Camplist_Popl,CampList_TypeOfAcc,"Planned Camp")</f>
        <v>103268</v>
      </c>
    </row>
    <row r="6" spans="1:15" s="78" customFormat="1" x14ac:dyDescent="0.25">
      <c r="A6" s="26" t="s">
        <v>924</v>
      </c>
      <c r="B6" s="465">
        <f>SUMIFS(Camplist_Popl,CampList_TypeOfAcc,"Self Settled Camp")</f>
        <v>13595</v>
      </c>
      <c r="C6" s="669"/>
    </row>
    <row r="7" spans="1:15" s="78" customFormat="1" x14ac:dyDescent="0.25">
      <c r="A7" s="26" t="s">
        <v>923</v>
      </c>
      <c r="B7" s="465">
        <f>SUMIFS(Camplist_Popl,CampList_TypeOfAcc,"Host Families")</f>
        <v>6119</v>
      </c>
      <c r="C7" s="669"/>
    </row>
    <row r="8" spans="1:15" s="669" customFormat="1" x14ac:dyDescent="0.25">
      <c r="A8" s="670" t="s">
        <v>929</v>
      </c>
      <c r="B8" s="465">
        <f>SUMIFS(Camplist_Popl,CampList_TypeOfAcc,"Individual House",CampList_Status,"Open")</f>
        <v>4592</v>
      </c>
    </row>
    <row r="9" spans="1:15" ht="30" x14ac:dyDescent="0.25">
      <c r="A9" s="478" t="s">
        <v>925</v>
      </c>
      <c r="B9" s="465">
        <f>SUMIFS(Camplist_Popl,CampList_Status,"Relocated in Individual Housing")</f>
        <v>0</v>
      </c>
    </row>
    <row r="10" spans="1:15" ht="30" x14ac:dyDescent="0.25">
      <c r="A10" s="471" t="s">
        <v>930</v>
      </c>
      <c r="B10" s="465">
        <f>SUMIFS(Camplist_Popl,CampList_Status,"Returned in Individual Housing")</f>
        <v>0</v>
      </c>
      <c r="N10" s="472"/>
      <c r="O10" s="16"/>
    </row>
    <row r="11" spans="1:15" x14ac:dyDescent="0.25">
      <c r="B11" s="466"/>
      <c r="N11" s="472"/>
      <c r="O11" s="16"/>
    </row>
    <row r="12" spans="1:15" x14ac:dyDescent="0.25">
      <c r="B12" s="466">
        <f>SUM(B5:B10)</f>
        <v>127574</v>
      </c>
      <c r="N12" s="472"/>
      <c r="O12" s="16"/>
    </row>
    <row r="18" spans="1:1" x14ac:dyDescent="0.25">
      <c r="A18" s="467"/>
    </row>
    <row r="19" spans="1:1" x14ac:dyDescent="0.25">
      <c r="A19" s="468"/>
    </row>
    <row r="20" spans="1:1" x14ac:dyDescent="0.25">
      <c r="A20" s="468"/>
    </row>
    <row r="21" spans="1:1" x14ac:dyDescent="0.25">
      <c r="A21" s="468"/>
    </row>
  </sheetData>
  <conditionalFormatting sqref="A18:A21">
    <cfRule type="cellIs" dxfId="1233" priority="1" operator="equal">
      <formula>"close"</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pageSetUpPr fitToPage="1"/>
  </sheetPr>
  <dimension ref="A1:K52"/>
  <sheetViews>
    <sheetView zoomScale="80" zoomScaleNormal="80" workbookViewId="0">
      <selection activeCell="G35" sqref="G35"/>
    </sheetView>
  </sheetViews>
  <sheetFormatPr defaultColWidth="9.140625" defaultRowHeight="15" x14ac:dyDescent="0.25"/>
  <cols>
    <col min="1" max="1" width="22.7109375" style="1" bestFit="1" customWidth="1"/>
    <col min="2" max="2" width="32.85546875" style="1" bestFit="1" customWidth="1"/>
    <col min="3" max="3" width="16.5703125" style="1" bestFit="1" customWidth="1"/>
    <col min="4" max="4" width="9.85546875" style="256" bestFit="1" customWidth="1"/>
    <col min="5" max="5" width="15.28515625" style="251" customWidth="1"/>
    <col min="6" max="6" width="7.28515625" style="251" bestFit="1" customWidth="1"/>
    <col min="7" max="7" width="22.7109375" style="257" bestFit="1" customWidth="1"/>
    <col min="8" max="8" width="9.140625" style="1"/>
    <col min="9" max="9" width="35.7109375" style="1" customWidth="1"/>
    <col min="10" max="16384" width="9.140625" style="1"/>
  </cols>
  <sheetData>
    <row r="1" spans="1:11" ht="23.25" x14ac:dyDescent="0.35">
      <c r="A1" s="1126" t="s">
        <v>723</v>
      </c>
      <c r="B1" s="1127"/>
      <c r="C1" s="1127"/>
      <c r="D1" s="507"/>
      <c r="E1" s="508"/>
      <c r="F1" s="508"/>
      <c r="G1" s="509"/>
      <c r="H1" s="510"/>
    </row>
    <row r="2" spans="1:11" ht="15.75" thickBot="1" x14ac:dyDescent="0.3">
      <c r="A2" s="511">
        <f>Report_Date</f>
        <v>43190</v>
      </c>
      <c r="B2" s="512"/>
      <c r="C2" s="512"/>
      <c r="D2" s="512"/>
      <c r="E2" s="513"/>
      <c r="F2" s="513"/>
      <c r="G2" s="514"/>
      <c r="H2" s="515"/>
    </row>
    <row r="3" spans="1:11" ht="15.75" thickBot="1" x14ac:dyDescent="0.3"/>
    <row r="4" spans="1:11" ht="15.75" thickBot="1" x14ac:dyDescent="0.3">
      <c r="A4" s="645" t="s">
        <v>329</v>
      </c>
      <c r="B4" s="646" t="s">
        <v>331</v>
      </c>
      <c r="E4" s="629"/>
      <c r="F4" s="629"/>
    </row>
    <row r="5" spans="1:11" ht="15.75" thickBot="1" x14ac:dyDescent="0.3">
      <c r="A5" s="645" t="s">
        <v>22</v>
      </c>
      <c r="B5" s="646" t="s">
        <v>718</v>
      </c>
      <c r="E5" s="629"/>
      <c r="F5" s="629"/>
    </row>
    <row r="6" spans="1:11" ht="15.75" thickBot="1" x14ac:dyDescent="0.3">
      <c r="E6" s="629"/>
      <c r="F6" s="629"/>
    </row>
    <row r="7" spans="1:11" ht="15.75" thickBot="1" x14ac:dyDescent="0.3">
      <c r="A7" s="506" t="s">
        <v>0</v>
      </c>
      <c r="B7" s="516" t="s">
        <v>9</v>
      </c>
      <c r="C7" s="518" t="s">
        <v>8</v>
      </c>
      <c r="D7" s="664" t="s">
        <v>605</v>
      </c>
      <c r="E7" s="665" t="s">
        <v>754</v>
      </c>
      <c r="F7" s="666" t="s">
        <v>749</v>
      </c>
      <c r="G7" s="647" t="s">
        <v>936</v>
      </c>
      <c r="H7"/>
      <c r="I7"/>
    </row>
    <row r="8" spans="1:11" ht="15.75" thickBot="1" x14ac:dyDescent="0.3">
      <c r="A8" s="1115" t="s">
        <v>13</v>
      </c>
      <c r="B8" s="1086" t="s">
        <v>38</v>
      </c>
      <c r="C8" s="147" t="s">
        <v>124</v>
      </c>
      <c r="D8" s="649">
        <v>1238</v>
      </c>
      <c r="E8" s="650">
        <v>4364</v>
      </c>
      <c r="F8" s="651">
        <v>1</v>
      </c>
      <c r="G8" s="652">
        <v>0.62035541195476573</v>
      </c>
      <c r="H8"/>
      <c r="I8"/>
    </row>
    <row r="9" spans="1:11" ht="15.75" thickBot="1" x14ac:dyDescent="0.3">
      <c r="A9" s="1116"/>
      <c r="B9" s="1087" t="s">
        <v>40</v>
      </c>
      <c r="C9" s="147" t="s">
        <v>126</v>
      </c>
      <c r="D9" s="653">
        <v>1343</v>
      </c>
      <c r="E9" s="618">
        <v>5945</v>
      </c>
      <c r="F9" s="619">
        <v>1</v>
      </c>
      <c r="G9" s="620">
        <v>0.99478778853313476</v>
      </c>
      <c r="H9"/>
      <c r="I9"/>
    </row>
    <row r="10" spans="1:11" s="251" customFormat="1" ht="15.75" thickBot="1" x14ac:dyDescent="0.3">
      <c r="A10" s="1116"/>
      <c r="B10" s="648" t="s">
        <v>41</v>
      </c>
      <c r="C10" s="147" t="s">
        <v>127</v>
      </c>
      <c r="D10" s="654">
        <v>617</v>
      </c>
      <c r="E10" s="655">
        <v>2845</v>
      </c>
      <c r="F10" s="656">
        <v>1</v>
      </c>
      <c r="G10" s="657">
        <v>1</v>
      </c>
      <c r="H10"/>
      <c r="I10"/>
    </row>
    <row r="11" spans="1:11" ht="15.75" thickBot="1" x14ac:dyDescent="0.3">
      <c r="A11" s="1117"/>
      <c r="B11" s="1060" t="s">
        <v>991</v>
      </c>
      <c r="C11" s="1060" t="s">
        <v>125</v>
      </c>
      <c r="D11" s="653">
        <v>905</v>
      </c>
      <c r="E11" s="618">
        <v>4079</v>
      </c>
      <c r="F11" s="619">
        <v>1</v>
      </c>
      <c r="G11" s="617">
        <v>1</v>
      </c>
      <c r="H11"/>
      <c r="I11"/>
    </row>
    <row r="12" spans="1:11" ht="15.75" thickBot="1" x14ac:dyDescent="0.3">
      <c r="A12" s="1118" t="s">
        <v>598</v>
      </c>
      <c r="B12" s="1119"/>
      <c r="C12" s="1120"/>
      <c r="D12" s="658">
        <v>4103</v>
      </c>
      <c r="E12" s="659">
        <v>17233</v>
      </c>
      <c r="F12" s="660">
        <v>4</v>
      </c>
      <c r="G12" s="661">
        <v>3.6151432004879007</v>
      </c>
      <c r="H12"/>
      <c r="I12"/>
    </row>
    <row r="13" spans="1:11" ht="15.75" thickBot="1" x14ac:dyDescent="0.3">
      <c r="A13" s="1115" t="s">
        <v>17</v>
      </c>
      <c r="B13" s="1086" t="s">
        <v>59</v>
      </c>
      <c r="C13" s="147" t="s">
        <v>145</v>
      </c>
      <c r="D13" s="653">
        <v>392</v>
      </c>
      <c r="E13" s="618">
        <v>2252</v>
      </c>
      <c r="F13" s="619">
        <v>1</v>
      </c>
      <c r="G13" s="620">
        <v>1</v>
      </c>
      <c r="H13"/>
      <c r="I13"/>
    </row>
    <row r="14" spans="1:11" ht="15.75" thickBot="1" x14ac:dyDescent="0.3">
      <c r="A14" s="1116"/>
      <c r="B14" s="1087" t="s">
        <v>509</v>
      </c>
      <c r="C14" s="147" t="s">
        <v>510</v>
      </c>
      <c r="D14" s="653">
        <v>41</v>
      </c>
      <c r="E14" s="618">
        <v>226</v>
      </c>
      <c r="F14" s="619">
        <v>1</v>
      </c>
      <c r="G14" s="617">
        <v>0</v>
      </c>
      <c r="H14"/>
      <c r="I14"/>
    </row>
    <row r="15" spans="1:11" ht="15.75" thickBot="1" x14ac:dyDescent="0.3">
      <c r="A15" s="1116"/>
      <c r="B15" s="1087" t="s">
        <v>581</v>
      </c>
      <c r="C15" s="147" t="s">
        <v>583</v>
      </c>
      <c r="D15" s="653">
        <v>1028</v>
      </c>
      <c r="E15" s="618">
        <v>4833</v>
      </c>
      <c r="F15" s="619">
        <v>1</v>
      </c>
      <c r="G15" s="620">
        <v>0.98832684824902717</v>
      </c>
      <c r="H15"/>
      <c r="I15"/>
    </row>
    <row r="16" spans="1:11" ht="15.75" thickBot="1" x14ac:dyDescent="0.3">
      <c r="A16" s="1116"/>
      <c r="B16" s="1087" t="s">
        <v>582</v>
      </c>
      <c r="C16" s="147" t="s">
        <v>584</v>
      </c>
      <c r="D16" s="653">
        <v>1340</v>
      </c>
      <c r="E16" s="618">
        <v>7377</v>
      </c>
      <c r="F16" s="619">
        <v>1</v>
      </c>
      <c r="G16" s="620">
        <v>1</v>
      </c>
      <c r="H16"/>
      <c r="I16"/>
      <c r="K16" s="1" t="s">
        <v>724</v>
      </c>
    </row>
    <row r="17" spans="1:9" ht="15.75" thickBot="1" x14ac:dyDescent="0.3">
      <c r="A17" s="1116"/>
      <c r="B17" s="1087" t="s">
        <v>61</v>
      </c>
      <c r="C17" s="147" t="s">
        <v>147</v>
      </c>
      <c r="D17" s="653">
        <v>1983</v>
      </c>
      <c r="E17" s="618">
        <v>11363</v>
      </c>
      <c r="F17" s="619">
        <v>1</v>
      </c>
      <c r="G17" s="620">
        <v>0.98991427130610188</v>
      </c>
      <c r="H17"/>
      <c r="I17"/>
    </row>
    <row r="18" spans="1:9" ht="15.75" thickBot="1" x14ac:dyDescent="0.3">
      <c r="A18" s="1116"/>
      <c r="B18" s="1087" t="s">
        <v>499</v>
      </c>
      <c r="C18" s="147" t="s">
        <v>500</v>
      </c>
      <c r="D18" s="653">
        <v>518</v>
      </c>
      <c r="E18" s="618">
        <v>2951</v>
      </c>
      <c r="F18" s="619">
        <v>1</v>
      </c>
      <c r="G18" s="617">
        <v>0</v>
      </c>
      <c r="H18"/>
      <c r="I18"/>
    </row>
    <row r="19" spans="1:9" ht="15.75" thickBot="1" x14ac:dyDescent="0.3">
      <c r="A19" s="1116"/>
      <c r="B19" s="1087" t="s">
        <v>62</v>
      </c>
      <c r="C19" s="147" t="s">
        <v>148</v>
      </c>
      <c r="D19" s="653">
        <v>799</v>
      </c>
      <c r="E19" s="618">
        <v>4481</v>
      </c>
      <c r="F19" s="619">
        <v>1</v>
      </c>
      <c r="G19" s="620">
        <v>1</v>
      </c>
      <c r="H19"/>
      <c r="I19"/>
    </row>
    <row r="20" spans="1:9" ht="15.75" thickBot="1" x14ac:dyDescent="0.3">
      <c r="A20" s="1116"/>
      <c r="B20" s="1087" t="s">
        <v>580</v>
      </c>
      <c r="C20" s="147" t="s">
        <v>268</v>
      </c>
      <c r="D20" s="653">
        <v>621</v>
      </c>
      <c r="E20" s="618">
        <v>3440</v>
      </c>
      <c r="F20" s="619">
        <v>1</v>
      </c>
      <c r="G20" s="620">
        <v>1</v>
      </c>
      <c r="H20"/>
      <c r="I20"/>
    </row>
    <row r="21" spans="1:9" ht="15.75" thickBot="1" x14ac:dyDescent="0.3">
      <c r="A21" s="1116"/>
      <c r="B21" s="1087" t="s">
        <v>585</v>
      </c>
      <c r="C21" s="147" t="s">
        <v>502</v>
      </c>
      <c r="D21" s="653">
        <v>734</v>
      </c>
      <c r="E21" s="618">
        <v>4007</v>
      </c>
      <c r="F21" s="619">
        <v>1</v>
      </c>
      <c r="G21" s="620">
        <v>0.87193460490463215</v>
      </c>
      <c r="H21"/>
      <c r="I21"/>
    </row>
    <row r="22" spans="1:9" ht="15.75" thickBot="1" x14ac:dyDescent="0.3">
      <c r="A22" s="1116"/>
      <c r="B22" s="1087" t="s">
        <v>586</v>
      </c>
      <c r="C22" s="147" t="s">
        <v>588</v>
      </c>
      <c r="D22" s="653">
        <v>2668</v>
      </c>
      <c r="E22" s="618">
        <v>13794</v>
      </c>
      <c r="F22" s="619">
        <v>1</v>
      </c>
      <c r="G22" s="620">
        <v>1</v>
      </c>
      <c r="H22"/>
      <c r="I22"/>
    </row>
    <row r="23" spans="1:9" ht="15.75" thickBot="1" x14ac:dyDescent="0.3">
      <c r="A23" s="1116"/>
      <c r="B23" s="1087" t="s">
        <v>587</v>
      </c>
      <c r="C23" s="147" t="s">
        <v>589</v>
      </c>
      <c r="D23" s="653">
        <v>2259</v>
      </c>
      <c r="E23" s="618">
        <v>11234</v>
      </c>
      <c r="F23" s="619">
        <v>1</v>
      </c>
      <c r="G23" s="620">
        <v>1</v>
      </c>
      <c r="H23"/>
      <c r="I23"/>
    </row>
    <row r="24" spans="1:9" ht="15.75" thickBot="1" x14ac:dyDescent="0.3">
      <c r="A24" s="1116"/>
      <c r="B24" s="1087" t="s">
        <v>65</v>
      </c>
      <c r="C24" s="147" t="s">
        <v>151</v>
      </c>
      <c r="D24" s="653">
        <v>2692</v>
      </c>
      <c r="E24" s="618">
        <v>13743</v>
      </c>
      <c r="F24" s="619">
        <v>1</v>
      </c>
      <c r="G24" s="620">
        <v>0.99554234769687966</v>
      </c>
      <c r="H24"/>
      <c r="I24"/>
    </row>
    <row r="25" spans="1:9" ht="15.75" thickBot="1" x14ac:dyDescent="0.3">
      <c r="A25" s="1116"/>
      <c r="B25" s="1087" t="s">
        <v>66</v>
      </c>
      <c r="C25" s="147" t="s">
        <v>152</v>
      </c>
      <c r="D25" s="653">
        <v>2270</v>
      </c>
      <c r="E25" s="618">
        <v>13049</v>
      </c>
      <c r="F25" s="619">
        <v>1</v>
      </c>
      <c r="G25" s="620">
        <v>1</v>
      </c>
      <c r="H25"/>
      <c r="I25"/>
    </row>
    <row r="26" spans="1:9" ht="15.75" thickBot="1" x14ac:dyDescent="0.3">
      <c r="A26" s="1116"/>
      <c r="B26" s="1087" t="s">
        <v>68</v>
      </c>
      <c r="C26" s="147" t="s">
        <v>154</v>
      </c>
      <c r="D26" s="653">
        <v>981</v>
      </c>
      <c r="E26" s="618">
        <v>5855</v>
      </c>
      <c r="F26" s="619">
        <v>1</v>
      </c>
      <c r="G26" s="620">
        <v>1</v>
      </c>
      <c r="H26"/>
      <c r="I26"/>
    </row>
    <row r="27" spans="1:9" ht="15.75" thickBot="1" x14ac:dyDescent="0.3">
      <c r="A27" s="1117"/>
      <c r="B27" s="648" t="s">
        <v>497</v>
      </c>
      <c r="C27" s="147" t="s">
        <v>267</v>
      </c>
      <c r="D27" s="654">
        <v>496</v>
      </c>
      <c r="E27" s="655">
        <v>2942</v>
      </c>
      <c r="F27" s="656">
        <v>1</v>
      </c>
      <c r="G27" s="662">
        <v>0</v>
      </c>
      <c r="H27"/>
      <c r="I27"/>
    </row>
    <row r="28" spans="1:9" ht="15.75" thickBot="1" x14ac:dyDescent="0.3">
      <c r="A28" s="1118" t="s">
        <v>596</v>
      </c>
      <c r="B28" s="1119"/>
      <c r="C28" s="1120"/>
      <c r="D28" s="658">
        <v>18822</v>
      </c>
      <c r="E28" s="659">
        <v>101547</v>
      </c>
      <c r="F28" s="660">
        <v>15</v>
      </c>
      <c r="G28" s="661">
        <v>11.845718072156641</v>
      </c>
      <c r="H28"/>
      <c r="I28"/>
    </row>
    <row r="29" spans="1:9" ht="15.75" thickBot="1" x14ac:dyDescent="0.3">
      <c r="A29" s="147" t="s">
        <v>817</v>
      </c>
      <c r="B29" s="147" t="s">
        <v>36</v>
      </c>
      <c r="C29" s="147" t="s">
        <v>122</v>
      </c>
      <c r="D29" s="654">
        <v>687</v>
      </c>
      <c r="E29" s="655">
        <v>2606</v>
      </c>
      <c r="F29" s="656">
        <v>1</v>
      </c>
      <c r="G29" s="657">
        <v>1</v>
      </c>
      <c r="H29"/>
      <c r="I29"/>
    </row>
    <row r="30" spans="1:9" ht="15.75" thickBot="1" x14ac:dyDescent="0.3">
      <c r="A30" s="1118" t="s">
        <v>818</v>
      </c>
      <c r="B30" s="1121"/>
      <c r="C30" s="1122"/>
      <c r="D30" s="658">
        <v>687</v>
      </c>
      <c r="E30" s="659">
        <v>2606</v>
      </c>
      <c r="F30" s="660">
        <v>1</v>
      </c>
      <c r="G30" s="661">
        <v>1</v>
      </c>
      <c r="H30"/>
      <c r="I30"/>
    </row>
    <row r="31" spans="1:9" ht="15.75" thickBot="1" x14ac:dyDescent="0.3">
      <c r="A31" s="1123" t="s">
        <v>204</v>
      </c>
      <c r="B31" s="1124"/>
      <c r="C31" s="1125"/>
      <c r="D31" s="663">
        <v>23612</v>
      </c>
      <c r="E31" s="621">
        <v>121386</v>
      </c>
      <c r="F31" s="622">
        <v>20</v>
      </c>
      <c r="G31" s="623">
        <v>16.460861272644543</v>
      </c>
      <c r="H31"/>
      <c r="I31"/>
    </row>
    <row r="32" spans="1:9" x14ac:dyDescent="0.25">
      <c r="A32" s="669"/>
      <c r="B32" s="669"/>
      <c r="C32" s="669"/>
      <c r="D32" s="669"/>
      <c r="E32" s="669"/>
      <c r="F32" s="669"/>
      <c r="G32" s="669"/>
      <c r="H32"/>
      <c r="I32"/>
    </row>
    <row r="33" spans="1:9" x14ac:dyDescent="0.25">
      <c r="A33" s="669"/>
      <c r="B33" s="669"/>
      <c r="C33" s="669"/>
      <c r="D33" s="669"/>
      <c r="E33" s="669"/>
      <c r="F33" s="669"/>
      <c r="G33" s="669"/>
      <c r="H33"/>
      <c r="I33"/>
    </row>
    <row r="34" spans="1:9" x14ac:dyDescent="0.25">
      <c r="A34" s="669"/>
      <c r="B34" s="669"/>
      <c r="C34" s="669"/>
      <c r="D34" s="669"/>
      <c r="E34" s="669"/>
      <c r="F34" s="669"/>
      <c r="G34" s="669"/>
      <c r="H34"/>
      <c r="I34"/>
    </row>
    <row r="35" spans="1:9" x14ac:dyDescent="0.25">
      <c r="A35" s="669"/>
      <c r="B35" s="669"/>
      <c r="C35" s="669"/>
      <c r="D35" s="669"/>
      <c r="E35" s="669"/>
      <c r="F35" s="669"/>
      <c r="G35" s="669"/>
    </row>
    <row r="36" spans="1:9" x14ac:dyDescent="0.25">
      <c r="A36" s="669"/>
      <c r="B36" s="669"/>
      <c r="C36" s="669"/>
      <c r="D36" s="669"/>
      <c r="E36" s="669"/>
      <c r="F36" s="669"/>
      <c r="G36" s="669"/>
    </row>
    <row r="37" spans="1:9" x14ac:dyDescent="0.25">
      <c r="A37"/>
      <c r="B37"/>
      <c r="C37"/>
      <c r="D37"/>
      <c r="E37"/>
      <c r="F37"/>
      <c r="G37"/>
    </row>
    <row r="38" spans="1:9" ht="15.75" thickBot="1" x14ac:dyDescent="0.3">
      <c r="A38"/>
      <c r="B38"/>
      <c r="C38"/>
      <c r="D38"/>
      <c r="E38"/>
      <c r="F38"/>
      <c r="G38"/>
    </row>
    <row r="39" spans="1:9" ht="15.75" thickBot="1" x14ac:dyDescent="0.3">
      <c r="A39"/>
      <c r="B39"/>
      <c r="C39"/>
      <c r="D39"/>
      <c r="E39"/>
      <c r="F39"/>
      <c r="G39"/>
    </row>
    <row r="40" spans="1:9" ht="15.75" thickBot="1" x14ac:dyDescent="0.3">
      <c r="A40"/>
      <c r="B40"/>
      <c r="C40"/>
      <c r="D40"/>
      <c r="E40"/>
      <c r="F40"/>
      <c r="G40"/>
    </row>
    <row r="41" spans="1:9" ht="15.75" thickBot="1" x14ac:dyDescent="0.3">
      <c r="A41"/>
      <c r="B41"/>
      <c r="C41"/>
      <c r="D41"/>
      <c r="E41"/>
      <c r="F41"/>
      <c r="G41"/>
    </row>
    <row r="42" spans="1:9" ht="15.75" thickBot="1" x14ac:dyDescent="0.3">
      <c r="A42"/>
      <c r="B42"/>
      <c r="C42"/>
      <c r="D42"/>
      <c r="E42"/>
      <c r="F42"/>
      <c r="G42"/>
    </row>
    <row r="43" spans="1:9" ht="15.75" thickBot="1" x14ac:dyDescent="0.3">
      <c r="A43"/>
      <c r="B43"/>
      <c r="C43"/>
      <c r="D43"/>
      <c r="E43"/>
      <c r="F43"/>
      <c r="G43"/>
    </row>
    <row r="44" spans="1:9" ht="15.75" thickBot="1" x14ac:dyDescent="0.3">
      <c r="A44"/>
      <c r="B44"/>
      <c r="C44"/>
      <c r="D44"/>
      <c r="E44"/>
      <c r="F44"/>
      <c r="G44"/>
    </row>
    <row r="45" spans="1:9" ht="15.75" thickBot="1" x14ac:dyDescent="0.3">
      <c r="A45"/>
      <c r="B45"/>
      <c r="C45"/>
      <c r="D45"/>
      <c r="E45"/>
      <c r="F45"/>
      <c r="G45"/>
    </row>
    <row r="46" spans="1:9" ht="15.75" thickBot="1" x14ac:dyDescent="0.3">
      <c r="A46"/>
      <c r="B46"/>
      <c r="C46"/>
      <c r="D46"/>
      <c r="E46"/>
      <c r="F46"/>
      <c r="G46"/>
    </row>
    <row r="47" spans="1:9" ht="15.75" thickBot="1" x14ac:dyDescent="0.3">
      <c r="A47"/>
      <c r="B47"/>
      <c r="C47"/>
      <c r="D47"/>
      <c r="E47"/>
      <c r="F47"/>
      <c r="G47"/>
    </row>
    <row r="48" spans="1:9" ht="15.75" thickBot="1" x14ac:dyDescent="0.3">
      <c r="A48"/>
      <c r="B48"/>
      <c r="C48"/>
      <c r="D48"/>
      <c r="E48"/>
      <c r="F48"/>
      <c r="G48"/>
    </row>
    <row r="49" spans="1:7" x14ac:dyDescent="0.25">
      <c r="A49"/>
      <c r="B49"/>
      <c r="C49"/>
      <c r="D49"/>
      <c r="E49"/>
      <c r="F49"/>
      <c r="G49"/>
    </row>
    <row r="50" spans="1:7" ht="15.75" thickBot="1" x14ac:dyDescent="0.3">
      <c r="A50"/>
      <c r="B50"/>
      <c r="C50"/>
      <c r="D50"/>
      <c r="E50"/>
      <c r="F50"/>
      <c r="G50"/>
    </row>
    <row r="51" spans="1:7" ht="15.75" thickBot="1" x14ac:dyDescent="0.3">
      <c r="A51"/>
      <c r="B51"/>
      <c r="C51"/>
      <c r="D51"/>
      <c r="E51"/>
      <c r="F51"/>
      <c r="G51"/>
    </row>
    <row r="52" spans="1:7" ht="15.75" thickBot="1" x14ac:dyDescent="0.3">
      <c r="A52"/>
      <c r="B52"/>
      <c r="C52"/>
      <c r="D52"/>
      <c r="E52"/>
      <c r="F52"/>
      <c r="G52"/>
    </row>
  </sheetData>
  <mergeCells count="7">
    <mergeCell ref="A1:C1"/>
    <mergeCell ref="A8:A11"/>
    <mergeCell ref="A12:C12"/>
    <mergeCell ref="A13:A27"/>
    <mergeCell ref="A28:C28"/>
    <mergeCell ref="A30:C30"/>
    <mergeCell ref="A31:C31"/>
  </mergeCells>
  <pageMargins left="0.7" right="0.7" top="0.75" bottom="0.75" header="0.3" footer="0.3"/>
  <pageSetup paperSize="9" scale="68"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D217"/>
  <sheetViews>
    <sheetView showZeros="0" zoomScale="85" zoomScaleNormal="85" workbookViewId="0">
      <pane ySplit="1" topLeftCell="A5" activePane="bottomLeft" state="frozen"/>
      <selection activeCell="B14" sqref="B14"/>
      <selection pane="bottomLeft" activeCell="D19" sqref="D19"/>
    </sheetView>
  </sheetViews>
  <sheetFormatPr defaultColWidth="9.140625" defaultRowHeight="15" x14ac:dyDescent="0.25"/>
  <cols>
    <col min="1" max="1" width="13.28515625" style="6" customWidth="1"/>
    <col min="2" max="2" width="16.85546875" style="6" customWidth="1"/>
    <col min="3" max="3" width="12.140625" style="6" customWidth="1"/>
    <col min="4" max="4" width="11.28515625" style="6" customWidth="1"/>
    <col min="5" max="5" width="16" style="6" customWidth="1"/>
    <col min="6" max="7" width="11.28515625" style="6" customWidth="1"/>
    <col min="8" max="8" width="18.5703125" style="6" customWidth="1"/>
    <col min="9" max="9" width="10.7109375" style="6" customWidth="1"/>
    <col min="10" max="11" width="11.28515625" style="6" customWidth="1"/>
    <col min="12" max="12" width="0" style="6" hidden="1" customWidth="1"/>
    <col min="13" max="13" width="19.42578125" style="6" hidden="1" customWidth="1"/>
    <col min="14" max="14" width="20.5703125" style="6" hidden="1" customWidth="1"/>
    <col min="15" max="15" width="0" style="6" hidden="1" customWidth="1"/>
    <col min="16" max="16" width="17.85546875" style="6" bestFit="1" customWidth="1"/>
    <col min="17" max="17" width="9.7109375" style="6" bestFit="1" customWidth="1"/>
    <col min="18" max="18" width="41.140625" style="6" bestFit="1" customWidth="1"/>
    <col min="19" max="19" width="34.28515625" style="6" bestFit="1" customWidth="1"/>
    <col min="20" max="20" width="15" style="6" customWidth="1"/>
    <col min="21" max="21" width="18.140625" style="6" customWidth="1"/>
    <col min="22" max="22" width="23.85546875" style="6" bestFit="1" customWidth="1"/>
    <col min="23" max="23" width="17.140625" style="6" customWidth="1"/>
    <col min="24" max="24" width="41.42578125" style="6" bestFit="1" customWidth="1"/>
    <col min="25" max="25" width="18.28515625" style="6" customWidth="1"/>
    <col min="26" max="26" width="17.140625" style="6" customWidth="1"/>
    <col min="27" max="27" width="17.42578125" style="6" customWidth="1"/>
    <col min="28" max="28" width="10" style="6" bestFit="1" customWidth="1"/>
    <col min="29" max="29" width="25.28515625" style="6" customWidth="1"/>
    <col min="30" max="30" width="24.5703125" style="6" customWidth="1"/>
    <col min="31" max="31" width="20.140625" style="6" customWidth="1"/>
    <col min="32" max="32" width="15" style="6" customWidth="1"/>
    <col min="33" max="33" width="15" style="6" bestFit="1" customWidth="1"/>
    <col min="34" max="34" width="9" style="6" customWidth="1"/>
    <col min="35" max="35" width="10.85546875" style="6" bestFit="1" customWidth="1"/>
    <col min="36" max="36" width="9.85546875" style="6" bestFit="1" customWidth="1"/>
    <col min="37" max="37" width="13.85546875" style="6" bestFit="1" customWidth="1"/>
    <col min="38" max="39" width="7.28515625" style="6" customWidth="1"/>
    <col min="40" max="40" width="11.5703125" style="6" bestFit="1" customWidth="1"/>
    <col min="41" max="16384" width="9.140625" style="6"/>
  </cols>
  <sheetData>
    <row r="1" spans="1:56" s="50" customFormat="1" ht="36" x14ac:dyDescent="0.25">
      <c r="A1" s="157"/>
      <c r="B1" s="158"/>
      <c r="C1" s="158"/>
      <c r="D1" s="158"/>
      <c r="E1" s="158"/>
      <c r="F1" s="158"/>
      <c r="G1" s="158"/>
      <c r="H1" s="158"/>
      <c r="I1" s="158"/>
      <c r="J1" s="174"/>
      <c r="K1" s="6"/>
      <c r="L1" s="6"/>
      <c r="M1" s="6"/>
      <c r="N1" s="6"/>
      <c r="O1" s="6"/>
      <c r="P1" s="6"/>
      <c r="Q1" s="6"/>
      <c r="R1" s="6"/>
      <c r="BC1" s="3"/>
      <c r="BD1" s="3"/>
    </row>
    <row r="2" spans="1:56" s="1" customFormat="1" ht="63.75" customHeight="1" x14ac:dyDescent="0.25">
      <c r="A2" s="175" t="s">
        <v>734</v>
      </c>
      <c r="B2" s="176"/>
      <c r="C2" s="176"/>
      <c r="D2" s="176"/>
      <c r="E2" s="176"/>
      <c r="F2" s="176"/>
      <c r="G2" s="176"/>
      <c r="H2" s="176"/>
      <c r="I2" s="176"/>
      <c r="J2" s="177"/>
      <c r="K2" s="6"/>
      <c r="L2" s="6"/>
      <c r="M2" s="6"/>
      <c r="N2" s="6"/>
      <c r="O2" s="6"/>
      <c r="P2" s="6"/>
      <c r="Q2" s="6"/>
      <c r="R2" s="6"/>
      <c r="BC2" s="57"/>
      <c r="BD2" s="57"/>
    </row>
    <row r="3" spans="1:56" s="16" customFormat="1" ht="24" customHeight="1" x14ac:dyDescent="0.25">
      <c r="A3" s="1128">
        <f>Report_Date</f>
        <v>43190</v>
      </c>
      <c r="B3" s="1128"/>
      <c r="C3" s="6"/>
      <c r="D3" s="6"/>
      <c r="E3" s="6"/>
      <c r="F3" s="6"/>
      <c r="G3" s="6"/>
      <c r="H3" s="6"/>
      <c r="I3" s="6"/>
      <c r="J3" s="6"/>
      <c r="K3" s="6"/>
      <c r="L3" s="6"/>
      <c r="M3" s="6"/>
      <c r="N3" s="6"/>
      <c r="O3" s="6"/>
      <c r="P3" s="6"/>
      <c r="Q3" s="6"/>
      <c r="R3" s="6"/>
      <c r="BC3" s="58"/>
      <c r="BD3" s="58"/>
    </row>
    <row r="4" spans="1:56" s="16" customFormat="1" ht="17.25" customHeight="1" x14ac:dyDescent="0.25">
      <c r="A4" s="643"/>
      <c r="B4" s="643"/>
      <c r="C4" s="38"/>
      <c r="D4" s="38"/>
      <c r="E4" s="38"/>
      <c r="F4" s="38"/>
      <c r="G4" s="38"/>
      <c r="H4" s="38"/>
      <c r="I4" s="38"/>
      <c r="J4" s="38"/>
      <c r="K4" s="38"/>
      <c r="L4" s="38"/>
      <c r="M4" s="38"/>
      <c r="N4" s="38"/>
      <c r="O4" s="38"/>
      <c r="P4" s="38"/>
      <c r="Q4" s="38"/>
      <c r="R4" s="38"/>
      <c r="BC4" s="58"/>
      <c r="BD4" s="58"/>
    </row>
    <row r="5" spans="1:56" s="16" customFormat="1" ht="15.75" x14ac:dyDescent="0.25">
      <c r="A5" s="643" t="s">
        <v>1006</v>
      </c>
      <c r="B5" s="643"/>
      <c r="C5" s="519"/>
      <c r="D5" s="519"/>
      <c r="E5" s="38"/>
      <c r="F5" s="38"/>
      <c r="G5" s="38"/>
      <c r="H5" s="38"/>
      <c r="I5" s="38"/>
      <c r="J5" s="38"/>
      <c r="K5" s="38"/>
      <c r="L5" s="38"/>
      <c r="M5" s="38"/>
      <c r="N5" s="38"/>
      <c r="O5" s="38"/>
      <c r="P5" s="38"/>
      <c r="Q5" s="38"/>
      <c r="R5" s="38"/>
      <c r="BC5" s="58"/>
      <c r="BD5" s="58"/>
    </row>
    <row r="6" spans="1:56" s="16" customFormat="1" ht="15.75" x14ac:dyDescent="0.25">
      <c r="A6" s="644"/>
      <c r="B6" s="643"/>
      <c r="C6" s="38"/>
      <c r="D6" s="38"/>
      <c r="E6" s="38"/>
      <c r="F6" s="38"/>
      <c r="G6" s="38"/>
      <c r="H6" s="38"/>
      <c r="I6" s="38"/>
      <c r="J6" s="38"/>
      <c r="K6" s="38"/>
      <c r="L6" s="38"/>
      <c r="M6" s="38"/>
      <c r="N6" s="38"/>
      <c r="O6" s="38"/>
      <c r="P6" s="38"/>
      <c r="Q6" s="38"/>
      <c r="R6" s="38"/>
      <c r="BC6" s="58"/>
      <c r="BD6" s="58"/>
    </row>
    <row r="7" spans="1:56" x14ac:dyDescent="0.25">
      <c r="A7" s="965" t="s">
        <v>10</v>
      </c>
      <c r="B7" s="965" t="s">
        <v>7</v>
      </c>
      <c r="C7" s="6" t="s">
        <v>209</v>
      </c>
    </row>
    <row r="9" spans="1:56" x14ac:dyDescent="0.25">
      <c r="A9" s="959" t="s">
        <v>203</v>
      </c>
      <c r="B9" s="960" t="s">
        <v>205</v>
      </c>
      <c r="C9" s="960" t="s">
        <v>207</v>
      </c>
      <c r="D9" s="961" t="s">
        <v>206</v>
      </c>
      <c r="M9" s="9" t="s">
        <v>10</v>
      </c>
      <c r="N9" s="6" t="s">
        <v>604</v>
      </c>
      <c r="O9" s="6" t="s">
        <v>209</v>
      </c>
    </row>
    <row r="10" spans="1:56" x14ac:dyDescent="0.25">
      <c r="A10" s="422" t="s">
        <v>332</v>
      </c>
      <c r="B10" s="423">
        <v>52</v>
      </c>
      <c r="C10" s="423"/>
      <c r="D10" s="962"/>
      <c r="T10"/>
      <c r="U10"/>
    </row>
    <row r="11" spans="1:56" x14ac:dyDescent="0.25">
      <c r="A11" s="422" t="s">
        <v>18</v>
      </c>
      <c r="B11" s="423">
        <v>11</v>
      </c>
      <c r="C11" s="423"/>
      <c r="D11" s="962"/>
      <c r="M11" s="9" t="s">
        <v>203</v>
      </c>
      <c r="N11" s="6" t="s">
        <v>206</v>
      </c>
      <c r="O11"/>
      <c r="T11"/>
      <c r="U11"/>
    </row>
    <row r="12" spans="1:56" x14ac:dyDescent="0.25">
      <c r="A12" s="422" t="s">
        <v>11</v>
      </c>
      <c r="B12" s="423">
        <v>2</v>
      </c>
      <c r="C12" s="423"/>
      <c r="D12" s="962"/>
      <c r="M12" s="7" t="s">
        <v>17</v>
      </c>
      <c r="N12" s="8">
        <v>106145</v>
      </c>
      <c r="O12"/>
      <c r="T12"/>
      <c r="U12"/>
    </row>
    <row r="13" spans="1:56" x14ac:dyDescent="0.25">
      <c r="A13" s="422" t="s">
        <v>13</v>
      </c>
      <c r="B13" s="423">
        <v>1</v>
      </c>
      <c r="C13" s="423"/>
      <c r="D13" s="962"/>
      <c r="M13" s="7" t="s">
        <v>13</v>
      </c>
      <c r="N13" s="8">
        <v>21947</v>
      </c>
      <c r="O13"/>
      <c r="T13"/>
      <c r="U13"/>
    </row>
    <row r="14" spans="1:56" x14ac:dyDescent="0.25">
      <c r="A14" s="422" t="s">
        <v>16</v>
      </c>
      <c r="B14" s="423">
        <v>2</v>
      </c>
      <c r="C14" s="423"/>
      <c r="D14" s="962"/>
      <c r="M14" s="7" t="s">
        <v>14</v>
      </c>
      <c r="N14" s="8">
        <v>6527</v>
      </c>
      <c r="O14"/>
      <c r="T14"/>
      <c r="U14"/>
    </row>
    <row r="15" spans="1:56" x14ac:dyDescent="0.25">
      <c r="A15" s="422" t="s">
        <v>17</v>
      </c>
      <c r="B15" s="423">
        <v>35</v>
      </c>
      <c r="C15" s="423"/>
      <c r="D15" s="962"/>
      <c r="M15" s="7" t="s">
        <v>11</v>
      </c>
      <c r="N15" s="8">
        <v>5638</v>
      </c>
      <c r="O15"/>
      <c r="T15"/>
      <c r="U15"/>
    </row>
    <row r="16" spans="1:56" x14ac:dyDescent="0.25">
      <c r="A16" s="422" t="s">
        <v>941</v>
      </c>
      <c r="B16" s="423">
        <v>1</v>
      </c>
      <c r="C16" s="423"/>
      <c r="D16" s="962"/>
      <c r="M16" s="7" t="s">
        <v>941</v>
      </c>
      <c r="N16" s="8">
        <v>3826</v>
      </c>
      <c r="O16"/>
      <c r="T16"/>
      <c r="U16"/>
    </row>
    <row r="17" spans="1:21" x14ac:dyDescent="0.25">
      <c r="A17" s="422" t="s">
        <v>331</v>
      </c>
      <c r="B17" s="423">
        <v>23</v>
      </c>
      <c r="C17" s="423">
        <v>25122</v>
      </c>
      <c r="D17" s="962">
        <v>127574</v>
      </c>
      <c r="M17" s="7" t="s">
        <v>817</v>
      </c>
      <c r="N17" s="8">
        <v>2810</v>
      </c>
      <c r="O17"/>
      <c r="T17"/>
      <c r="U17"/>
    </row>
    <row r="18" spans="1:21" x14ac:dyDescent="0.25">
      <c r="A18" s="422" t="s">
        <v>14</v>
      </c>
      <c r="B18" s="423">
        <v>1</v>
      </c>
      <c r="C18" s="423">
        <v>85</v>
      </c>
      <c r="D18" s="962">
        <v>546</v>
      </c>
      <c r="M18" s="7" t="s">
        <v>561</v>
      </c>
      <c r="N18" s="8">
        <v>1377</v>
      </c>
      <c r="O18"/>
      <c r="T18"/>
      <c r="U18"/>
    </row>
    <row r="19" spans="1:21" x14ac:dyDescent="0.25">
      <c r="A19" s="422" t="s">
        <v>13</v>
      </c>
      <c r="B19" s="423">
        <v>5</v>
      </c>
      <c r="C19" s="423">
        <v>5113</v>
      </c>
      <c r="D19" s="962">
        <v>21825</v>
      </c>
      <c r="M19" s="7" t="s">
        <v>15</v>
      </c>
      <c r="N19" s="8">
        <v>489</v>
      </c>
      <c r="O19"/>
      <c r="T19"/>
      <c r="U19"/>
    </row>
    <row r="20" spans="1:21" x14ac:dyDescent="0.25">
      <c r="A20" s="422" t="s">
        <v>17</v>
      </c>
      <c r="B20" s="423">
        <v>15</v>
      </c>
      <c r="C20" s="423">
        <v>18822</v>
      </c>
      <c r="D20" s="962">
        <v>101547</v>
      </c>
      <c r="M20" s="7" t="s">
        <v>18</v>
      </c>
      <c r="N20" s="8">
        <v>109</v>
      </c>
      <c r="O20"/>
      <c r="T20"/>
      <c r="U20"/>
    </row>
    <row r="21" spans="1:21" x14ac:dyDescent="0.25">
      <c r="A21" s="422" t="s">
        <v>817</v>
      </c>
      <c r="B21" s="423">
        <v>1</v>
      </c>
      <c r="C21" s="423">
        <v>687</v>
      </c>
      <c r="D21" s="962">
        <v>2606</v>
      </c>
      <c r="M21" s="7" t="s">
        <v>938</v>
      </c>
      <c r="N21" s="8"/>
      <c r="O21"/>
      <c r="T21"/>
      <c r="U21"/>
    </row>
    <row r="22" spans="1:21" x14ac:dyDescent="0.25">
      <c r="A22" s="422" t="s">
        <v>561</v>
      </c>
      <c r="B22" s="423">
        <v>1</v>
      </c>
      <c r="C22" s="423">
        <v>415</v>
      </c>
      <c r="D22" s="962">
        <v>1050</v>
      </c>
      <c r="M22" s="7" t="s">
        <v>16</v>
      </c>
      <c r="N22" s="8"/>
      <c r="O22"/>
      <c r="T22"/>
      <c r="U22"/>
    </row>
    <row r="23" spans="1:21" x14ac:dyDescent="0.25">
      <c r="A23" s="422" t="s">
        <v>943</v>
      </c>
      <c r="B23" s="423">
        <v>10</v>
      </c>
      <c r="C23" s="423">
        <v>1157</v>
      </c>
      <c r="D23" s="962">
        <v>6003</v>
      </c>
      <c r="M23" s="10" t="s">
        <v>204</v>
      </c>
      <c r="N23" s="11">
        <v>148868</v>
      </c>
      <c r="O23"/>
      <c r="T23"/>
      <c r="U23"/>
    </row>
    <row r="24" spans="1:21" x14ac:dyDescent="0.25">
      <c r="A24" s="422" t="s">
        <v>14</v>
      </c>
      <c r="B24" s="423">
        <v>1</v>
      </c>
      <c r="C24" s="423">
        <v>97</v>
      </c>
      <c r="D24" s="962">
        <v>557</v>
      </c>
      <c r="M24"/>
      <c r="N24"/>
      <c r="O24"/>
      <c r="T24"/>
      <c r="U24"/>
    </row>
    <row r="25" spans="1:21" x14ac:dyDescent="0.25">
      <c r="A25" s="422" t="s">
        <v>13</v>
      </c>
      <c r="B25" s="423">
        <v>1</v>
      </c>
      <c r="C25" s="423">
        <v>21</v>
      </c>
      <c r="D25" s="962">
        <v>122</v>
      </c>
      <c r="M25"/>
      <c r="N25"/>
      <c r="O25"/>
      <c r="T25"/>
      <c r="U25"/>
    </row>
    <row r="26" spans="1:21" x14ac:dyDescent="0.25">
      <c r="A26" s="422" t="s">
        <v>17</v>
      </c>
      <c r="B26" s="423">
        <v>4</v>
      </c>
      <c r="C26" s="423">
        <v>892</v>
      </c>
      <c r="D26" s="962">
        <v>4598</v>
      </c>
      <c r="M26"/>
      <c r="N26"/>
      <c r="O26"/>
      <c r="T26"/>
      <c r="U26"/>
    </row>
    <row r="27" spans="1:21" x14ac:dyDescent="0.25">
      <c r="A27" s="422" t="s">
        <v>817</v>
      </c>
      <c r="B27" s="423">
        <v>1</v>
      </c>
      <c r="C27" s="423">
        <v>40</v>
      </c>
      <c r="D27" s="962">
        <v>204</v>
      </c>
      <c r="M27"/>
      <c r="N27"/>
      <c r="T27"/>
      <c r="U27"/>
    </row>
    <row r="28" spans="1:21" x14ac:dyDescent="0.25">
      <c r="A28" s="422" t="s">
        <v>561</v>
      </c>
      <c r="B28" s="423">
        <v>1</v>
      </c>
      <c r="C28" s="423">
        <v>65</v>
      </c>
      <c r="D28" s="962">
        <v>327</v>
      </c>
      <c r="M28"/>
      <c r="N28"/>
      <c r="T28"/>
      <c r="U28"/>
    </row>
    <row r="29" spans="1:21" x14ac:dyDescent="0.25">
      <c r="A29" s="422" t="s">
        <v>941</v>
      </c>
      <c r="B29" s="423">
        <v>2</v>
      </c>
      <c r="C29" s="423">
        <v>42</v>
      </c>
      <c r="D29" s="962">
        <v>195</v>
      </c>
      <c r="T29"/>
      <c r="U29"/>
    </row>
    <row r="30" spans="1:21" x14ac:dyDescent="0.25">
      <c r="A30" s="422" t="s">
        <v>944</v>
      </c>
      <c r="B30" s="423">
        <v>21</v>
      </c>
      <c r="C30" s="423">
        <v>2417</v>
      </c>
      <c r="D30" s="962">
        <v>15291</v>
      </c>
      <c r="T30"/>
      <c r="U30"/>
    </row>
    <row r="31" spans="1:21" x14ac:dyDescent="0.25">
      <c r="A31" s="422" t="s">
        <v>14</v>
      </c>
      <c r="B31" s="423">
        <v>9</v>
      </c>
      <c r="C31" s="423">
        <v>827</v>
      </c>
      <c r="D31" s="962">
        <v>5424</v>
      </c>
      <c r="T31"/>
      <c r="U31"/>
    </row>
    <row r="32" spans="1:21" x14ac:dyDescent="0.25">
      <c r="A32" s="422" t="s">
        <v>18</v>
      </c>
      <c r="B32" s="423">
        <v>1</v>
      </c>
      <c r="C32" s="423">
        <v>17</v>
      </c>
      <c r="D32" s="962">
        <v>109</v>
      </c>
      <c r="T32"/>
      <c r="U32"/>
    </row>
    <row r="33" spans="1:21" x14ac:dyDescent="0.25">
      <c r="A33" s="422" t="s">
        <v>11</v>
      </c>
      <c r="B33" s="423">
        <v>7</v>
      </c>
      <c r="C33" s="423">
        <v>916</v>
      </c>
      <c r="D33" s="962">
        <v>5638</v>
      </c>
      <c r="T33"/>
      <c r="U33"/>
    </row>
    <row r="34" spans="1:21" x14ac:dyDescent="0.25">
      <c r="A34" s="422" t="s">
        <v>15</v>
      </c>
      <c r="B34" s="423">
        <v>2</v>
      </c>
      <c r="C34" s="423">
        <v>88</v>
      </c>
      <c r="D34" s="962">
        <v>489</v>
      </c>
      <c r="T34"/>
      <c r="U34"/>
    </row>
    <row r="35" spans="1:21" x14ac:dyDescent="0.25">
      <c r="A35" s="422" t="s">
        <v>941</v>
      </c>
      <c r="B35" s="423">
        <v>2</v>
      </c>
      <c r="C35" s="423">
        <v>569</v>
      </c>
      <c r="D35" s="962">
        <v>3631</v>
      </c>
      <c r="T35" s="78"/>
      <c r="U35" s="78"/>
    </row>
    <row r="36" spans="1:21" x14ac:dyDescent="0.25">
      <c r="A36" s="963" t="s">
        <v>204</v>
      </c>
      <c r="B36" s="424">
        <v>106</v>
      </c>
      <c r="C36" s="424">
        <v>28696</v>
      </c>
      <c r="D36" s="964">
        <v>148868</v>
      </c>
      <c r="T36"/>
      <c r="U36"/>
    </row>
    <row r="37" spans="1:21" x14ac:dyDescent="0.25">
      <c r="A37"/>
      <c r="B37"/>
      <c r="C37"/>
      <c r="D37"/>
      <c r="T37" s="78"/>
      <c r="U37" s="78"/>
    </row>
    <row r="38" spans="1:21" x14ac:dyDescent="0.25">
      <c r="A38"/>
      <c r="B38"/>
      <c r="C38"/>
      <c r="D38"/>
      <c r="T38" s="78"/>
      <c r="U38" s="78"/>
    </row>
    <row r="39" spans="1:21" x14ac:dyDescent="0.25">
      <c r="A39"/>
      <c r="B39"/>
      <c r="C39"/>
      <c r="D39"/>
      <c r="T39" s="78"/>
      <c r="U39" s="78"/>
    </row>
    <row r="40" spans="1:21" x14ac:dyDescent="0.25">
      <c r="A40" s="422"/>
      <c r="B40" s="423"/>
      <c r="C40" s="423"/>
      <c r="D40" s="423"/>
      <c r="T40" s="78"/>
      <c r="U40" s="78"/>
    </row>
    <row r="41" spans="1:21" x14ac:dyDescent="0.25">
      <c r="A41" s="423"/>
      <c r="B41" s="423"/>
      <c r="C41" s="423"/>
      <c r="D41" s="423"/>
      <c r="T41" s="78"/>
      <c r="U41" s="78"/>
    </row>
    <row r="42" spans="1:21" ht="15.75" x14ac:dyDescent="0.25">
      <c r="A42" s="681" t="s">
        <v>1007</v>
      </c>
      <c r="B42" s="424"/>
      <c r="C42" s="423"/>
      <c r="D42" s="423"/>
      <c r="T42" s="78"/>
      <c r="U42" s="78"/>
    </row>
    <row r="43" spans="1:21" x14ac:dyDescent="0.25">
      <c r="A43" s="329" t="s">
        <v>329</v>
      </c>
      <c r="B43" s="329" t="s">
        <v>331</v>
      </c>
      <c r="E43"/>
      <c r="T43" s="78"/>
      <c r="U43" s="78"/>
    </row>
    <row r="44" spans="1:21" x14ac:dyDescent="0.25">
      <c r="A44"/>
      <c r="B44"/>
      <c r="C44"/>
      <c r="E44" s="1"/>
      <c r="T44"/>
      <c r="U44"/>
    </row>
    <row r="45" spans="1:21" x14ac:dyDescent="0.25">
      <c r="A45" s="171"/>
      <c r="B45" s="331" t="s">
        <v>616</v>
      </c>
      <c r="C45" s="172"/>
      <c r="D45" s="173"/>
      <c r="E45"/>
      <c r="T45"/>
      <c r="U45"/>
    </row>
    <row r="46" spans="1:21" x14ac:dyDescent="0.25">
      <c r="A46" s="146"/>
      <c r="B46" s="1" t="s">
        <v>612</v>
      </c>
      <c r="C46" s="1" t="s">
        <v>613</v>
      </c>
      <c r="D46" s="153" t="s">
        <v>204</v>
      </c>
      <c r="E46"/>
      <c r="T46"/>
      <c r="U46"/>
    </row>
    <row r="47" spans="1:21" x14ac:dyDescent="0.25">
      <c r="A47" s="155" t="s">
        <v>674</v>
      </c>
      <c r="B47" s="233">
        <v>117253</v>
      </c>
      <c r="C47" s="233">
        <v>10321</v>
      </c>
      <c r="D47" s="327">
        <v>127574</v>
      </c>
      <c r="E47"/>
      <c r="L47"/>
      <c r="M47"/>
      <c r="T47"/>
      <c r="U47"/>
    </row>
    <row r="48" spans="1:21" ht="15.75" x14ac:dyDescent="0.25">
      <c r="G48" s="679" t="s">
        <v>965</v>
      </c>
      <c r="L48"/>
      <c r="M48"/>
      <c r="T48"/>
      <c r="U48"/>
    </row>
    <row r="49" spans="1:21" ht="15.75" x14ac:dyDescent="0.25">
      <c r="A49" s="680" t="s">
        <v>1008</v>
      </c>
      <c r="G49" s="332" t="s">
        <v>329</v>
      </c>
      <c r="H49" s="167" t="s">
        <v>331</v>
      </c>
      <c r="L49"/>
      <c r="M49"/>
      <c r="T49"/>
      <c r="U49"/>
    </row>
    <row r="50" spans="1:21" x14ac:dyDescent="0.25">
      <c r="A50" s="170" t="s">
        <v>329</v>
      </c>
      <c r="B50" s="670" t="s">
        <v>331</v>
      </c>
      <c r="G50" s="78"/>
      <c r="H50" s="78"/>
      <c r="L50"/>
      <c r="M50"/>
      <c r="T50"/>
      <c r="U50"/>
    </row>
    <row r="51" spans="1:21" x14ac:dyDescent="0.25">
      <c r="A51" s="78"/>
      <c r="B51" s="78"/>
      <c r="C51"/>
      <c r="G51" s="333" t="s">
        <v>491</v>
      </c>
      <c r="H51" s="331" t="s">
        <v>616</v>
      </c>
      <c r="I51" s="172"/>
      <c r="J51" s="173"/>
      <c r="L51"/>
      <c r="M51"/>
      <c r="T51"/>
      <c r="U51"/>
    </row>
    <row r="52" spans="1:21" x14ac:dyDescent="0.25">
      <c r="A52" s="171"/>
      <c r="B52" s="331" t="s">
        <v>616</v>
      </c>
      <c r="C52" s="172"/>
      <c r="D52" s="173"/>
      <c r="E52"/>
      <c r="F52"/>
      <c r="G52" s="334" t="s">
        <v>203</v>
      </c>
      <c r="H52" s="1" t="s">
        <v>612</v>
      </c>
      <c r="I52" s="1" t="s">
        <v>613</v>
      </c>
      <c r="J52" s="153" t="s">
        <v>204</v>
      </c>
      <c r="L52"/>
      <c r="T52"/>
      <c r="U52"/>
    </row>
    <row r="53" spans="1:21" x14ac:dyDescent="0.25">
      <c r="A53" s="146"/>
      <c r="B53" s="1" t="s">
        <v>717</v>
      </c>
      <c r="C53" s="1" t="s">
        <v>934</v>
      </c>
      <c r="D53" s="153" t="s">
        <v>204</v>
      </c>
      <c r="E53"/>
      <c r="F53"/>
      <c r="G53" s="335" t="s">
        <v>273</v>
      </c>
      <c r="H53" s="46">
        <v>63907</v>
      </c>
      <c r="I53" s="46"/>
      <c r="J53" s="336">
        <v>63907</v>
      </c>
      <c r="L53"/>
      <c r="T53"/>
      <c r="U53"/>
    </row>
    <row r="54" spans="1:21" x14ac:dyDescent="0.25">
      <c r="A54" s="155" t="s">
        <v>491</v>
      </c>
      <c r="B54" s="233">
        <v>2845</v>
      </c>
      <c r="C54" s="233">
        <v>124729</v>
      </c>
      <c r="D54" s="327">
        <v>127574</v>
      </c>
      <c r="E54"/>
      <c r="F54"/>
      <c r="G54" s="335" t="s">
        <v>575</v>
      </c>
      <c r="H54" s="46">
        <v>44051</v>
      </c>
      <c r="I54" s="46"/>
      <c r="J54" s="336">
        <v>44051</v>
      </c>
      <c r="L54"/>
      <c r="T54"/>
      <c r="U54"/>
    </row>
    <row r="55" spans="1:21" x14ac:dyDescent="0.25">
      <c r="G55" s="335" t="s">
        <v>913</v>
      </c>
      <c r="H55" s="46">
        <v>9295</v>
      </c>
      <c r="I55" s="46"/>
      <c r="J55" s="336">
        <v>9295</v>
      </c>
      <c r="T55"/>
      <c r="U55"/>
    </row>
    <row r="56" spans="1:21" x14ac:dyDescent="0.25">
      <c r="G56" s="335" t="s">
        <v>270</v>
      </c>
      <c r="H56" s="46"/>
      <c r="I56" s="46">
        <v>7715</v>
      </c>
      <c r="J56" s="336">
        <v>7715</v>
      </c>
      <c r="T56"/>
      <c r="U56"/>
    </row>
    <row r="57" spans="1:21" x14ac:dyDescent="0.25">
      <c r="G57" s="335" t="s">
        <v>658</v>
      </c>
      <c r="H57" s="46"/>
      <c r="I57" s="46">
        <v>2606</v>
      </c>
      <c r="J57" s="336">
        <v>2606</v>
      </c>
      <c r="T57"/>
      <c r="U57"/>
    </row>
    <row r="58" spans="1:21" customFormat="1" x14ac:dyDescent="0.25">
      <c r="A58" s="6"/>
      <c r="B58" s="6"/>
      <c r="C58" s="6"/>
      <c r="D58" s="6"/>
      <c r="E58" s="6"/>
      <c r="F58" s="6"/>
      <c r="G58" s="337" t="s">
        <v>204</v>
      </c>
      <c r="H58" s="233">
        <v>117253</v>
      </c>
      <c r="I58" s="233">
        <v>10321</v>
      </c>
      <c r="J58" s="327">
        <v>127574</v>
      </c>
      <c r="K58" s="6"/>
      <c r="L58" s="6"/>
      <c r="M58" s="6"/>
      <c r="N58" s="6"/>
      <c r="O58" s="6"/>
      <c r="P58" s="6"/>
      <c r="Q58" s="6"/>
      <c r="R58" s="6"/>
    </row>
    <row r="59" spans="1:21" customFormat="1" x14ac:dyDescent="0.25">
      <c r="A59" s="6"/>
      <c r="B59" s="6"/>
      <c r="C59" s="6"/>
      <c r="D59" s="6"/>
      <c r="E59" s="6"/>
      <c r="F59" s="6"/>
      <c r="G59" s="6"/>
      <c r="H59" s="6"/>
      <c r="I59" s="6"/>
      <c r="J59" s="6"/>
      <c r="K59" s="6"/>
      <c r="L59" s="6"/>
      <c r="M59" s="6"/>
      <c r="N59" s="6"/>
      <c r="O59" s="6"/>
      <c r="P59" s="6"/>
      <c r="Q59" s="6"/>
      <c r="R59" s="6"/>
    </row>
    <row r="60" spans="1:21" customFormat="1" ht="15.75" x14ac:dyDescent="0.25">
      <c r="A60" s="679" t="s">
        <v>940</v>
      </c>
      <c r="B60" s="6"/>
      <c r="C60" s="6"/>
      <c r="D60" s="6"/>
      <c r="E60" s="6"/>
      <c r="F60" s="6"/>
      <c r="G60" s="6"/>
      <c r="H60" s="6"/>
      <c r="I60" s="6"/>
      <c r="J60" s="6"/>
      <c r="K60" s="6"/>
      <c r="L60" s="6"/>
      <c r="M60" s="6"/>
      <c r="N60" s="6"/>
      <c r="O60" s="6"/>
      <c r="P60" s="6"/>
      <c r="Q60" s="6"/>
      <c r="R60" s="6"/>
    </row>
    <row r="61" spans="1:21" customFormat="1" x14ac:dyDescent="0.25">
      <c r="A61" s="6"/>
      <c r="B61" s="6"/>
      <c r="C61" s="6"/>
      <c r="D61" s="6"/>
      <c r="E61" s="6"/>
      <c r="F61" s="6"/>
      <c r="G61" s="6"/>
      <c r="H61" s="6"/>
      <c r="I61" s="6"/>
      <c r="J61" s="6"/>
      <c r="K61" s="6"/>
      <c r="L61" s="6"/>
      <c r="M61" s="6"/>
      <c r="N61" s="6"/>
      <c r="O61" s="6"/>
      <c r="P61" s="6"/>
      <c r="Q61" s="6"/>
      <c r="R61" s="6"/>
    </row>
    <row r="62" spans="1:21" customFormat="1" x14ac:dyDescent="0.25">
      <c r="A62" s="170" t="s">
        <v>329</v>
      </c>
      <c r="B62" s="670" t="s">
        <v>331</v>
      </c>
      <c r="C62" s="6"/>
      <c r="D62" s="6"/>
      <c r="E62" s="6"/>
      <c r="F62" s="6"/>
      <c r="G62" s="6"/>
      <c r="H62" s="6"/>
      <c r="I62" s="6"/>
      <c r="J62" s="6"/>
      <c r="K62" s="6"/>
      <c r="L62" s="6"/>
      <c r="M62" s="6"/>
      <c r="N62" s="6"/>
      <c r="O62" s="6"/>
      <c r="P62" s="6"/>
      <c r="Q62" s="6"/>
      <c r="R62" s="6"/>
    </row>
    <row r="63" spans="1:21" customFormat="1" x14ac:dyDescent="0.25">
      <c r="A63" s="170" t="s">
        <v>22</v>
      </c>
      <c r="B63" s="670" t="s">
        <v>718</v>
      </c>
      <c r="C63" s="6"/>
      <c r="D63" s="6"/>
      <c r="E63" s="6"/>
      <c r="F63" s="6"/>
      <c r="G63" s="6"/>
      <c r="H63" s="6"/>
      <c r="I63" s="6"/>
      <c r="J63" s="6"/>
      <c r="K63" s="6"/>
      <c r="L63" s="6"/>
      <c r="M63" s="6"/>
      <c r="N63" s="6"/>
      <c r="O63" s="6"/>
      <c r="P63" s="6"/>
      <c r="Q63" s="6"/>
      <c r="R63" s="6"/>
    </row>
    <row r="64" spans="1:21" customFormat="1" x14ac:dyDescent="0.25">
      <c r="C64" s="6"/>
      <c r="D64" s="6"/>
      <c r="E64" s="6"/>
      <c r="F64" s="6"/>
      <c r="G64" s="6"/>
      <c r="H64" s="6"/>
      <c r="I64" s="6"/>
      <c r="J64" s="6"/>
      <c r="K64" s="6"/>
      <c r="L64" s="6"/>
      <c r="M64" s="6"/>
      <c r="N64" s="6"/>
      <c r="O64" s="6"/>
      <c r="P64" s="6"/>
      <c r="Q64" s="6"/>
      <c r="R64" s="6"/>
    </row>
    <row r="65" spans="1:33" customFormat="1" x14ac:dyDescent="0.25">
      <c r="A65" s="333" t="s">
        <v>491</v>
      </c>
      <c r="B65" s="331" t="s">
        <v>616</v>
      </c>
      <c r="C65" s="172"/>
      <c r="D65" s="173"/>
      <c r="G65" s="6"/>
      <c r="H65" s="6"/>
      <c r="I65" s="6"/>
      <c r="J65" s="6"/>
      <c r="K65" s="6"/>
      <c r="L65" s="6"/>
      <c r="M65" s="6"/>
      <c r="N65" s="6"/>
      <c r="O65" s="6"/>
      <c r="P65" s="6"/>
      <c r="Q65" s="6"/>
      <c r="R65" s="6"/>
    </row>
    <row r="66" spans="1:33" customFormat="1" x14ac:dyDescent="0.25">
      <c r="A66" s="334" t="s">
        <v>203</v>
      </c>
      <c r="B66" s="1" t="s">
        <v>717</v>
      </c>
      <c r="C66" s="1" t="s">
        <v>934</v>
      </c>
      <c r="D66" s="153" t="s">
        <v>204</v>
      </c>
      <c r="G66" s="6"/>
      <c r="H66" s="6"/>
      <c r="I66" s="6"/>
      <c r="J66" s="6"/>
      <c r="K66" s="6"/>
      <c r="L66" s="6"/>
      <c r="M66" s="6"/>
      <c r="N66" s="6"/>
      <c r="O66" s="6"/>
      <c r="P66" s="6"/>
      <c r="Q66" s="6"/>
      <c r="R66" s="6"/>
    </row>
    <row r="67" spans="1:33" x14ac:dyDescent="0.25">
      <c r="A67" s="335" t="s">
        <v>13</v>
      </c>
      <c r="B67" s="671">
        <v>2845</v>
      </c>
      <c r="C67" s="671">
        <v>14388</v>
      </c>
      <c r="D67" s="340">
        <v>17233</v>
      </c>
      <c r="E67"/>
      <c r="F67"/>
      <c r="S67"/>
      <c r="T67" s="78"/>
      <c r="U67"/>
      <c r="V67"/>
      <c r="W67"/>
      <c r="X67"/>
      <c r="Y67"/>
      <c r="Z67"/>
      <c r="AA67"/>
      <c r="AB67"/>
      <c r="AC67"/>
      <c r="AD67"/>
      <c r="AE67"/>
      <c r="AF67"/>
      <c r="AG67"/>
    </row>
    <row r="68" spans="1:33" x14ac:dyDescent="0.25">
      <c r="A68" s="341" t="s">
        <v>38</v>
      </c>
      <c r="B68" s="671"/>
      <c r="C68" s="671">
        <v>4364</v>
      </c>
      <c r="D68" s="340">
        <v>4364</v>
      </c>
      <c r="E68"/>
      <c r="F68"/>
      <c r="S68" s="4"/>
      <c r="T68" s="4"/>
      <c r="U68"/>
    </row>
    <row r="69" spans="1:33" x14ac:dyDescent="0.25">
      <c r="A69" s="341" t="s">
        <v>40</v>
      </c>
      <c r="B69" s="671"/>
      <c r="C69" s="671">
        <v>5945</v>
      </c>
      <c r="D69" s="340">
        <v>5945</v>
      </c>
      <c r="E69"/>
      <c r="F69"/>
      <c r="T69"/>
      <c r="U69"/>
    </row>
    <row r="70" spans="1:33" x14ac:dyDescent="0.25">
      <c r="A70" s="341" t="s">
        <v>41</v>
      </c>
      <c r="B70" s="671">
        <v>2845</v>
      </c>
      <c r="C70" s="671"/>
      <c r="D70" s="340">
        <v>2845</v>
      </c>
      <c r="E70"/>
      <c r="F70"/>
      <c r="T70"/>
      <c r="U70"/>
    </row>
    <row r="71" spans="1:33" x14ac:dyDescent="0.25">
      <c r="A71" s="341" t="s">
        <v>991</v>
      </c>
      <c r="B71" s="671"/>
      <c r="C71" s="671">
        <v>4079</v>
      </c>
      <c r="D71" s="340">
        <v>4079</v>
      </c>
      <c r="E71"/>
      <c r="F71"/>
      <c r="T71"/>
      <c r="U71"/>
    </row>
    <row r="72" spans="1:33" x14ac:dyDescent="0.25">
      <c r="A72" s="335" t="s">
        <v>17</v>
      </c>
      <c r="B72" s="671"/>
      <c r="C72" s="671">
        <v>95428</v>
      </c>
      <c r="D72" s="340">
        <v>95428</v>
      </c>
      <c r="E72"/>
      <c r="F72"/>
      <c r="T72"/>
      <c r="U72"/>
    </row>
    <row r="73" spans="1:33" x14ac:dyDescent="0.25">
      <c r="A73" s="341" t="s">
        <v>59</v>
      </c>
      <c r="B73" s="671"/>
      <c r="C73" s="671">
        <v>2252</v>
      </c>
      <c r="D73" s="340">
        <v>2252</v>
      </c>
      <c r="E73"/>
      <c r="F73"/>
      <c r="T73"/>
      <c r="U73"/>
    </row>
    <row r="74" spans="1:33" x14ac:dyDescent="0.25">
      <c r="A74" s="341" t="s">
        <v>581</v>
      </c>
      <c r="B74" s="671"/>
      <c r="C74" s="671">
        <v>4833</v>
      </c>
      <c r="D74" s="340">
        <v>4833</v>
      </c>
      <c r="E74"/>
      <c r="F74"/>
      <c r="T74"/>
      <c r="U74"/>
    </row>
    <row r="75" spans="1:33" x14ac:dyDescent="0.25">
      <c r="A75" s="341" t="s">
        <v>582</v>
      </c>
      <c r="B75" s="671"/>
      <c r="C75" s="671">
        <v>7377</v>
      </c>
      <c r="D75" s="340">
        <v>7377</v>
      </c>
      <c r="E75"/>
      <c r="F75"/>
      <c r="T75"/>
      <c r="U75"/>
    </row>
    <row r="76" spans="1:33" x14ac:dyDescent="0.25">
      <c r="A76" s="341" t="s">
        <v>61</v>
      </c>
      <c r="B76" s="671"/>
      <c r="C76" s="671">
        <v>11363</v>
      </c>
      <c r="D76" s="340">
        <v>11363</v>
      </c>
      <c r="E76"/>
      <c r="F76"/>
      <c r="T76"/>
      <c r="U76"/>
    </row>
    <row r="77" spans="1:33" x14ac:dyDescent="0.25">
      <c r="A77" s="341" t="s">
        <v>62</v>
      </c>
      <c r="B77" s="671"/>
      <c r="C77" s="671">
        <v>4481</v>
      </c>
      <c r="D77" s="340">
        <v>4481</v>
      </c>
      <c r="E77"/>
      <c r="F77"/>
      <c r="T77"/>
      <c r="U77"/>
    </row>
    <row r="78" spans="1:33" x14ac:dyDescent="0.25">
      <c r="A78" s="341" t="s">
        <v>580</v>
      </c>
      <c r="B78" s="671"/>
      <c r="C78" s="671">
        <v>3440</v>
      </c>
      <c r="D78" s="340">
        <v>3440</v>
      </c>
      <c r="E78"/>
      <c r="F78"/>
      <c r="T78"/>
      <c r="U78"/>
    </row>
    <row r="79" spans="1:33" x14ac:dyDescent="0.25">
      <c r="A79" s="341" t="s">
        <v>585</v>
      </c>
      <c r="B79" s="671"/>
      <c r="C79" s="671">
        <v>4007</v>
      </c>
      <c r="D79" s="340">
        <v>4007</v>
      </c>
      <c r="E79"/>
      <c r="F79"/>
    </row>
    <row r="80" spans="1:33" x14ac:dyDescent="0.25">
      <c r="A80" s="341" t="s">
        <v>586</v>
      </c>
      <c r="B80" s="671"/>
      <c r="C80" s="671">
        <v>13794</v>
      </c>
      <c r="D80" s="340">
        <v>13794</v>
      </c>
      <c r="E80"/>
      <c r="F80"/>
    </row>
    <row r="81" spans="1:6" x14ac:dyDescent="0.25">
      <c r="A81" s="341" t="s">
        <v>587</v>
      </c>
      <c r="B81" s="671"/>
      <c r="C81" s="671">
        <v>11234</v>
      </c>
      <c r="D81" s="340">
        <v>11234</v>
      </c>
      <c r="E81"/>
      <c r="F81"/>
    </row>
    <row r="82" spans="1:6" x14ac:dyDescent="0.25">
      <c r="A82" s="341" t="s">
        <v>65</v>
      </c>
      <c r="B82" s="671"/>
      <c r="C82" s="671">
        <v>13743</v>
      </c>
      <c r="D82" s="340">
        <v>13743</v>
      </c>
      <c r="E82"/>
      <c r="F82"/>
    </row>
    <row r="83" spans="1:6" x14ac:dyDescent="0.25">
      <c r="A83" s="341" t="s">
        <v>66</v>
      </c>
      <c r="B83" s="671"/>
      <c r="C83" s="671">
        <v>13049</v>
      </c>
      <c r="D83" s="340">
        <v>13049</v>
      </c>
      <c r="E83"/>
      <c r="F83"/>
    </row>
    <row r="84" spans="1:6" x14ac:dyDescent="0.25">
      <c r="A84" s="341" t="s">
        <v>68</v>
      </c>
      <c r="B84" s="671"/>
      <c r="C84" s="671">
        <v>5855</v>
      </c>
      <c r="D84" s="340">
        <v>5855</v>
      </c>
      <c r="E84"/>
      <c r="F84"/>
    </row>
    <row r="85" spans="1:6" ht="14.25" customHeight="1" x14ac:dyDescent="0.25">
      <c r="A85" s="335" t="s">
        <v>817</v>
      </c>
      <c r="B85" s="671"/>
      <c r="C85" s="671">
        <v>2606</v>
      </c>
      <c r="D85" s="340">
        <v>2606</v>
      </c>
      <c r="E85"/>
      <c r="F85"/>
    </row>
    <row r="86" spans="1:6" ht="12" customHeight="1" x14ac:dyDescent="0.25">
      <c r="A86" s="341" t="s">
        <v>36</v>
      </c>
      <c r="B86" s="671"/>
      <c r="C86" s="671">
        <v>2606</v>
      </c>
      <c r="D86" s="340">
        <v>2606</v>
      </c>
      <c r="E86"/>
      <c r="F86"/>
    </row>
    <row r="87" spans="1:6" x14ac:dyDescent="0.25">
      <c r="A87" s="337" t="s">
        <v>204</v>
      </c>
      <c r="B87" s="328">
        <v>2845</v>
      </c>
      <c r="C87" s="328">
        <v>112422</v>
      </c>
      <c r="D87" s="342">
        <v>115267</v>
      </c>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hidden="1" x14ac:dyDescent="0.25"/>
    <row r="93" spans="1:6" hidden="1" x14ac:dyDescent="0.25"/>
    <row r="94" spans="1:6" hidden="1" x14ac:dyDescent="0.25"/>
    <row r="95" spans="1:6" hidden="1" x14ac:dyDescent="0.25">
      <c r="A95" s="338" t="s">
        <v>329</v>
      </c>
      <c r="B95" s="339" t="s">
        <v>331</v>
      </c>
    </row>
    <row r="96" spans="1:6" hidden="1" x14ac:dyDescent="0.25">
      <c r="A96" s="338" t="s">
        <v>719</v>
      </c>
      <c r="B96" s="339" t="s">
        <v>604</v>
      </c>
    </row>
    <row r="97" spans="1:9" hidden="1" x14ac:dyDescent="0.25"/>
    <row r="98" spans="1:9" hidden="1" x14ac:dyDescent="0.25">
      <c r="A98" s="333" t="s">
        <v>491</v>
      </c>
      <c r="B98" s="331" t="s">
        <v>616</v>
      </c>
      <c r="C98" s="172"/>
      <c r="D98" s="173"/>
      <c r="E98"/>
      <c r="F98"/>
      <c r="G98"/>
      <c r="H98"/>
      <c r="I98"/>
    </row>
    <row r="99" spans="1:9" hidden="1" x14ac:dyDescent="0.25">
      <c r="A99" s="146"/>
      <c r="B99" s="1" t="s">
        <v>938</v>
      </c>
      <c r="C99" s="1" t="s">
        <v>939</v>
      </c>
      <c r="D99" s="153" t="s">
        <v>204</v>
      </c>
      <c r="E99"/>
      <c r="F99"/>
      <c r="G99"/>
      <c r="H99"/>
      <c r="I99"/>
    </row>
    <row r="100" spans="1:9" hidden="1" x14ac:dyDescent="0.25">
      <c r="A100" s="334" t="s">
        <v>203</v>
      </c>
      <c r="B100" s="1" t="s">
        <v>21</v>
      </c>
      <c r="C100" s="1"/>
      <c r="D100" s="153"/>
      <c r="E100"/>
      <c r="F100"/>
      <c r="G100"/>
      <c r="H100"/>
      <c r="I100"/>
    </row>
    <row r="101" spans="1:9" hidden="1" x14ac:dyDescent="0.25">
      <c r="A101" s="335" t="s">
        <v>14</v>
      </c>
      <c r="B101" s="671">
        <v>546</v>
      </c>
      <c r="C101" s="671">
        <v>546</v>
      </c>
      <c r="D101" s="340">
        <v>546</v>
      </c>
      <c r="E101"/>
      <c r="F101"/>
      <c r="G101"/>
      <c r="H101"/>
      <c r="I101"/>
    </row>
    <row r="102" spans="1:9" hidden="1" x14ac:dyDescent="0.25">
      <c r="A102" s="341" t="s">
        <v>45</v>
      </c>
      <c r="B102" s="671">
        <v>546</v>
      </c>
      <c r="C102" s="671">
        <v>546</v>
      </c>
      <c r="D102" s="340">
        <v>546</v>
      </c>
      <c r="E102"/>
      <c r="F102"/>
      <c r="G102"/>
      <c r="H102"/>
      <c r="I102"/>
    </row>
    <row r="103" spans="1:9" hidden="1" x14ac:dyDescent="0.25">
      <c r="A103" s="337" t="s">
        <v>204</v>
      </c>
      <c r="B103" s="328">
        <v>546</v>
      </c>
      <c r="C103" s="328">
        <v>546</v>
      </c>
      <c r="D103" s="342">
        <v>546</v>
      </c>
      <c r="E103"/>
      <c r="F103"/>
      <c r="G103"/>
      <c r="H103"/>
      <c r="I103"/>
    </row>
    <row r="104" spans="1:9" hidden="1" x14ac:dyDescent="0.25">
      <c r="A104"/>
      <c r="B104"/>
      <c r="C104"/>
      <c r="D104"/>
      <c r="E104"/>
      <c r="F104"/>
      <c r="G104"/>
      <c r="H104"/>
      <c r="I104"/>
    </row>
    <row r="105" spans="1:9" hidden="1" x14ac:dyDescent="0.25">
      <c r="A105"/>
      <c r="B105"/>
      <c r="C105"/>
      <c r="D105"/>
      <c r="E105"/>
      <c r="F105"/>
      <c r="G105"/>
      <c r="H105"/>
      <c r="I105"/>
    </row>
    <row r="106" spans="1:9" hidden="1" x14ac:dyDescent="0.25">
      <c r="A106"/>
      <c r="B106"/>
      <c r="C106"/>
      <c r="D106"/>
      <c r="E106"/>
      <c r="F106"/>
      <c r="G106"/>
      <c r="H106"/>
      <c r="I106"/>
    </row>
    <row r="107" spans="1:9" hidden="1" x14ac:dyDescent="0.25">
      <c r="A107"/>
      <c r="B107"/>
      <c r="C107"/>
      <c r="D107"/>
      <c r="E107"/>
      <c r="F107"/>
      <c r="G107"/>
      <c r="H107"/>
      <c r="I107"/>
    </row>
    <row r="108" spans="1:9" hidden="1" x14ac:dyDescent="0.25">
      <c r="A108"/>
      <c r="B108"/>
      <c r="C108"/>
      <c r="D108"/>
      <c r="E108"/>
      <c r="F108"/>
      <c r="G108"/>
      <c r="H108"/>
      <c r="I108"/>
    </row>
    <row r="109" spans="1:9" hidden="1" x14ac:dyDescent="0.25">
      <c r="A109"/>
      <c r="B109"/>
      <c r="C109"/>
      <c r="D109"/>
      <c r="E109"/>
      <c r="F109"/>
      <c r="G109"/>
      <c r="H109"/>
      <c r="I109"/>
    </row>
    <row r="110" spans="1:9" hidden="1" x14ac:dyDescent="0.25">
      <c r="A110"/>
      <c r="B110"/>
      <c r="C110"/>
      <c r="D110"/>
      <c r="E110"/>
      <c r="F110"/>
      <c r="G110"/>
      <c r="H110"/>
      <c r="I110"/>
    </row>
    <row r="111" spans="1:9" hidden="1" x14ac:dyDescent="0.25">
      <c r="A111"/>
      <c r="B111"/>
      <c r="C111"/>
      <c r="D111"/>
      <c r="E111"/>
      <c r="F111"/>
      <c r="G111"/>
      <c r="H111"/>
      <c r="I111"/>
    </row>
    <row r="112" spans="1:9" hidden="1" x14ac:dyDescent="0.25">
      <c r="A112"/>
      <c r="B112"/>
      <c r="C112"/>
      <c r="D112"/>
      <c r="E112"/>
      <c r="F112"/>
      <c r="G112"/>
      <c r="H112"/>
      <c r="I112"/>
    </row>
    <row r="113" spans="1:9" hidden="1" x14ac:dyDescent="0.25">
      <c r="A113"/>
      <c r="B113"/>
      <c r="C113"/>
      <c r="D113"/>
      <c r="E113"/>
      <c r="F113"/>
      <c r="G113"/>
      <c r="H113"/>
      <c r="I113"/>
    </row>
    <row r="114" spans="1:9" hidden="1" x14ac:dyDescent="0.25">
      <c r="A114"/>
      <c r="B114"/>
      <c r="C114"/>
      <c r="D114"/>
      <c r="E114"/>
      <c r="F114"/>
      <c r="G114"/>
      <c r="H114"/>
      <c r="I114"/>
    </row>
    <row r="115" spans="1:9" hidden="1" x14ac:dyDescent="0.25">
      <c r="A115"/>
      <c r="B115"/>
      <c r="C115"/>
      <c r="D115"/>
      <c r="E115"/>
      <c r="F115"/>
      <c r="G115"/>
      <c r="H115"/>
      <c r="I115"/>
    </row>
    <row r="116" spans="1:9" hidden="1" x14ac:dyDescent="0.25">
      <c r="A116"/>
      <c r="B116"/>
      <c r="C116"/>
      <c r="D116"/>
      <c r="E116"/>
      <c r="F116"/>
      <c r="G116"/>
      <c r="H116"/>
      <c r="I116"/>
    </row>
    <row r="117" spans="1:9" hidden="1" x14ac:dyDescent="0.25">
      <c r="A117"/>
      <c r="B117"/>
      <c r="C117"/>
      <c r="D117"/>
      <c r="E117"/>
      <c r="F117"/>
      <c r="G117"/>
      <c r="H117"/>
      <c r="I117"/>
    </row>
    <row r="118" spans="1:9" hidden="1" x14ac:dyDescent="0.25">
      <c r="A118"/>
      <c r="B118"/>
      <c r="C118"/>
      <c r="D118"/>
      <c r="E118"/>
      <c r="F118"/>
      <c r="G118"/>
      <c r="H118"/>
      <c r="I118"/>
    </row>
    <row r="119" spans="1:9" hidden="1" x14ac:dyDescent="0.25">
      <c r="A119"/>
      <c r="B119"/>
      <c r="C119"/>
      <c r="D119"/>
      <c r="E119"/>
      <c r="F119"/>
      <c r="G119"/>
      <c r="H119"/>
      <c r="I119"/>
    </row>
    <row r="120" spans="1:9" hidden="1" x14ac:dyDescent="0.25">
      <c r="A120"/>
      <c r="B120"/>
      <c r="C120"/>
      <c r="D120"/>
      <c r="E120"/>
      <c r="F120"/>
      <c r="G120"/>
      <c r="H120"/>
      <c r="I120"/>
    </row>
    <row r="121" spans="1:9" hidden="1" x14ac:dyDescent="0.25">
      <c r="A121"/>
      <c r="B121"/>
      <c r="C121"/>
      <c r="D121"/>
      <c r="E121"/>
      <c r="F121"/>
      <c r="G121"/>
      <c r="H121"/>
      <c r="I121"/>
    </row>
    <row r="122" spans="1:9" hidden="1" x14ac:dyDescent="0.25">
      <c r="A122"/>
      <c r="B122"/>
      <c r="C122"/>
      <c r="D122"/>
      <c r="E122"/>
      <c r="F122"/>
      <c r="G122"/>
      <c r="H122"/>
      <c r="I122"/>
    </row>
    <row r="123" spans="1:9" hidden="1" x14ac:dyDescent="0.25">
      <c r="A123"/>
      <c r="B123"/>
      <c r="C123"/>
      <c r="D123"/>
      <c r="E123"/>
      <c r="F123"/>
      <c r="G123"/>
      <c r="H123"/>
      <c r="I123"/>
    </row>
    <row r="124" spans="1:9" hidden="1" x14ac:dyDescent="0.25">
      <c r="A124"/>
      <c r="B124"/>
      <c r="C124"/>
      <c r="D124"/>
      <c r="E124"/>
      <c r="F124"/>
      <c r="G124"/>
      <c r="H124"/>
      <c r="I124"/>
    </row>
    <row r="125" spans="1:9" hidden="1" x14ac:dyDescent="0.25">
      <c r="A125"/>
      <c r="B125"/>
      <c r="C125"/>
      <c r="D125"/>
      <c r="E125"/>
      <c r="F125"/>
      <c r="G125"/>
      <c r="H125"/>
      <c r="I125"/>
    </row>
    <row r="126" spans="1:9" hidden="1" x14ac:dyDescent="0.25">
      <c r="A126"/>
      <c r="B126"/>
      <c r="C126"/>
      <c r="D126"/>
      <c r="E126"/>
      <c r="F126"/>
      <c r="G126"/>
      <c r="H126"/>
      <c r="I126"/>
    </row>
    <row r="127" spans="1:9" hidden="1" x14ac:dyDescent="0.25"/>
    <row r="128" spans="1:9" hidden="1" x14ac:dyDescent="0.25"/>
    <row r="129" spans="1:12" hidden="1" x14ac:dyDescent="0.25"/>
    <row r="130" spans="1:12" hidden="1" x14ac:dyDescent="0.25"/>
    <row r="131" spans="1:12" hidden="1" x14ac:dyDescent="0.25"/>
    <row r="132" spans="1:12" hidden="1" x14ac:dyDescent="0.25">
      <c r="L132"/>
    </row>
    <row r="133" spans="1:12" x14ac:dyDescent="0.25">
      <c r="A133"/>
      <c r="B133"/>
      <c r="L133"/>
    </row>
    <row r="134" spans="1:12" x14ac:dyDescent="0.25">
      <c r="A134" s="338" t="s">
        <v>329</v>
      </c>
      <c r="B134" s="339" t="s">
        <v>331</v>
      </c>
      <c r="L134"/>
    </row>
    <row r="135" spans="1:12" x14ac:dyDescent="0.25">
      <c r="A135" s="338" t="s">
        <v>719</v>
      </c>
      <c r="B135" s="339" t="s">
        <v>718</v>
      </c>
      <c r="L135"/>
    </row>
    <row r="136" spans="1:12" x14ac:dyDescent="0.25">
      <c r="A136" s="78"/>
      <c r="B136" s="78"/>
      <c r="C136" s="78"/>
      <c r="D136" s="78"/>
      <c r="E136" s="78"/>
      <c r="F136" s="78"/>
      <c r="L136"/>
    </row>
    <row r="137" spans="1:12" x14ac:dyDescent="0.25">
      <c r="A137" s="333" t="s">
        <v>491</v>
      </c>
      <c r="B137" s="172"/>
      <c r="C137" s="331" t="s">
        <v>708</v>
      </c>
      <c r="D137" s="331" t="s">
        <v>22</v>
      </c>
      <c r="E137" s="172"/>
      <c r="F137" s="172"/>
      <c r="G137" s="173"/>
      <c r="H137"/>
      <c r="I137"/>
      <c r="J137"/>
      <c r="K137"/>
      <c r="L137"/>
    </row>
    <row r="138" spans="1:12" x14ac:dyDescent="0.25">
      <c r="A138" s="146"/>
      <c r="B138" s="1"/>
      <c r="C138" s="1" t="s">
        <v>938</v>
      </c>
      <c r="D138" s="1"/>
      <c r="E138" s="1"/>
      <c r="F138" s="1" t="s">
        <v>939</v>
      </c>
      <c r="G138" s="153" t="s">
        <v>204</v>
      </c>
      <c r="H138"/>
      <c r="I138"/>
      <c r="J138"/>
      <c r="K138"/>
      <c r="L138"/>
    </row>
    <row r="139" spans="1:12" x14ac:dyDescent="0.25">
      <c r="A139" s="334" t="s">
        <v>0</v>
      </c>
      <c r="B139" s="250" t="s">
        <v>9</v>
      </c>
      <c r="C139" s="1" t="s">
        <v>20</v>
      </c>
      <c r="D139" s="1" t="s">
        <v>21</v>
      </c>
      <c r="E139" s="1" t="s">
        <v>759</v>
      </c>
      <c r="F139" s="1"/>
      <c r="G139" s="153"/>
      <c r="H139"/>
      <c r="I139"/>
      <c r="J139"/>
      <c r="K139"/>
      <c r="L139"/>
    </row>
    <row r="140" spans="1:12" x14ac:dyDescent="0.25">
      <c r="A140" s="146" t="s">
        <v>14</v>
      </c>
      <c r="B140" s="1" t="s">
        <v>45</v>
      </c>
      <c r="C140" s="671"/>
      <c r="D140" s="671">
        <v>546</v>
      </c>
      <c r="E140" s="671"/>
      <c r="F140" s="671">
        <v>546</v>
      </c>
      <c r="G140" s="340">
        <v>546</v>
      </c>
      <c r="H140"/>
      <c r="I140"/>
      <c r="J140"/>
      <c r="K140"/>
      <c r="L140"/>
    </row>
    <row r="141" spans="1:12" x14ac:dyDescent="0.25">
      <c r="A141" s="146" t="s">
        <v>920</v>
      </c>
      <c r="B141" s="1"/>
      <c r="C141" s="671"/>
      <c r="D141" s="671">
        <v>546</v>
      </c>
      <c r="E141" s="671"/>
      <c r="F141" s="671">
        <v>546</v>
      </c>
      <c r="G141" s="340">
        <v>546</v>
      </c>
      <c r="H141"/>
      <c r="I141"/>
      <c r="J141"/>
      <c r="K141"/>
      <c r="L141"/>
    </row>
    <row r="142" spans="1:12" x14ac:dyDescent="0.25">
      <c r="A142" s="146" t="s">
        <v>17</v>
      </c>
      <c r="B142" s="1" t="s">
        <v>509</v>
      </c>
      <c r="C142" s="671"/>
      <c r="D142" s="671"/>
      <c r="E142" s="671">
        <v>226</v>
      </c>
      <c r="F142" s="671">
        <v>226</v>
      </c>
      <c r="G142" s="340">
        <v>226</v>
      </c>
      <c r="H142"/>
      <c r="I142"/>
      <c r="J142"/>
      <c r="K142"/>
      <c r="L142"/>
    </row>
    <row r="143" spans="1:12" x14ac:dyDescent="0.25">
      <c r="A143" s="146"/>
      <c r="B143" s="1" t="s">
        <v>497</v>
      </c>
      <c r="C143" s="671"/>
      <c r="D143" s="671"/>
      <c r="E143" s="671">
        <v>2942</v>
      </c>
      <c r="F143" s="671">
        <v>2942</v>
      </c>
      <c r="G143" s="340">
        <v>2942</v>
      </c>
      <c r="H143"/>
      <c r="I143"/>
      <c r="J143"/>
      <c r="K143"/>
      <c r="L143"/>
    </row>
    <row r="144" spans="1:12" x14ac:dyDescent="0.25">
      <c r="A144" s="146"/>
      <c r="B144" s="1" t="s">
        <v>499</v>
      </c>
      <c r="C144" s="671"/>
      <c r="D144" s="671"/>
      <c r="E144" s="671">
        <v>2951</v>
      </c>
      <c r="F144" s="671">
        <v>2951</v>
      </c>
      <c r="G144" s="340">
        <v>2951</v>
      </c>
      <c r="H144"/>
      <c r="I144"/>
      <c r="J144"/>
      <c r="K144"/>
      <c r="L144"/>
    </row>
    <row r="145" spans="1:12" x14ac:dyDescent="0.25">
      <c r="A145" s="146" t="s">
        <v>596</v>
      </c>
      <c r="B145" s="1"/>
      <c r="C145" s="671"/>
      <c r="D145" s="671"/>
      <c r="E145" s="671">
        <v>6119</v>
      </c>
      <c r="F145" s="671">
        <v>6119</v>
      </c>
      <c r="G145" s="340">
        <v>6119</v>
      </c>
      <c r="H145"/>
      <c r="I145"/>
      <c r="J145"/>
      <c r="K145"/>
      <c r="L145"/>
    </row>
    <row r="146" spans="1:12" x14ac:dyDescent="0.25">
      <c r="A146" s="146" t="s">
        <v>561</v>
      </c>
      <c r="B146" s="1" t="s">
        <v>56</v>
      </c>
      <c r="C146" s="671">
        <v>1050</v>
      </c>
      <c r="D146" s="671"/>
      <c r="E146" s="671"/>
      <c r="F146" s="671">
        <v>1050</v>
      </c>
      <c r="G146" s="340">
        <v>1050</v>
      </c>
      <c r="H146"/>
      <c r="I146"/>
      <c r="J146"/>
      <c r="K146"/>
      <c r="L146"/>
    </row>
    <row r="147" spans="1:12" x14ac:dyDescent="0.25">
      <c r="A147" s="146" t="s">
        <v>942</v>
      </c>
      <c r="B147" s="1"/>
      <c r="C147" s="671">
        <v>1050</v>
      </c>
      <c r="D147" s="671"/>
      <c r="E147" s="671"/>
      <c r="F147" s="671">
        <v>1050</v>
      </c>
      <c r="G147" s="340">
        <v>1050</v>
      </c>
      <c r="H147"/>
      <c r="I147"/>
      <c r="J147"/>
      <c r="K147"/>
      <c r="L147"/>
    </row>
    <row r="148" spans="1:12" x14ac:dyDescent="0.25">
      <c r="A148" s="155" t="s">
        <v>204</v>
      </c>
      <c r="B148" s="156"/>
      <c r="C148" s="328">
        <v>1050</v>
      </c>
      <c r="D148" s="328">
        <v>546</v>
      </c>
      <c r="E148" s="328">
        <v>6119</v>
      </c>
      <c r="F148" s="328">
        <v>7715</v>
      </c>
      <c r="G148" s="342">
        <v>7715</v>
      </c>
      <c r="H148"/>
      <c r="I148"/>
      <c r="J148"/>
      <c r="K148"/>
      <c r="L148"/>
    </row>
    <row r="149" spans="1:12" x14ac:dyDescent="0.25">
      <c r="A149"/>
      <c r="B149"/>
      <c r="C149"/>
      <c r="D149"/>
      <c r="E149"/>
      <c r="F149"/>
      <c r="G149"/>
      <c r="H149"/>
      <c r="I149"/>
      <c r="J149"/>
      <c r="K149"/>
      <c r="L149"/>
    </row>
    <row r="150" spans="1:12" x14ac:dyDescent="0.25">
      <c r="A150"/>
      <c r="B150"/>
      <c r="C150"/>
      <c r="D150"/>
      <c r="E150"/>
      <c r="F150"/>
      <c r="G150"/>
      <c r="H150"/>
      <c r="I150"/>
      <c r="J150"/>
      <c r="K150"/>
    </row>
    <row r="151" spans="1:12" x14ac:dyDescent="0.25">
      <c r="A151"/>
      <c r="B151"/>
      <c r="C151"/>
      <c r="D151"/>
      <c r="E151"/>
      <c r="F151"/>
      <c r="G151"/>
      <c r="H151"/>
      <c r="I151"/>
      <c r="J151"/>
      <c r="K151"/>
    </row>
    <row r="153" spans="1:12" hidden="1" x14ac:dyDescent="0.25"/>
    <row r="154" spans="1:12" hidden="1" x14ac:dyDescent="0.25"/>
    <row r="155" spans="1:12" hidden="1" x14ac:dyDescent="0.25"/>
    <row r="156" spans="1:12" hidden="1" x14ac:dyDescent="0.25"/>
    <row r="157" spans="1:12" hidden="1" x14ac:dyDescent="0.25"/>
    <row r="158" spans="1:12" hidden="1" x14ac:dyDescent="0.25"/>
    <row r="159" spans="1:12" hidden="1" x14ac:dyDescent="0.25"/>
    <row r="160" spans="1:12" hidden="1" x14ac:dyDescent="0.25"/>
    <row r="161" spans="1:12" hidden="1" x14ac:dyDescent="0.25"/>
    <row r="162" spans="1:12" hidden="1" x14ac:dyDescent="0.25"/>
    <row r="163" spans="1:12" hidden="1" x14ac:dyDescent="0.25"/>
    <row r="164" spans="1:12" hidden="1" x14ac:dyDescent="0.25"/>
    <row r="168" spans="1:12" x14ac:dyDescent="0.25">
      <c r="A168" s="39" t="s">
        <v>329</v>
      </c>
      <c r="B168" s="669" t="s">
        <v>331</v>
      </c>
    </row>
    <row r="169" spans="1:12" x14ac:dyDescent="0.25">
      <c r="A169"/>
      <c r="B169"/>
      <c r="C169"/>
      <c r="D169"/>
      <c r="E169"/>
      <c r="F169"/>
      <c r="G169"/>
      <c r="H169"/>
      <c r="I169"/>
      <c r="J169"/>
      <c r="K169"/>
      <c r="L169"/>
    </row>
    <row r="170" spans="1:12" x14ac:dyDescent="0.25">
      <c r="A170" s="39" t="s">
        <v>921</v>
      </c>
      <c r="B170" s="39" t="s">
        <v>616</v>
      </c>
      <c r="C170"/>
      <c r="D170"/>
      <c r="E170"/>
      <c r="F170"/>
      <c r="G170"/>
      <c r="H170"/>
      <c r="I170"/>
      <c r="J170"/>
      <c r="K170"/>
      <c r="L170"/>
    </row>
    <row r="171" spans="1:12" x14ac:dyDescent="0.25">
      <c r="A171" s="39" t="s">
        <v>1</v>
      </c>
      <c r="B171" s="669" t="s">
        <v>759</v>
      </c>
      <c r="C171" s="669" t="s">
        <v>20</v>
      </c>
      <c r="D171" s="669" t="s">
        <v>21</v>
      </c>
      <c r="E171" s="669" t="s">
        <v>929</v>
      </c>
      <c r="F171" s="669" t="s">
        <v>204</v>
      </c>
      <c r="G171"/>
      <c r="H171"/>
      <c r="I171"/>
      <c r="J171"/>
      <c r="K171"/>
      <c r="L171"/>
    </row>
    <row r="172" spans="1:12" x14ac:dyDescent="0.25">
      <c r="A172" s="20" t="s">
        <v>14</v>
      </c>
      <c r="B172" s="4"/>
      <c r="C172" s="4"/>
      <c r="D172" s="4">
        <v>1</v>
      </c>
      <c r="E172" s="4"/>
      <c r="F172" s="4">
        <v>1</v>
      </c>
      <c r="G172"/>
      <c r="H172"/>
      <c r="I172"/>
      <c r="J172"/>
      <c r="K172"/>
      <c r="L172"/>
    </row>
    <row r="173" spans="1:12" x14ac:dyDescent="0.25">
      <c r="A173" s="20" t="s">
        <v>817</v>
      </c>
      <c r="B173" s="4"/>
      <c r="C173" s="4">
        <v>1</v>
      </c>
      <c r="D173" s="4"/>
      <c r="E173" s="4"/>
      <c r="F173" s="4">
        <v>1</v>
      </c>
      <c r="G173"/>
      <c r="H173"/>
      <c r="I173"/>
      <c r="J173"/>
      <c r="K173"/>
      <c r="L173"/>
    </row>
    <row r="174" spans="1:12" x14ac:dyDescent="0.25">
      <c r="A174" s="20" t="s">
        <v>13</v>
      </c>
      <c r="B174" s="4"/>
      <c r="C174" s="4">
        <v>4</v>
      </c>
      <c r="D174" s="4"/>
      <c r="E174" s="4">
        <v>1</v>
      </c>
      <c r="F174" s="4">
        <v>5</v>
      </c>
      <c r="G174"/>
      <c r="H174"/>
      <c r="I174"/>
      <c r="J174"/>
    </row>
    <row r="175" spans="1:12" x14ac:dyDescent="0.25">
      <c r="A175" s="20" t="s">
        <v>17</v>
      </c>
      <c r="B175" s="4">
        <v>3</v>
      </c>
      <c r="C175" s="4">
        <v>11</v>
      </c>
      <c r="D175" s="4">
        <v>1</v>
      </c>
      <c r="E175" s="4"/>
      <c r="F175" s="4">
        <v>15</v>
      </c>
      <c r="G175"/>
      <c r="H175"/>
      <c r="I175"/>
      <c r="J175"/>
    </row>
    <row r="176" spans="1:12" x14ac:dyDescent="0.25">
      <c r="A176" s="20" t="s">
        <v>561</v>
      </c>
      <c r="B176" s="4"/>
      <c r="C176" s="4">
        <v>1</v>
      </c>
      <c r="D176" s="4"/>
      <c r="E176" s="4"/>
      <c r="F176" s="4">
        <v>1</v>
      </c>
      <c r="G176"/>
      <c r="H176"/>
      <c r="I176"/>
      <c r="J176"/>
    </row>
    <row r="177" spans="1:10" x14ac:dyDescent="0.25">
      <c r="A177" s="20" t="s">
        <v>204</v>
      </c>
      <c r="B177" s="4">
        <v>3</v>
      </c>
      <c r="C177" s="4">
        <v>17</v>
      </c>
      <c r="D177" s="4">
        <v>2</v>
      </c>
      <c r="E177" s="4">
        <v>1</v>
      </c>
      <c r="F177" s="4">
        <v>23</v>
      </c>
      <c r="G177"/>
      <c r="H177"/>
      <c r="I177"/>
      <c r="J177"/>
    </row>
    <row r="178" spans="1:10" x14ac:dyDescent="0.25">
      <c r="A178"/>
      <c r="B178"/>
      <c r="C178"/>
      <c r="D178"/>
      <c r="E178"/>
      <c r="F178"/>
      <c r="G178"/>
    </row>
    <row r="179" spans="1:10" x14ac:dyDescent="0.25">
      <c r="A179"/>
      <c r="B179"/>
      <c r="C179"/>
      <c r="D179"/>
      <c r="E179"/>
      <c r="F179"/>
      <c r="G179"/>
    </row>
    <row r="180" spans="1:10" x14ac:dyDescent="0.25">
      <c r="A180"/>
      <c r="B180"/>
      <c r="C180"/>
      <c r="D180"/>
      <c r="E180"/>
      <c r="F180"/>
      <c r="G180"/>
    </row>
    <row r="181" spans="1:10" x14ac:dyDescent="0.25">
      <c r="A181"/>
      <c r="B181"/>
      <c r="C181"/>
      <c r="D181"/>
      <c r="E181"/>
      <c r="F181"/>
      <c r="G181"/>
    </row>
    <row r="182" spans="1:10" x14ac:dyDescent="0.25">
      <c r="A182"/>
      <c r="B182"/>
      <c r="C182"/>
      <c r="D182"/>
      <c r="E182"/>
      <c r="F182"/>
      <c r="G182"/>
    </row>
    <row r="183" spans="1:10" x14ac:dyDescent="0.25">
      <c r="A183"/>
      <c r="B183"/>
      <c r="C183"/>
      <c r="D183"/>
      <c r="E183"/>
      <c r="F183"/>
      <c r="G183"/>
    </row>
    <row r="184" spans="1:10" x14ac:dyDescent="0.25">
      <c r="A184" s="39" t="s">
        <v>329</v>
      </c>
      <c r="B184" s="669" t="s">
        <v>331</v>
      </c>
      <c r="C184"/>
      <c r="D184"/>
      <c r="E184"/>
      <c r="F184"/>
    </row>
    <row r="185" spans="1:10" x14ac:dyDescent="0.25">
      <c r="A185"/>
      <c r="B185"/>
      <c r="C185"/>
      <c r="D185"/>
      <c r="E185"/>
      <c r="F185"/>
    </row>
    <row r="186" spans="1:10" x14ac:dyDescent="0.25">
      <c r="A186" s="39" t="s">
        <v>491</v>
      </c>
      <c r="B186" s="39" t="s">
        <v>616</v>
      </c>
      <c r="C186"/>
      <c r="D186"/>
      <c r="E186"/>
      <c r="F186"/>
    </row>
    <row r="187" spans="1:10" x14ac:dyDescent="0.25">
      <c r="A187" s="39" t="s">
        <v>1</v>
      </c>
      <c r="B187" s="669" t="s">
        <v>759</v>
      </c>
      <c r="C187" s="669" t="s">
        <v>20</v>
      </c>
      <c r="D187" s="669" t="s">
        <v>21</v>
      </c>
      <c r="E187" s="669" t="s">
        <v>929</v>
      </c>
      <c r="F187" s="669" t="s">
        <v>204</v>
      </c>
    </row>
    <row r="188" spans="1:10" x14ac:dyDescent="0.25">
      <c r="A188" s="20" t="s">
        <v>14</v>
      </c>
      <c r="B188" s="4"/>
      <c r="C188" s="4"/>
      <c r="D188" s="4">
        <v>546</v>
      </c>
      <c r="E188" s="4"/>
      <c r="F188" s="4">
        <v>546</v>
      </c>
    </row>
    <row r="189" spans="1:10" x14ac:dyDescent="0.25">
      <c r="A189" s="20" t="s">
        <v>817</v>
      </c>
      <c r="B189" s="4"/>
      <c r="C189" s="4">
        <v>2606</v>
      </c>
      <c r="D189" s="4"/>
      <c r="E189" s="4"/>
      <c r="F189" s="4">
        <v>2606</v>
      </c>
    </row>
    <row r="190" spans="1:10" x14ac:dyDescent="0.25">
      <c r="A190" s="20" t="s">
        <v>13</v>
      </c>
      <c r="B190" s="4"/>
      <c r="C190" s="4">
        <v>17233</v>
      </c>
      <c r="D190" s="4"/>
      <c r="E190" s="4">
        <v>4592</v>
      </c>
      <c r="F190" s="4">
        <v>21825</v>
      </c>
    </row>
    <row r="191" spans="1:10" x14ac:dyDescent="0.25">
      <c r="A191" s="20" t="s">
        <v>17</v>
      </c>
      <c r="B191" s="4">
        <v>6119</v>
      </c>
      <c r="C191" s="4">
        <v>82379</v>
      </c>
      <c r="D191" s="4">
        <v>13049</v>
      </c>
      <c r="E191" s="4"/>
      <c r="F191" s="4">
        <v>101547</v>
      </c>
    </row>
    <row r="192" spans="1:10" x14ac:dyDescent="0.25">
      <c r="A192" s="20" t="s">
        <v>561</v>
      </c>
      <c r="B192" s="4"/>
      <c r="C192" s="4">
        <v>1050</v>
      </c>
      <c r="D192" s="4"/>
      <c r="E192" s="4"/>
      <c r="F192" s="4">
        <v>1050</v>
      </c>
    </row>
    <row r="193" spans="1:6" x14ac:dyDescent="0.25">
      <c r="A193" s="20" t="s">
        <v>204</v>
      </c>
      <c r="B193" s="4">
        <v>6119</v>
      </c>
      <c r="C193" s="4">
        <v>103268</v>
      </c>
      <c r="D193" s="4">
        <v>13595</v>
      </c>
      <c r="E193" s="4">
        <v>4592</v>
      </c>
      <c r="F193" s="4">
        <v>127574</v>
      </c>
    </row>
    <row r="194" spans="1:6" x14ac:dyDescent="0.25">
      <c r="A194"/>
      <c r="B194"/>
      <c r="C194"/>
      <c r="D194"/>
      <c r="E194"/>
      <c r="F194"/>
    </row>
    <row r="195" spans="1:6" x14ac:dyDescent="0.25">
      <c r="A195"/>
      <c r="B195"/>
      <c r="C195"/>
      <c r="D195"/>
      <c r="E195"/>
      <c r="F195"/>
    </row>
    <row r="196" spans="1:6" x14ac:dyDescent="0.25">
      <c r="A196"/>
      <c r="B196"/>
      <c r="C196"/>
      <c r="D196"/>
      <c r="E196"/>
      <c r="F196"/>
    </row>
    <row r="197" spans="1:6" x14ac:dyDescent="0.25">
      <c r="A197"/>
      <c r="B197"/>
      <c r="C197"/>
      <c r="D197"/>
      <c r="E197"/>
      <c r="F197"/>
    </row>
    <row r="198" spans="1:6" x14ac:dyDescent="0.25">
      <c r="A198" s="39" t="s">
        <v>329</v>
      </c>
      <c r="B198" s="669" t="s">
        <v>331</v>
      </c>
      <c r="C198"/>
      <c r="D198"/>
      <c r="E198"/>
      <c r="F198"/>
    </row>
    <row r="199" spans="1:6" x14ac:dyDescent="0.25">
      <c r="A199"/>
      <c r="B199"/>
      <c r="C199"/>
      <c r="D199"/>
      <c r="E199"/>
      <c r="F199"/>
    </row>
    <row r="200" spans="1:6" x14ac:dyDescent="0.25">
      <c r="A200" s="39" t="s">
        <v>1</v>
      </c>
      <c r="B200" s="669" t="s">
        <v>927</v>
      </c>
      <c r="C200" s="669" t="s">
        <v>928</v>
      </c>
      <c r="D200" s="669" t="s">
        <v>206</v>
      </c>
      <c r="E200"/>
      <c r="F200"/>
    </row>
    <row r="201" spans="1:6" x14ac:dyDescent="0.25">
      <c r="A201" s="20" t="s">
        <v>14</v>
      </c>
      <c r="B201" s="4">
        <v>1</v>
      </c>
      <c r="C201" s="4">
        <v>85</v>
      </c>
      <c r="D201" s="4">
        <v>546</v>
      </c>
      <c r="E201"/>
      <c r="F201"/>
    </row>
    <row r="202" spans="1:6" x14ac:dyDescent="0.25">
      <c r="A202" s="20" t="s">
        <v>817</v>
      </c>
      <c r="B202" s="4">
        <v>1</v>
      </c>
      <c r="C202" s="4">
        <v>687</v>
      </c>
      <c r="D202" s="4">
        <v>2606</v>
      </c>
      <c r="E202"/>
      <c r="F202"/>
    </row>
    <row r="203" spans="1:6" x14ac:dyDescent="0.25">
      <c r="A203" s="20" t="s">
        <v>13</v>
      </c>
      <c r="B203" s="4">
        <v>5</v>
      </c>
      <c r="C203" s="4">
        <v>5113</v>
      </c>
      <c r="D203" s="4">
        <v>21825</v>
      </c>
      <c r="E203"/>
      <c r="F203"/>
    </row>
    <row r="204" spans="1:6" x14ac:dyDescent="0.25">
      <c r="A204" s="20" t="s">
        <v>17</v>
      </c>
      <c r="B204" s="4">
        <v>15</v>
      </c>
      <c r="C204" s="4">
        <v>18822</v>
      </c>
      <c r="D204" s="4">
        <v>101547</v>
      </c>
      <c r="E204"/>
      <c r="F204"/>
    </row>
    <row r="205" spans="1:6" x14ac:dyDescent="0.25">
      <c r="A205" s="20" t="s">
        <v>561</v>
      </c>
      <c r="B205" s="4">
        <v>1</v>
      </c>
      <c r="C205" s="4">
        <v>415</v>
      </c>
      <c r="D205" s="4">
        <v>1050</v>
      </c>
      <c r="E205"/>
      <c r="F205"/>
    </row>
    <row r="206" spans="1:6" x14ac:dyDescent="0.25">
      <c r="A206" s="20" t="s">
        <v>204</v>
      </c>
      <c r="B206" s="4">
        <v>23</v>
      </c>
      <c r="C206" s="4">
        <v>25122</v>
      </c>
      <c r="D206" s="4">
        <v>127574</v>
      </c>
      <c r="E206"/>
      <c r="F206"/>
    </row>
    <row r="207" spans="1:6" x14ac:dyDescent="0.25">
      <c r="A207"/>
      <c r="B207"/>
      <c r="C207"/>
      <c r="D207"/>
    </row>
    <row r="208" spans="1:6" x14ac:dyDescent="0.25">
      <c r="A208"/>
      <c r="B208"/>
      <c r="C208"/>
      <c r="D208"/>
    </row>
    <row r="209" spans="1:5" x14ac:dyDescent="0.25">
      <c r="A209"/>
      <c r="B209"/>
      <c r="C209"/>
      <c r="D209"/>
    </row>
    <row r="210" spans="1:5" x14ac:dyDescent="0.25">
      <c r="A210"/>
      <c r="B210"/>
      <c r="C210"/>
      <c r="D210"/>
    </row>
    <row r="211" spans="1:5" x14ac:dyDescent="0.25">
      <c r="A211"/>
      <c r="B211"/>
      <c r="C211"/>
      <c r="D211"/>
    </row>
    <row r="212" spans="1:5" x14ac:dyDescent="0.25">
      <c r="A212"/>
      <c r="B212"/>
      <c r="C212"/>
    </row>
    <row r="213" spans="1:5" x14ac:dyDescent="0.25">
      <c r="A213" s="20" t="s">
        <v>14</v>
      </c>
      <c r="B213" s="4"/>
      <c r="C213" s="4"/>
      <c r="D213" s="4">
        <v>1</v>
      </c>
      <c r="E213" s="4"/>
    </row>
    <row r="214" spans="1:5" x14ac:dyDescent="0.25">
      <c r="A214" s="20" t="s">
        <v>817</v>
      </c>
      <c r="B214" s="4"/>
      <c r="C214" s="4">
        <v>1</v>
      </c>
      <c r="D214" s="4"/>
      <c r="E214" s="4"/>
    </row>
    <row r="215" spans="1:5" x14ac:dyDescent="0.25">
      <c r="A215" s="20" t="s">
        <v>13</v>
      </c>
      <c r="B215" s="4"/>
      <c r="C215" s="4">
        <v>4</v>
      </c>
      <c r="D215" s="4"/>
      <c r="E215" s="4">
        <v>1</v>
      </c>
    </row>
    <row r="216" spans="1:5" x14ac:dyDescent="0.25">
      <c r="A216" s="20" t="s">
        <v>17</v>
      </c>
      <c r="B216" s="4">
        <v>3</v>
      </c>
      <c r="C216" s="4">
        <v>11</v>
      </c>
      <c r="D216" s="4">
        <v>1</v>
      </c>
      <c r="E216" s="4"/>
    </row>
    <row r="217" spans="1:5" x14ac:dyDescent="0.25">
      <c r="A217" s="20" t="s">
        <v>561</v>
      </c>
      <c r="B217" s="4"/>
      <c r="C217" s="4">
        <v>1</v>
      </c>
      <c r="D217" s="4"/>
      <c r="E217" s="4"/>
    </row>
  </sheetData>
  <mergeCells count="1">
    <mergeCell ref="A3:B3"/>
  </mergeCells>
  <pageMargins left="0" right="0" top="0" bottom="0" header="0.3" footer="0.3"/>
  <pageSetup scale="63" fitToWidth="0" orientation="landscape" r:id="rId12"/>
  <drawing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R241"/>
  <sheetViews>
    <sheetView zoomScale="80" zoomScaleNormal="80" workbookViewId="0">
      <selection activeCell="AH53" sqref="AH53"/>
    </sheetView>
  </sheetViews>
  <sheetFormatPr defaultColWidth="9.140625" defaultRowHeight="15" x14ac:dyDescent="0.25"/>
  <cols>
    <col min="1" max="1" width="11.28515625" style="78" customWidth="1"/>
    <col min="2" max="2" width="11.85546875" style="78" customWidth="1"/>
    <col min="3" max="3" width="20.7109375" style="78" bestFit="1" customWidth="1"/>
    <col min="4" max="4" width="19.42578125" style="78" customWidth="1"/>
    <col min="5" max="5" width="12.42578125" style="78" bestFit="1" customWidth="1"/>
    <col min="6" max="6" width="11.42578125" style="78" customWidth="1"/>
    <col min="7" max="7" width="11.5703125" style="23" customWidth="1"/>
    <col min="8" max="8" width="18" customWidth="1"/>
    <col min="9" max="9" width="11.42578125" style="78" customWidth="1"/>
    <col min="10" max="10" width="18.5703125" style="268" customWidth="1"/>
    <col min="11" max="11" width="9.5703125" style="268" customWidth="1"/>
    <col min="12" max="12" width="24.28515625" style="78" customWidth="1"/>
    <col min="13" max="13" width="16.7109375" style="78" customWidth="1"/>
    <col min="14" max="14" width="15.5703125" style="78" customWidth="1"/>
    <col min="15" max="15" width="9.140625" style="78" customWidth="1"/>
    <col min="16" max="16" width="8.85546875" style="78" customWidth="1"/>
    <col min="17" max="17" width="6.5703125" style="78" customWidth="1"/>
    <col min="18" max="18" width="12.28515625" style="78" customWidth="1"/>
    <col min="19" max="19" width="10" style="78" customWidth="1"/>
    <col min="20" max="20" width="5.5703125" style="78" customWidth="1"/>
    <col min="21" max="21" width="13.42578125" style="78" customWidth="1"/>
    <col min="22" max="22" width="10" style="78" customWidth="1"/>
    <col min="23" max="23" width="5.5703125" style="78" customWidth="1"/>
    <col min="24" max="24" width="13.42578125" style="78" customWidth="1"/>
    <col min="25" max="25" width="10" style="78" customWidth="1"/>
    <col min="26" max="26" width="6.5703125" style="78" customWidth="1"/>
    <col min="27" max="27" width="13.42578125" style="78" customWidth="1"/>
    <col min="28" max="28" width="6" style="78" customWidth="1"/>
    <col min="29" max="29" width="5.5703125" style="78" customWidth="1"/>
    <col min="30" max="30" width="9.42578125" style="78" customWidth="1"/>
    <col min="31" max="31" width="11.5703125" style="78" customWidth="1"/>
    <col min="32" max="33" width="6.5703125" style="78" customWidth="1"/>
    <col min="34" max="34" width="9.140625" style="78" customWidth="1"/>
    <col min="35" max="35" width="11.5703125" style="78" customWidth="1"/>
    <col min="36" max="36" width="20.85546875" style="78" customWidth="1"/>
    <col min="37" max="37" width="13" style="78" customWidth="1"/>
    <col min="38" max="38" width="15.7109375" style="78" customWidth="1"/>
    <col min="39" max="39" width="12.85546875" style="78" customWidth="1"/>
    <col min="40" max="40" width="5.42578125" style="78" customWidth="1"/>
    <col min="41" max="41" width="3.42578125" style="78" customWidth="1"/>
    <col min="42" max="42" width="8.85546875" style="78" customWidth="1"/>
    <col min="43" max="43" width="11.5703125" style="78" customWidth="1"/>
    <col min="44" max="44" width="11.28515625" style="78" bestFit="1" customWidth="1"/>
    <col min="45" max="16384" width="9.140625" style="78"/>
  </cols>
  <sheetData>
    <row r="1" spans="1:44" ht="21" x14ac:dyDescent="0.35">
      <c r="A1" s="939" t="s">
        <v>1122</v>
      </c>
      <c r="B1" s="939"/>
      <c r="C1" s="939"/>
      <c r="D1" s="13"/>
      <c r="H1" s="78"/>
    </row>
    <row r="2" spans="1:44" x14ac:dyDescent="0.25">
      <c r="H2" s="78"/>
    </row>
    <row r="3" spans="1:44" ht="22.15" customHeight="1" x14ac:dyDescent="0.25">
      <c r="A3" s="491" t="s">
        <v>10</v>
      </c>
      <c r="B3" s="464" t="s">
        <v>1</v>
      </c>
      <c r="C3" s="464" t="s">
        <v>492</v>
      </c>
      <c r="D3" s="464" t="s">
        <v>521</v>
      </c>
      <c r="E3" s="464" t="s">
        <v>681</v>
      </c>
      <c r="F3" s="492" t="s">
        <v>680</v>
      </c>
      <c r="G3" s="493" t="s">
        <v>5</v>
      </c>
      <c r="H3" s="464" t="s">
        <v>684</v>
      </c>
      <c r="I3" s="494" t="s">
        <v>323</v>
      </c>
      <c r="J3" s="495" t="s">
        <v>820</v>
      </c>
      <c r="L3" s="170" t="s">
        <v>491</v>
      </c>
      <c r="M3" s="170" t="s">
        <v>616</v>
      </c>
      <c r="N3" s="670"/>
      <c r="O3" s="407"/>
      <c r="P3" s="668"/>
      <c r="Q3" s="668"/>
      <c r="R3" s="668"/>
      <c r="S3" s="668"/>
      <c r="T3" s="668"/>
      <c r="U3" s="668"/>
      <c r="V3" s="668"/>
      <c r="W3" s="668"/>
      <c r="X3" s="668"/>
      <c r="Y3" s="668"/>
      <c r="Z3" s="668"/>
      <c r="AA3" s="668"/>
      <c r="AB3" s="668"/>
      <c r="AC3" s="668"/>
      <c r="AD3" s="668"/>
      <c r="AE3" s="167"/>
      <c r="AF3"/>
      <c r="AG3"/>
      <c r="AH3"/>
      <c r="AI3"/>
      <c r="AJ3"/>
      <c r="AK3"/>
      <c r="AL3"/>
      <c r="AM3"/>
      <c r="AN3"/>
      <c r="AO3"/>
      <c r="AP3"/>
      <c r="AQ3"/>
    </row>
    <row r="4" spans="1:44" s="669" customFormat="1" ht="15" customHeight="1" x14ac:dyDescent="0.25">
      <c r="A4" s="394" t="s">
        <v>7</v>
      </c>
      <c r="B4" s="395" t="s">
        <v>13</v>
      </c>
      <c r="C4" s="130" t="s">
        <v>38</v>
      </c>
      <c r="D4" s="323" t="str">
        <f ca="1">IFERROR(OFFSET(Camp_List[P_Code],MATCH(Data_Demography_t[[#This Row],[Camp]],Camp_List[Camp Name],0)-1,0,1,1),"")</f>
        <v>MMR012CMP016</v>
      </c>
      <c r="E4" s="396" t="s">
        <v>1047</v>
      </c>
      <c r="F4" s="397" t="s">
        <v>676</v>
      </c>
      <c r="G4" s="272">
        <v>456</v>
      </c>
      <c r="H4" s="130">
        <f t="shared" ref="H4:H67" si="0">IF(F4="M",-G4,G4)</f>
        <v>-456</v>
      </c>
      <c r="I4" s="130" t="s">
        <v>575</v>
      </c>
      <c r="J4" s="698">
        <v>43190</v>
      </c>
      <c r="K4" s="268"/>
      <c r="L4" s="146"/>
      <c r="M4" s="153" t="s">
        <v>1047</v>
      </c>
      <c r="N4" s="730"/>
      <c r="O4" s="674" t="s">
        <v>1048</v>
      </c>
      <c r="P4" s="153" t="s">
        <v>831</v>
      </c>
      <c r="Q4" s="730"/>
      <c r="R4" s="674" t="s">
        <v>841</v>
      </c>
      <c r="S4" s="153" t="s">
        <v>607</v>
      </c>
      <c r="T4" s="730"/>
      <c r="U4" s="731" t="s">
        <v>683</v>
      </c>
      <c r="V4" s="153" t="s">
        <v>832</v>
      </c>
      <c r="W4" s="730"/>
      <c r="X4" s="674" t="s">
        <v>842</v>
      </c>
      <c r="Y4" s="153" t="s">
        <v>833</v>
      </c>
      <c r="Z4" s="730"/>
      <c r="AA4" s="674" t="s">
        <v>843</v>
      </c>
      <c r="AB4" s="153" t="s">
        <v>809</v>
      </c>
      <c r="AC4" s="730"/>
      <c r="AD4" s="674" t="s">
        <v>844</v>
      </c>
      <c r="AE4" s="731" t="s">
        <v>204</v>
      </c>
      <c r="AF4"/>
      <c r="AG4"/>
      <c r="AH4"/>
      <c r="AI4"/>
      <c r="AJ4"/>
      <c r="AK4"/>
      <c r="AL4"/>
      <c r="AM4"/>
      <c r="AN4"/>
      <c r="AO4"/>
      <c r="AP4"/>
      <c r="AQ4"/>
    </row>
    <row r="5" spans="1:44" s="669" customFormat="1" ht="15" customHeight="1" x14ac:dyDescent="0.25">
      <c r="A5" s="394" t="s">
        <v>7</v>
      </c>
      <c r="B5" s="395" t="s">
        <v>13</v>
      </c>
      <c r="C5" s="130" t="s">
        <v>38</v>
      </c>
      <c r="D5" s="323" t="str">
        <f ca="1">IFERROR(OFFSET(Camp_List[P_Code],MATCH(Data_Demography_t[[#This Row],[Camp]],Camp_List[Camp Name],0)-1,0,1,1),"")</f>
        <v>MMR012CMP016</v>
      </c>
      <c r="E5" s="396" t="s">
        <v>1047</v>
      </c>
      <c r="F5" s="397" t="s">
        <v>677</v>
      </c>
      <c r="G5" s="272">
        <v>528</v>
      </c>
      <c r="H5" s="130">
        <f t="shared" si="0"/>
        <v>528</v>
      </c>
      <c r="I5" s="130" t="s">
        <v>575</v>
      </c>
      <c r="J5" s="698">
        <v>43190</v>
      </c>
      <c r="K5" s="268"/>
      <c r="L5" s="244" t="s">
        <v>203</v>
      </c>
      <c r="M5" s="1" t="s">
        <v>677</v>
      </c>
      <c r="N5" s="1" t="s">
        <v>676</v>
      </c>
      <c r="O5" s="173"/>
      <c r="P5" s="153" t="s">
        <v>677</v>
      </c>
      <c r="Q5" s="730" t="s">
        <v>676</v>
      </c>
      <c r="R5" s="173"/>
      <c r="S5" s="732" t="s">
        <v>677</v>
      </c>
      <c r="T5" s="667" t="s">
        <v>676</v>
      </c>
      <c r="U5" s="411"/>
      <c r="V5" s="153" t="s">
        <v>677</v>
      </c>
      <c r="W5" s="730" t="s">
        <v>676</v>
      </c>
      <c r="X5" s="173"/>
      <c r="Y5" s="153" t="s">
        <v>677</v>
      </c>
      <c r="Z5" s="730" t="s">
        <v>676</v>
      </c>
      <c r="AA5" s="173"/>
      <c r="AB5" s="153" t="s">
        <v>677</v>
      </c>
      <c r="AC5" s="730" t="s">
        <v>676</v>
      </c>
      <c r="AD5" s="173"/>
      <c r="AE5" s="411"/>
      <c r="AF5"/>
      <c r="AG5"/>
      <c r="AH5"/>
      <c r="AI5"/>
      <c r="AJ5"/>
      <c r="AK5"/>
      <c r="AL5"/>
      <c r="AM5"/>
      <c r="AN5"/>
      <c r="AO5"/>
      <c r="AP5"/>
      <c r="AQ5"/>
    </row>
    <row r="6" spans="1:44" ht="15" customHeight="1" x14ac:dyDescent="0.25">
      <c r="A6" s="394" t="s">
        <v>7</v>
      </c>
      <c r="B6" s="395" t="s">
        <v>13</v>
      </c>
      <c r="C6" s="130" t="s">
        <v>38</v>
      </c>
      <c r="D6" s="323" t="str">
        <f ca="1">IFERROR(OFFSET(Camp_List[P_Code],MATCH(Data_Demography_t[[#This Row],[Camp]],Camp_List[Camp Name],0)-1,0,1,1),"")</f>
        <v>MMR012CMP016</v>
      </c>
      <c r="E6" s="396" t="s">
        <v>831</v>
      </c>
      <c r="F6" s="397" t="s">
        <v>676</v>
      </c>
      <c r="G6" s="272">
        <v>473</v>
      </c>
      <c r="H6" s="130">
        <f t="shared" si="0"/>
        <v>-473</v>
      </c>
      <c r="I6" s="130" t="s">
        <v>575</v>
      </c>
      <c r="J6" s="698">
        <v>43190</v>
      </c>
      <c r="L6" s="1056" t="s">
        <v>13</v>
      </c>
      <c r="M6" s="952">
        <v>2625</v>
      </c>
      <c r="N6" s="419">
        <v>2577</v>
      </c>
      <c r="O6" s="419">
        <v>5202</v>
      </c>
      <c r="P6" s="419">
        <v>1980</v>
      </c>
      <c r="Q6" s="419">
        <v>2158</v>
      </c>
      <c r="R6" s="419">
        <v>4138</v>
      </c>
      <c r="S6" s="419">
        <v>1148</v>
      </c>
      <c r="T6" s="419">
        <v>1334</v>
      </c>
      <c r="U6" s="419">
        <v>2482</v>
      </c>
      <c r="V6" s="419">
        <v>2459</v>
      </c>
      <c r="W6" s="419">
        <v>1721</v>
      </c>
      <c r="X6" s="419">
        <v>4180</v>
      </c>
      <c r="Y6" s="419">
        <v>2451</v>
      </c>
      <c r="Z6" s="419">
        <v>2573</v>
      </c>
      <c r="AA6" s="419">
        <v>5024</v>
      </c>
      <c r="AB6" s="419">
        <v>365</v>
      </c>
      <c r="AC6" s="419">
        <v>434</v>
      </c>
      <c r="AD6" s="419">
        <v>799</v>
      </c>
      <c r="AE6" s="419">
        <v>21825</v>
      </c>
      <c r="AF6"/>
      <c r="AG6"/>
      <c r="AH6"/>
      <c r="AI6"/>
      <c r="AJ6"/>
      <c r="AK6"/>
      <c r="AL6"/>
      <c r="AM6"/>
      <c r="AN6"/>
      <c r="AO6"/>
      <c r="AP6"/>
      <c r="AQ6"/>
    </row>
    <row r="7" spans="1:44" ht="15" customHeight="1" x14ac:dyDescent="0.25">
      <c r="A7" s="394" t="s">
        <v>7</v>
      </c>
      <c r="B7" s="395" t="s">
        <v>13</v>
      </c>
      <c r="C7" s="130" t="s">
        <v>38</v>
      </c>
      <c r="D7" s="323" t="str">
        <f ca="1">IFERROR(OFFSET(Camp_List[P_Code],MATCH(Data_Demography_t[[#This Row],[Camp]],Camp_List[Camp Name],0)-1,0,1,1),"")</f>
        <v>MMR012CMP016</v>
      </c>
      <c r="E7" s="396" t="s">
        <v>831</v>
      </c>
      <c r="F7" s="397" t="s">
        <v>677</v>
      </c>
      <c r="G7" s="272">
        <v>401</v>
      </c>
      <c r="H7" s="130">
        <f t="shared" si="0"/>
        <v>401</v>
      </c>
      <c r="I7" s="130" t="s">
        <v>575</v>
      </c>
      <c r="J7" s="698">
        <v>43190</v>
      </c>
      <c r="L7" s="169" t="s">
        <v>40</v>
      </c>
      <c r="M7" s="952">
        <v>788</v>
      </c>
      <c r="N7" s="419">
        <v>737</v>
      </c>
      <c r="O7" s="419">
        <v>1525</v>
      </c>
      <c r="P7" s="419">
        <v>541</v>
      </c>
      <c r="Q7" s="419">
        <v>565</v>
      </c>
      <c r="R7" s="419">
        <v>1106</v>
      </c>
      <c r="S7" s="419">
        <v>282</v>
      </c>
      <c r="T7" s="419">
        <v>338</v>
      </c>
      <c r="U7" s="419">
        <v>620</v>
      </c>
      <c r="V7" s="419">
        <v>738</v>
      </c>
      <c r="W7" s="419">
        <v>500</v>
      </c>
      <c r="X7" s="419">
        <v>1238</v>
      </c>
      <c r="Y7" s="419">
        <v>575</v>
      </c>
      <c r="Z7" s="419">
        <v>672</v>
      </c>
      <c r="AA7" s="419">
        <v>1247</v>
      </c>
      <c r="AB7" s="419">
        <v>91</v>
      </c>
      <c r="AC7" s="419">
        <v>118</v>
      </c>
      <c r="AD7" s="419">
        <v>209</v>
      </c>
      <c r="AE7" s="419">
        <v>5945</v>
      </c>
      <c r="AF7"/>
      <c r="AG7"/>
      <c r="AH7"/>
      <c r="AI7"/>
      <c r="AJ7"/>
      <c r="AK7"/>
      <c r="AL7"/>
      <c r="AM7"/>
      <c r="AN7"/>
      <c r="AO7"/>
      <c r="AP7"/>
      <c r="AQ7"/>
    </row>
    <row r="8" spans="1:44" ht="15" customHeight="1" x14ac:dyDescent="0.25">
      <c r="A8" s="394" t="s">
        <v>7</v>
      </c>
      <c r="B8" s="395" t="s">
        <v>13</v>
      </c>
      <c r="C8" s="130" t="s">
        <v>38</v>
      </c>
      <c r="D8" s="323" t="str">
        <f ca="1">IFERROR(OFFSET(Camp_List[P_Code],MATCH(Data_Demography_t[[#This Row],[Camp]],Camp_List[Camp Name],0)-1,0,1,1),"")</f>
        <v>MMR012CMP016</v>
      </c>
      <c r="E8" s="396" t="s">
        <v>607</v>
      </c>
      <c r="F8" s="397" t="s">
        <v>676</v>
      </c>
      <c r="G8" s="272">
        <v>260</v>
      </c>
      <c r="H8" s="130">
        <f t="shared" si="0"/>
        <v>-260</v>
      </c>
      <c r="I8" s="130" t="s">
        <v>575</v>
      </c>
      <c r="J8" s="698">
        <v>43190</v>
      </c>
      <c r="L8" s="169" t="s">
        <v>41</v>
      </c>
      <c r="M8" s="952">
        <v>191</v>
      </c>
      <c r="N8" s="419">
        <v>220</v>
      </c>
      <c r="O8" s="419">
        <v>411</v>
      </c>
      <c r="P8" s="419">
        <v>169</v>
      </c>
      <c r="Q8" s="419">
        <v>194</v>
      </c>
      <c r="R8" s="419">
        <v>363</v>
      </c>
      <c r="S8" s="419">
        <v>196</v>
      </c>
      <c r="T8" s="419">
        <v>217</v>
      </c>
      <c r="U8" s="419">
        <v>413</v>
      </c>
      <c r="V8" s="419">
        <v>325</v>
      </c>
      <c r="W8" s="419">
        <v>304</v>
      </c>
      <c r="X8" s="419">
        <v>629</v>
      </c>
      <c r="Y8" s="419">
        <v>443</v>
      </c>
      <c r="Z8" s="419">
        <v>409</v>
      </c>
      <c r="AA8" s="419">
        <v>852</v>
      </c>
      <c r="AB8" s="419">
        <v>89</v>
      </c>
      <c r="AC8" s="419">
        <v>88</v>
      </c>
      <c r="AD8" s="419">
        <v>177</v>
      </c>
      <c r="AE8" s="419">
        <v>2845</v>
      </c>
      <c r="AF8"/>
      <c r="AG8"/>
      <c r="AH8"/>
      <c r="AI8"/>
      <c r="AJ8"/>
      <c r="AK8"/>
      <c r="AL8"/>
      <c r="AM8"/>
      <c r="AN8"/>
      <c r="AO8"/>
      <c r="AP8"/>
      <c r="AQ8"/>
      <c r="AR8"/>
    </row>
    <row r="9" spans="1:44" ht="15" customHeight="1" x14ac:dyDescent="0.25">
      <c r="A9" s="394" t="s">
        <v>7</v>
      </c>
      <c r="B9" s="395" t="s">
        <v>13</v>
      </c>
      <c r="C9" s="130" t="s">
        <v>38</v>
      </c>
      <c r="D9" s="323" t="str">
        <f ca="1">IFERROR(OFFSET(Camp_List[P_Code],MATCH(Data_Demography_t[[#This Row],[Camp]],Camp_List[Camp Name],0)-1,0,1,1),"")</f>
        <v>MMR012CMP016</v>
      </c>
      <c r="E9" s="396" t="s">
        <v>607</v>
      </c>
      <c r="F9" s="397" t="s">
        <v>677</v>
      </c>
      <c r="G9" s="272">
        <v>212</v>
      </c>
      <c r="H9" s="130">
        <f t="shared" si="0"/>
        <v>212</v>
      </c>
      <c r="I9" s="130" t="s">
        <v>575</v>
      </c>
      <c r="J9" s="698">
        <v>43190</v>
      </c>
      <c r="L9" s="169" t="s">
        <v>38</v>
      </c>
      <c r="M9" s="952">
        <v>528</v>
      </c>
      <c r="N9" s="419">
        <v>456</v>
      </c>
      <c r="O9" s="419">
        <v>984</v>
      </c>
      <c r="P9" s="419">
        <v>401</v>
      </c>
      <c r="Q9" s="419">
        <v>473</v>
      </c>
      <c r="R9" s="419">
        <v>874</v>
      </c>
      <c r="S9" s="419">
        <v>212</v>
      </c>
      <c r="T9" s="419">
        <v>260</v>
      </c>
      <c r="U9" s="419">
        <v>472</v>
      </c>
      <c r="V9" s="419">
        <v>528</v>
      </c>
      <c r="W9" s="419">
        <v>337</v>
      </c>
      <c r="X9" s="419">
        <v>865</v>
      </c>
      <c r="Y9" s="419">
        <v>544</v>
      </c>
      <c r="Z9" s="419">
        <v>500</v>
      </c>
      <c r="AA9" s="419">
        <v>1044</v>
      </c>
      <c r="AB9" s="419">
        <v>55</v>
      </c>
      <c r="AC9" s="419">
        <v>70</v>
      </c>
      <c r="AD9" s="419">
        <v>125</v>
      </c>
      <c r="AE9" s="419">
        <v>4364</v>
      </c>
      <c r="AF9"/>
      <c r="AG9"/>
      <c r="AH9"/>
      <c r="AI9"/>
      <c r="AJ9"/>
      <c r="AK9"/>
      <c r="AL9"/>
      <c r="AM9"/>
      <c r="AN9"/>
      <c r="AO9"/>
      <c r="AP9"/>
      <c r="AQ9"/>
      <c r="AR9"/>
    </row>
    <row r="10" spans="1:44" ht="14.25" customHeight="1" x14ac:dyDescent="0.25">
      <c r="A10" s="394" t="s">
        <v>7</v>
      </c>
      <c r="B10" s="395" t="s">
        <v>13</v>
      </c>
      <c r="C10" s="130" t="s">
        <v>38</v>
      </c>
      <c r="D10" s="323" t="str">
        <f ca="1">IFERROR(OFFSET(Camp_List[P_Code],MATCH(Data_Demography_t[[#This Row],[Camp]],Camp_List[Camp Name],0)-1,0,1,1),"")</f>
        <v>MMR012CMP016</v>
      </c>
      <c r="E10" s="396" t="s">
        <v>832</v>
      </c>
      <c r="F10" s="397" t="s">
        <v>676</v>
      </c>
      <c r="G10" s="272">
        <v>337</v>
      </c>
      <c r="H10" s="130">
        <f t="shared" si="0"/>
        <v>-337</v>
      </c>
      <c r="I10" s="130" t="s">
        <v>575</v>
      </c>
      <c r="J10" s="698">
        <v>43190</v>
      </c>
      <c r="L10" s="169" t="s">
        <v>991</v>
      </c>
      <c r="M10" s="952">
        <v>598</v>
      </c>
      <c r="N10" s="419">
        <v>583</v>
      </c>
      <c r="O10" s="419">
        <v>1181</v>
      </c>
      <c r="P10" s="419">
        <v>334</v>
      </c>
      <c r="Q10" s="419">
        <v>377</v>
      </c>
      <c r="R10" s="419">
        <v>711</v>
      </c>
      <c r="S10" s="419">
        <v>220</v>
      </c>
      <c r="T10" s="419">
        <v>222</v>
      </c>
      <c r="U10" s="419">
        <v>442</v>
      </c>
      <c r="V10" s="419">
        <v>476</v>
      </c>
      <c r="W10" s="419">
        <v>336</v>
      </c>
      <c r="X10" s="419">
        <v>812</v>
      </c>
      <c r="Y10" s="419">
        <v>349</v>
      </c>
      <c r="Z10" s="419">
        <v>429</v>
      </c>
      <c r="AA10" s="419">
        <v>778</v>
      </c>
      <c r="AB10" s="419">
        <v>66</v>
      </c>
      <c r="AC10" s="419">
        <v>89</v>
      </c>
      <c r="AD10" s="419">
        <v>155</v>
      </c>
      <c r="AE10" s="419">
        <v>4079</v>
      </c>
      <c r="AF10"/>
      <c r="AG10"/>
      <c r="AH10"/>
      <c r="AI10"/>
      <c r="AJ10"/>
      <c r="AK10"/>
      <c r="AL10"/>
      <c r="AM10"/>
      <c r="AN10"/>
      <c r="AO10"/>
      <c r="AP10"/>
      <c r="AQ10"/>
      <c r="AR10"/>
    </row>
    <row r="11" spans="1:44" ht="15" customHeight="1" x14ac:dyDescent="0.25">
      <c r="A11" s="394" t="s">
        <v>7</v>
      </c>
      <c r="B11" s="395" t="s">
        <v>13</v>
      </c>
      <c r="C11" s="130" t="s">
        <v>38</v>
      </c>
      <c r="D11" s="323" t="str">
        <f ca="1">IFERROR(OFFSET(Camp_List[P_Code],MATCH(Data_Demography_t[[#This Row],[Camp]],Camp_List[Camp Name],0)-1,0,1,1),"")</f>
        <v>MMR012CMP016</v>
      </c>
      <c r="E11" s="396" t="s">
        <v>832</v>
      </c>
      <c r="F11" s="397" t="s">
        <v>677</v>
      </c>
      <c r="G11" s="272">
        <v>528</v>
      </c>
      <c r="H11" s="130">
        <f t="shared" si="0"/>
        <v>528</v>
      </c>
      <c r="I11" s="130" t="s">
        <v>575</v>
      </c>
      <c r="J11" s="698">
        <v>43190</v>
      </c>
      <c r="L11" s="169" t="s">
        <v>990</v>
      </c>
      <c r="M11" s="952">
        <v>520</v>
      </c>
      <c r="N11" s="419">
        <v>581</v>
      </c>
      <c r="O11" s="419">
        <v>1101</v>
      </c>
      <c r="P11" s="419">
        <v>535</v>
      </c>
      <c r="Q11" s="419">
        <v>549</v>
      </c>
      <c r="R11" s="419">
        <v>1084</v>
      </c>
      <c r="S11" s="419">
        <v>238</v>
      </c>
      <c r="T11" s="419">
        <v>297</v>
      </c>
      <c r="U11" s="419">
        <v>535</v>
      </c>
      <c r="V11" s="419">
        <v>392</v>
      </c>
      <c r="W11" s="419">
        <v>244</v>
      </c>
      <c r="X11" s="419">
        <v>636</v>
      </c>
      <c r="Y11" s="419">
        <v>540</v>
      </c>
      <c r="Z11" s="419">
        <v>563</v>
      </c>
      <c r="AA11" s="419">
        <v>1103</v>
      </c>
      <c r="AB11" s="419">
        <v>64</v>
      </c>
      <c r="AC11" s="419">
        <v>69</v>
      </c>
      <c r="AD11" s="419">
        <v>133</v>
      </c>
      <c r="AE11" s="419">
        <v>4592</v>
      </c>
      <c r="AF11"/>
      <c r="AG11"/>
      <c r="AH11"/>
      <c r="AI11"/>
      <c r="AJ11"/>
      <c r="AK11"/>
      <c r="AL11"/>
      <c r="AM11"/>
      <c r="AN11"/>
      <c r="AO11"/>
      <c r="AP11"/>
      <c r="AQ11"/>
      <c r="AR11"/>
    </row>
    <row r="12" spans="1:44" ht="15" customHeight="1" x14ac:dyDescent="0.25">
      <c r="A12" s="394" t="s">
        <v>7</v>
      </c>
      <c r="B12" s="395" t="s">
        <v>13</v>
      </c>
      <c r="C12" s="130" t="s">
        <v>38</v>
      </c>
      <c r="D12" s="323" t="str">
        <f ca="1">IFERROR(OFFSET(Camp_List[P_Code],MATCH(Data_Demography_t[[#This Row],[Camp]],Camp_List[Camp Name],0)-1,0,1,1),"")</f>
        <v>MMR012CMP016</v>
      </c>
      <c r="E12" s="396" t="s">
        <v>833</v>
      </c>
      <c r="F12" s="397" t="s">
        <v>676</v>
      </c>
      <c r="G12" s="272">
        <v>500</v>
      </c>
      <c r="H12" s="130">
        <f t="shared" si="0"/>
        <v>-500</v>
      </c>
      <c r="I12" s="130" t="s">
        <v>575</v>
      </c>
      <c r="J12" s="698">
        <v>43190</v>
      </c>
      <c r="L12" s="1056" t="s">
        <v>17</v>
      </c>
      <c r="M12" s="952">
        <v>9016</v>
      </c>
      <c r="N12" s="419">
        <v>8941.9647974726395</v>
      </c>
      <c r="O12" s="419">
        <v>17957.964797472639</v>
      </c>
      <c r="P12" s="419">
        <v>8588</v>
      </c>
      <c r="Q12" s="419">
        <v>9327.2221595396586</v>
      </c>
      <c r="R12" s="419">
        <v>17915.222159539659</v>
      </c>
      <c r="S12" s="419">
        <v>7133</v>
      </c>
      <c r="T12" s="419">
        <v>7440.9377186054389</v>
      </c>
      <c r="U12" s="419">
        <v>14573.937718605439</v>
      </c>
      <c r="V12" s="419">
        <v>9889.7113844070846</v>
      </c>
      <c r="W12" s="419">
        <v>7423</v>
      </c>
      <c r="X12" s="419">
        <v>17312.711384407085</v>
      </c>
      <c r="Y12" s="419">
        <v>12412.765542141487</v>
      </c>
      <c r="Z12" s="419">
        <v>11683</v>
      </c>
      <c r="AA12" s="419">
        <v>24095.765542141489</v>
      </c>
      <c r="AB12" s="419">
        <v>1800</v>
      </c>
      <c r="AC12" s="419">
        <v>1772</v>
      </c>
      <c r="AD12" s="419">
        <v>3572</v>
      </c>
      <c r="AE12" s="419">
        <v>95427.601602166309</v>
      </c>
      <c r="AF12"/>
      <c r="AG12"/>
      <c r="AH12"/>
      <c r="AI12"/>
      <c r="AJ12"/>
      <c r="AK12"/>
      <c r="AL12"/>
      <c r="AM12"/>
      <c r="AN12"/>
      <c r="AO12"/>
      <c r="AP12"/>
      <c r="AQ12"/>
      <c r="AR12"/>
    </row>
    <row r="13" spans="1:44" ht="15" customHeight="1" x14ac:dyDescent="0.25">
      <c r="A13" s="394" t="s">
        <v>7</v>
      </c>
      <c r="B13" s="395" t="s">
        <v>13</v>
      </c>
      <c r="C13" s="130" t="s">
        <v>38</v>
      </c>
      <c r="D13" s="323" t="str">
        <f ca="1">IFERROR(OFFSET(Camp_List[P_Code],MATCH(Data_Demography_t[[#This Row],[Camp]],Camp_List[Camp Name],0)-1,0,1,1),"")</f>
        <v>MMR012CMP016</v>
      </c>
      <c r="E13" s="396" t="s">
        <v>833</v>
      </c>
      <c r="F13" s="397" t="s">
        <v>677</v>
      </c>
      <c r="G13" s="272">
        <v>544</v>
      </c>
      <c r="H13" s="130">
        <f t="shared" si="0"/>
        <v>544</v>
      </c>
      <c r="I13" s="130" t="s">
        <v>575</v>
      </c>
      <c r="J13" s="698">
        <v>43190</v>
      </c>
      <c r="L13" s="341" t="s">
        <v>586</v>
      </c>
      <c r="M13" s="952">
        <v>1446</v>
      </c>
      <c r="N13" s="419">
        <v>1563</v>
      </c>
      <c r="O13" s="419">
        <v>3009</v>
      </c>
      <c r="P13" s="419">
        <v>1219</v>
      </c>
      <c r="Q13" s="419">
        <v>1417</v>
      </c>
      <c r="R13" s="419">
        <v>2636</v>
      </c>
      <c r="S13" s="419">
        <v>909</v>
      </c>
      <c r="T13" s="419">
        <v>985</v>
      </c>
      <c r="U13" s="419">
        <v>1894</v>
      </c>
      <c r="V13" s="419">
        <v>1517</v>
      </c>
      <c r="W13" s="419">
        <v>1061</v>
      </c>
      <c r="X13" s="419">
        <v>2578</v>
      </c>
      <c r="Y13" s="419">
        <v>1580</v>
      </c>
      <c r="Z13" s="419">
        <v>1463</v>
      </c>
      <c r="AA13" s="419">
        <v>3043</v>
      </c>
      <c r="AB13" s="419">
        <v>322</v>
      </c>
      <c r="AC13" s="419">
        <v>312</v>
      </c>
      <c r="AD13" s="419">
        <v>634</v>
      </c>
      <c r="AE13" s="419">
        <v>13794</v>
      </c>
      <c r="AF13"/>
      <c r="AG13"/>
      <c r="AH13"/>
      <c r="AI13"/>
      <c r="AJ13"/>
      <c r="AK13"/>
      <c r="AL13"/>
      <c r="AM13"/>
      <c r="AN13"/>
      <c r="AO13"/>
      <c r="AP13"/>
      <c r="AQ13"/>
      <c r="AR13"/>
    </row>
    <row r="14" spans="1:44" ht="15" customHeight="1" x14ac:dyDescent="0.25">
      <c r="A14" s="394" t="s">
        <v>7</v>
      </c>
      <c r="B14" s="395" t="s">
        <v>13</v>
      </c>
      <c r="C14" s="130" t="s">
        <v>38</v>
      </c>
      <c r="D14" s="323" t="str">
        <f ca="1">IFERROR(OFFSET(Camp_List[P_Code],MATCH(Data_Demography_t[[#This Row],[Camp]],Camp_List[Camp Name],0)-1,0,1,1),"")</f>
        <v>MMR012CMP016</v>
      </c>
      <c r="E14" s="396" t="s">
        <v>809</v>
      </c>
      <c r="F14" s="397" t="s">
        <v>676</v>
      </c>
      <c r="G14" s="272">
        <v>70</v>
      </c>
      <c r="H14" s="130">
        <f t="shared" si="0"/>
        <v>-70</v>
      </c>
      <c r="I14" s="130" t="s">
        <v>575</v>
      </c>
      <c r="J14" s="698">
        <v>43190</v>
      </c>
      <c r="L14" s="728" t="s">
        <v>587</v>
      </c>
      <c r="M14" s="952">
        <v>990</v>
      </c>
      <c r="N14" s="419">
        <v>1075</v>
      </c>
      <c r="O14" s="419">
        <v>2065</v>
      </c>
      <c r="P14" s="419">
        <v>1062</v>
      </c>
      <c r="Q14" s="419">
        <v>1250</v>
      </c>
      <c r="R14" s="419">
        <v>2312</v>
      </c>
      <c r="S14" s="419">
        <v>854</v>
      </c>
      <c r="T14" s="419">
        <v>890</v>
      </c>
      <c r="U14" s="419">
        <v>1744</v>
      </c>
      <c r="V14" s="419">
        <v>1024</v>
      </c>
      <c r="W14" s="419">
        <v>634</v>
      </c>
      <c r="X14" s="419">
        <v>1658</v>
      </c>
      <c r="Y14" s="419">
        <v>1726</v>
      </c>
      <c r="Z14" s="419">
        <v>1433</v>
      </c>
      <c r="AA14" s="419">
        <v>3159</v>
      </c>
      <c r="AB14" s="419">
        <v>158</v>
      </c>
      <c r="AC14" s="419">
        <v>138</v>
      </c>
      <c r="AD14" s="419">
        <v>296</v>
      </c>
      <c r="AE14" s="419">
        <v>11234</v>
      </c>
      <c r="AF14"/>
      <c r="AG14"/>
      <c r="AH14"/>
      <c r="AI14"/>
      <c r="AJ14"/>
      <c r="AK14"/>
      <c r="AL14"/>
      <c r="AM14"/>
      <c r="AN14"/>
      <c r="AO14"/>
      <c r="AP14"/>
      <c r="AQ14"/>
      <c r="AR14"/>
    </row>
    <row r="15" spans="1:44" ht="15" customHeight="1" x14ac:dyDescent="0.25">
      <c r="A15" s="394" t="s">
        <v>7</v>
      </c>
      <c r="B15" s="395" t="s">
        <v>13</v>
      </c>
      <c r="C15" s="130" t="s">
        <v>38</v>
      </c>
      <c r="D15" s="323" t="str">
        <f ca="1">IFERROR(OFFSET(Camp_List[P_Code],MATCH(Data_Demography_t[[#This Row],[Camp]],Camp_List[Camp Name],0)-1,0,1,1),"")</f>
        <v>MMR012CMP016</v>
      </c>
      <c r="E15" s="396" t="s">
        <v>809</v>
      </c>
      <c r="F15" s="397" t="s">
        <v>677</v>
      </c>
      <c r="G15" s="272">
        <v>55</v>
      </c>
      <c r="H15" s="130">
        <f t="shared" si="0"/>
        <v>55</v>
      </c>
      <c r="I15" s="130" t="s">
        <v>575</v>
      </c>
      <c r="J15" s="698">
        <v>43190</v>
      </c>
      <c r="L15" s="169" t="s">
        <v>65</v>
      </c>
      <c r="M15" s="952">
        <v>1363</v>
      </c>
      <c r="N15" s="419">
        <v>1305</v>
      </c>
      <c r="O15" s="419">
        <v>2668</v>
      </c>
      <c r="P15" s="419">
        <v>1341</v>
      </c>
      <c r="Q15" s="419">
        <v>1444</v>
      </c>
      <c r="R15" s="419">
        <v>2785</v>
      </c>
      <c r="S15" s="419">
        <v>1059</v>
      </c>
      <c r="T15" s="419">
        <v>1047</v>
      </c>
      <c r="U15" s="419">
        <v>2106</v>
      </c>
      <c r="V15" s="419">
        <v>1535</v>
      </c>
      <c r="W15" s="419">
        <v>1076</v>
      </c>
      <c r="X15" s="419">
        <v>2611</v>
      </c>
      <c r="Y15" s="419">
        <v>1545</v>
      </c>
      <c r="Z15" s="419">
        <v>1526</v>
      </c>
      <c r="AA15" s="419">
        <v>3071</v>
      </c>
      <c r="AB15" s="419">
        <v>234</v>
      </c>
      <c r="AC15" s="419">
        <v>268</v>
      </c>
      <c r="AD15" s="419">
        <v>502</v>
      </c>
      <c r="AE15" s="419">
        <v>13743</v>
      </c>
      <c r="AF15"/>
      <c r="AG15"/>
      <c r="AH15"/>
      <c r="AI15"/>
      <c r="AJ15"/>
      <c r="AK15"/>
      <c r="AL15"/>
      <c r="AM15"/>
      <c r="AN15"/>
      <c r="AO15"/>
      <c r="AP15"/>
      <c r="AQ15"/>
      <c r="AR15"/>
    </row>
    <row r="16" spans="1:44" ht="15" customHeight="1" x14ac:dyDescent="0.25">
      <c r="A16" s="394" t="s">
        <v>7</v>
      </c>
      <c r="B16" s="395" t="s">
        <v>17</v>
      </c>
      <c r="C16" s="130" t="s">
        <v>581</v>
      </c>
      <c r="D16" s="323" t="str">
        <f ca="1">IFERROR(OFFSET(Camp_List[P_Code],MATCH(Data_Demography_t[[#This Row],[Camp]],Camp_List[Camp Name],0)-1,0,1,1),"")</f>
        <v>MMR012CMP113</v>
      </c>
      <c r="E16" s="396" t="s">
        <v>1047</v>
      </c>
      <c r="F16" s="397" t="s">
        <v>676</v>
      </c>
      <c r="G16" s="272">
        <v>367</v>
      </c>
      <c r="H16" s="130">
        <f t="shared" si="0"/>
        <v>-367</v>
      </c>
      <c r="I16" s="130" t="s">
        <v>273</v>
      </c>
      <c r="J16" s="698">
        <v>43190</v>
      </c>
      <c r="L16" s="169" t="s">
        <v>59</v>
      </c>
      <c r="M16" s="952">
        <v>207</v>
      </c>
      <c r="N16" s="419">
        <v>240</v>
      </c>
      <c r="O16" s="419">
        <v>447</v>
      </c>
      <c r="P16" s="419">
        <v>183</v>
      </c>
      <c r="Q16" s="419">
        <v>196</v>
      </c>
      <c r="R16" s="419">
        <v>379</v>
      </c>
      <c r="S16" s="419">
        <v>133</v>
      </c>
      <c r="T16" s="419">
        <v>142</v>
      </c>
      <c r="U16" s="419">
        <v>275</v>
      </c>
      <c r="V16" s="419">
        <v>212</v>
      </c>
      <c r="W16" s="419">
        <v>142</v>
      </c>
      <c r="X16" s="419">
        <v>354</v>
      </c>
      <c r="Y16" s="419">
        <v>352</v>
      </c>
      <c r="Z16" s="419">
        <v>334</v>
      </c>
      <c r="AA16" s="419">
        <v>686</v>
      </c>
      <c r="AB16" s="419">
        <v>60</v>
      </c>
      <c r="AC16" s="419">
        <v>51</v>
      </c>
      <c r="AD16" s="419">
        <v>111</v>
      </c>
      <c r="AE16" s="419">
        <v>2252</v>
      </c>
      <c r="AF16"/>
      <c r="AG16"/>
      <c r="AH16"/>
      <c r="AI16"/>
      <c r="AJ16"/>
      <c r="AK16"/>
      <c r="AL16"/>
      <c r="AM16"/>
      <c r="AN16"/>
      <c r="AO16"/>
      <c r="AP16"/>
      <c r="AQ16"/>
      <c r="AR16"/>
    </row>
    <row r="17" spans="1:44" ht="15" customHeight="1" x14ac:dyDescent="0.25">
      <c r="A17" s="394" t="s">
        <v>7</v>
      </c>
      <c r="B17" s="395" t="s">
        <v>17</v>
      </c>
      <c r="C17" s="130" t="s">
        <v>581</v>
      </c>
      <c r="D17" s="323" t="str">
        <f ca="1">IFERROR(OFFSET(Camp_List[P_Code],MATCH(Data_Demography_t[[#This Row],[Camp]],Camp_List[Camp Name],0)-1,0,1,1),"")</f>
        <v>MMR012CMP113</v>
      </c>
      <c r="E17" s="396" t="s">
        <v>1047</v>
      </c>
      <c r="F17" s="397" t="s">
        <v>677</v>
      </c>
      <c r="G17" s="272">
        <v>413</v>
      </c>
      <c r="H17" s="130">
        <f t="shared" si="0"/>
        <v>413</v>
      </c>
      <c r="I17" s="130" t="s">
        <v>273</v>
      </c>
      <c r="J17" s="698">
        <v>43190</v>
      </c>
      <c r="L17" s="728" t="s">
        <v>61</v>
      </c>
      <c r="M17" s="952">
        <v>963</v>
      </c>
      <c r="N17" s="419">
        <v>1017.9647974726391</v>
      </c>
      <c r="O17" s="419">
        <v>1980.964797472639</v>
      </c>
      <c r="P17" s="419">
        <v>1087</v>
      </c>
      <c r="Q17" s="419">
        <v>1078.2221595396593</v>
      </c>
      <c r="R17" s="419">
        <v>2165.2221595396595</v>
      </c>
      <c r="S17" s="419">
        <v>956</v>
      </c>
      <c r="T17" s="419">
        <v>926.93771860543836</v>
      </c>
      <c r="U17" s="419">
        <v>1882.9377186054385</v>
      </c>
      <c r="V17" s="419">
        <v>1207.7113844070857</v>
      </c>
      <c r="W17" s="419">
        <v>947</v>
      </c>
      <c r="X17" s="419">
        <v>2154.7113844070855</v>
      </c>
      <c r="Y17" s="419">
        <v>1389.765542141487</v>
      </c>
      <c r="Z17" s="419">
        <v>1321</v>
      </c>
      <c r="AA17" s="419">
        <v>2710.765542141487</v>
      </c>
      <c r="AB17" s="419">
        <v>234</v>
      </c>
      <c r="AC17" s="419">
        <v>234</v>
      </c>
      <c r="AD17" s="419">
        <v>468</v>
      </c>
      <c r="AE17" s="419">
        <v>11362.601602166309</v>
      </c>
      <c r="AF17"/>
      <c r="AG17"/>
      <c r="AH17"/>
      <c r="AI17"/>
      <c r="AJ17"/>
      <c r="AK17"/>
      <c r="AL17"/>
      <c r="AM17"/>
      <c r="AN17"/>
      <c r="AO17"/>
      <c r="AP17"/>
      <c r="AQ17"/>
      <c r="AR17"/>
    </row>
    <row r="18" spans="1:44" s="669" customFormat="1" ht="15" customHeight="1" x14ac:dyDescent="0.25">
      <c r="A18" s="394" t="s">
        <v>7</v>
      </c>
      <c r="B18" s="395" t="s">
        <v>17</v>
      </c>
      <c r="C18" s="130" t="s">
        <v>581</v>
      </c>
      <c r="D18" s="323" t="str">
        <f ca="1">IFERROR(OFFSET(Camp_List[P_Code],MATCH(Data_Demography_t[[#This Row],[Camp]],Camp_List[Camp Name],0)-1,0,1,1),"")</f>
        <v>MMR012CMP113</v>
      </c>
      <c r="E18" s="396" t="s">
        <v>831</v>
      </c>
      <c r="F18" s="397" t="s">
        <v>676</v>
      </c>
      <c r="G18" s="272">
        <v>427</v>
      </c>
      <c r="H18" s="130">
        <f t="shared" si="0"/>
        <v>-427</v>
      </c>
      <c r="I18" s="130" t="s">
        <v>273</v>
      </c>
      <c r="J18" s="698">
        <v>43190</v>
      </c>
      <c r="K18" s="268"/>
      <c r="L18" s="728" t="s">
        <v>62</v>
      </c>
      <c r="M18" s="952">
        <v>449</v>
      </c>
      <c r="N18" s="419">
        <v>434</v>
      </c>
      <c r="O18" s="419">
        <v>883</v>
      </c>
      <c r="P18" s="419">
        <v>392</v>
      </c>
      <c r="Q18" s="419">
        <v>419</v>
      </c>
      <c r="R18" s="419">
        <v>811</v>
      </c>
      <c r="S18" s="419">
        <v>299</v>
      </c>
      <c r="T18" s="419">
        <v>336</v>
      </c>
      <c r="U18" s="419">
        <v>635</v>
      </c>
      <c r="V18" s="419">
        <v>456</v>
      </c>
      <c r="W18" s="419">
        <v>313</v>
      </c>
      <c r="X18" s="419">
        <v>769</v>
      </c>
      <c r="Y18" s="419">
        <v>630</v>
      </c>
      <c r="Z18" s="419">
        <v>610</v>
      </c>
      <c r="AA18" s="419">
        <v>1240</v>
      </c>
      <c r="AB18" s="419">
        <v>77</v>
      </c>
      <c r="AC18" s="419">
        <v>66</v>
      </c>
      <c r="AD18" s="419">
        <v>143</v>
      </c>
      <c r="AE18" s="419">
        <v>4481</v>
      </c>
      <c r="AF18"/>
      <c r="AG18"/>
      <c r="AH18"/>
      <c r="AI18"/>
      <c r="AJ18"/>
      <c r="AK18"/>
      <c r="AL18"/>
      <c r="AM18"/>
      <c r="AN18"/>
      <c r="AO18"/>
      <c r="AP18"/>
      <c r="AQ18"/>
    </row>
    <row r="19" spans="1:44" s="669" customFormat="1" ht="15" customHeight="1" x14ac:dyDescent="0.25">
      <c r="A19" s="394" t="s">
        <v>7</v>
      </c>
      <c r="B19" s="395" t="s">
        <v>17</v>
      </c>
      <c r="C19" s="130" t="s">
        <v>581</v>
      </c>
      <c r="D19" s="323" t="str">
        <f ca="1">IFERROR(OFFSET(Camp_List[P_Code],MATCH(Data_Demography_t[[#This Row],[Camp]],Camp_List[Camp Name],0)-1,0,1,1),"")</f>
        <v>MMR012CMP113</v>
      </c>
      <c r="E19" s="396" t="s">
        <v>831</v>
      </c>
      <c r="F19" s="397" t="s">
        <v>677</v>
      </c>
      <c r="G19" s="272">
        <v>382</v>
      </c>
      <c r="H19" s="130">
        <f t="shared" si="0"/>
        <v>382</v>
      </c>
      <c r="I19" s="130" t="s">
        <v>273</v>
      </c>
      <c r="J19" s="698">
        <v>43190</v>
      </c>
      <c r="K19" s="268"/>
      <c r="L19" s="169" t="s">
        <v>580</v>
      </c>
      <c r="M19" s="952">
        <v>340</v>
      </c>
      <c r="N19" s="419">
        <v>305</v>
      </c>
      <c r="O19" s="419">
        <v>645</v>
      </c>
      <c r="P19" s="419">
        <v>291</v>
      </c>
      <c r="Q19" s="419">
        <v>333</v>
      </c>
      <c r="R19" s="419">
        <v>624</v>
      </c>
      <c r="S19" s="419">
        <v>264</v>
      </c>
      <c r="T19" s="419">
        <v>268</v>
      </c>
      <c r="U19" s="419">
        <v>532</v>
      </c>
      <c r="V19" s="419">
        <v>360</v>
      </c>
      <c r="W19" s="419">
        <v>276</v>
      </c>
      <c r="X19" s="419">
        <v>636</v>
      </c>
      <c r="Y19" s="419">
        <v>454</v>
      </c>
      <c r="Z19" s="419">
        <v>406</v>
      </c>
      <c r="AA19" s="419">
        <v>860</v>
      </c>
      <c r="AB19" s="419">
        <v>78</v>
      </c>
      <c r="AC19" s="419">
        <v>65</v>
      </c>
      <c r="AD19" s="419">
        <v>143</v>
      </c>
      <c r="AE19" s="419">
        <v>3440</v>
      </c>
      <c r="AF19"/>
      <c r="AG19"/>
      <c r="AH19"/>
      <c r="AI19"/>
      <c r="AJ19"/>
      <c r="AK19"/>
      <c r="AL19"/>
      <c r="AM19"/>
      <c r="AN19"/>
      <c r="AO19"/>
      <c r="AP19"/>
      <c r="AQ19"/>
    </row>
    <row r="20" spans="1:44" ht="15" customHeight="1" x14ac:dyDescent="0.25">
      <c r="A20" s="394" t="s">
        <v>7</v>
      </c>
      <c r="B20" s="395" t="s">
        <v>17</v>
      </c>
      <c r="C20" s="130" t="s">
        <v>581</v>
      </c>
      <c r="D20" s="323" t="str">
        <f ca="1">IFERROR(OFFSET(Camp_List[P_Code],MATCH(Data_Demography_t[[#This Row],[Camp]],Camp_List[Camp Name],0)-1,0,1,1),"")</f>
        <v>MMR012CMP113</v>
      </c>
      <c r="E20" s="396" t="s">
        <v>607</v>
      </c>
      <c r="F20" s="397" t="s">
        <v>676</v>
      </c>
      <c r="G20" s="927">
        <v>410</v>
      </c>
      <c r="H20" s="130">
        <f t="shared" si="0"/>
        <v>-410</v>
      </c>
      <c r="I20" s="130" t="s">
        <v>273</v>
      </c>
      <c r="J20" s="698">
        <v>43190</v>
      </c>
      <c r="L20" s="169" t="s">
        <v>585</v>
      </c>
      <c r="M20" s="952">
        <v>478</v>
      </c>
      <c r="N20" s="419">
        <v>460</v>
      </c>
      <c r="O20" s="419">
        <v>938</v>
      </c>
      <c r="P20" s="419">
        <v>359</v>
      </c>
      <c r="Q20" s="419">
        <v>435</v>
      </c>
      <c r="R20" s="419">
        <v>794</v>
      </c>
      <c r="S20" s="419">
        <v>282</v>
      </c>
      <c r="T20" s="419">
        <v>355</v>
      </c>
      <c r="U20" s="419">
        <v>637</v>
      </c>
      <c r="V20" s="419">
        <v>453</v>
      </c>
      <c r="W20" s="419">
        <v>340</v>
      </c>
      <c r="X20" s="419">
        <v>793</v>
      </c>
      <c r="Y20" s="419">
        <v>348</v>
      </c>
      <c r="Z20" s="419">
        <v>413</v>
      </c>
      <c r="AA20" s="419">
        <v>761</v>
      </c>
      <c r="AB20" s="419">
        <v>39</v>
      </c>
      <c r="AC20" s="419">
        <v>45</v>
      </c>
      <c r="AD20" s="419">
        <v>84</v>
      </c>
      <c r="AE20" s="419">
        <v>4007</v>
      </c>
      <c r="AF20"/>
      <c r="AG20"/>
      <c r="AH20"/>
      <c r="AI20"/>
      <c r="AJ20"/>
      <c r="AK20"/>
      <c r="AL20"/>
      <c r="AM20"/>
      <c r="AN20"/>
      <c r="AO20"/>
      <c r="AP20"/>
      <c r="AQ20"/>
      <c r="AR20"/>
    </row>
    <row r="21" spans="1:44" ht="15" customHeight="1" x14ac:dyDescent="0.25">
      <c r="A21" s="394" t="s">
        <v>7</v>
      </c>
      <c r="B21" s="395" t="s">
        <v>17</v>
      </c>
      <c r="C21" s="130" t="s">
        <v>581</v>
      </c>
      <c r="D21" s="323" t="str">
        <f ca="1">IFERROR(OFFSET(Camp_List[P_Code],MATCH(Data_Demography_t[[#This Row],[Camp]],Camp_List[Camp Name],0)-1,0,1,1),"")</f>
        <v>MMR012CMP113</v>
      </c>
      <c r="E21" s="396" t="s">
        <v>607</v>
      </c>
      <c r="F21" s="397" t="s">
        <v>677</v>
      </c>
      <c r="G21" s="927">
        <v>328</v>
      </c>
      <c r="H21" s="130">
        <f t="shared" si="0"/>
        <v>328</v>
      </c>
      <c r="I21" s="130" t="s">
        <v>273</v>
      </c>
      <c r="J21" s="698">
        <v>43190</v>
      </c>
      <c r="L21" s="169" t="s">
        <v>68</v>
      </c>
      <c r="M21" s="952">
        <v>581</v>
      </c>
      <c r="N21" s="419">
        <v>497</v>
      </c>
      <c r="O21" s="419">
        <v>1078</v>
      </c>
      <c r="P21" s="419">
        <v>498</v>
      </c>
      <c r="Q21" s="419">
        <v>569</v>
      </c>
      <c r="R21" s="419">
        <v>1067</v>
      </c>
      <c r="S21" s="419">
        <v>451</v>
      </c>
      <c r="T21" s="419">
        <v>459</v>
      </c>
      <c r="U21" s="419">
        <v>910</v>
      </c>
      <c r="V21" s="419">
        <v>616</v>
      </c>
      <c r="W21" s="419">
        <v>471</v>
      </c>
      <c r="X21" s="419">
        <v>1087</v>
      </c>
      <c r="Y21" s="419">
        <v>774</v>
      </c>
      <c r="Z21" s="419">
        <v>694</v>
      </c>
      <c r="AA21" s="419">
        <v>1468</v>
      </c>
      <c r="AB21" s="419">
        <v>131</v>
      </c>
      <c r="AC21" s="419">
        <v>114</v>
      </c>
      <c r="AD21" s="419">
        <v>245</v>
      </c>
      <c r="AE21" s="419">
        <v>5855</v>
      </c>
      <c r="AF21"/>
      <c r="AG21"/>
      <c r="AH21"/>
      <c r="AI21"/>
      <c r="AJ21"/>
      <c r="AK21"/>
      <c r="AL21"/>
      <c r="AM21"/>
      <c r="AN21"/>
      <c r="AO21"/>
      <c r="AP21"/>
      <c r="AQ21"/>
      <c r="AR21"/>
    </row>
    <row r="22" spans="1:44" ht="15" customHeight="1" x14ac:dyDescent="0.25">
      <c r="A22" s="394" t="s">
        <v>7</v>
      </c>
      <c r="B22" s="395" t="s">
        <v>17</v>
      </c>
      <c r="C22" s="130" t="s">
        <v>581</v>
      </c>
      <c r="D22" s="323" t="str">
        <f ca="1">IFERROR(OFFSET(Camp_List[P_Code],MATCH(Data_Demography_t[[#This Row],[Camp]],Camp_List[Camp Name],0)-1,0,1,1),"")</f>
        <v>MMR012CMP113</v>
      </c>
      <c r="E22" s="396" t="s">
        <v>832</v>
      </c>
      <c r="F22" s="397" t="s">
        <v>676</v>
      </c>
      <c r="G22" s="272">
        <v>378</v>
      </c>
      <c r="H22" s="130">
        <f t="shared" si="0"/>
        <v>-378</v>
      </c>
      <c r="I22" s="130" t="s">
        <v>273</v>
      </c>
      <c r="J22" s="698">
        <v>43190</v>
      </c>
      <c r="L22" s="729" t="s">
        <v>66</v>
      </c>
      <c r="M22" s="952">
        <v>1097</v>
      </c>
      <c r="N22" s="419">
        <v>984</v>
      </c>
      <c r="O22" s="419">
        <v>2081</v>
      </c>
      <c r="P22" s="419">
        <v>1104</v>
      </c>
      <c r="Q22" s="419">
        <v>1070</v>
      </c>
      <c r="R22" s="419">
        <v>2174</v>
      </c>
      <c r="S22" s="419">
        <v>1023</v>
      </c>
      <c r="T22" s="419">
        <v>1043</v>
      </c>
      <c r="U22" s="419">
        <v>2066</v>
      </c>
      <c r="V22" s="419">
        <v>1236</v>
      </c>
      <c r="W22" s="419">
        <v>1110</v>
      </c>
      <c r="X22" s="419">
        <v>2346</v>
      </c>
      <c r="Y22" s="419">
        <v>1977</v>
      </c>
      <c r="Z22" s="419">
        <v>1883</v>
      </c>
      <c r="AA22" s="419">
        <v>3860</v>
      </c>
      <c r="AB22" s="419">
        <v>262</v>
      </c>
      <c r="AC22" s="419">
        <v>260</v>
      </c>
      <c r="AD22" s="419">
        <v>522</v>
      </c>
      <c r="AE22" s="419">
        <v>13049</v>
      </c>
      <c r="AF22"/>
      <c r="AG22"/>
      <c r="AH22"/>
      <c r="AI22"/>
      <c r="AJ22"/>
      <c r="AK22"/>
      <c r="AL22"/>
      <c r="AM22"/>
      <c r="AN22"/>
      <c r="AO22"/>
      <c r="AP22"/>
      <c r="AQ22"/>
      <c r="AR22"/>
    </row>
    <row r="23" spans="1:44" ht="15" customHeight="1" x14ac:dyDescent="0.25">
      <c r="A23" s="394" t="s">
        <v>7</v>
      </c>
      <c r="B23" s="395" t="s">
        <v>17</v>
      </c>
      <c r="C23" s="130" t="s">
        <v>581</v>
      </c>
      <c r="D23" s="323" t="str">
        <f ca="1">IFERROR(OFFSET(Camp_List[P_Code],MATCH(Data_Demography_t[[#This Row],[Camp]],Camp_List[Camp Name],0)-1,0,1,1),"")</f>
        <v>MMR012CMP113</v>
      </c>
      <c r="E23" s="396" t="s">
        <v>832</v>
      </c>
      <c r="F23" s="397" t="s">
        <v>677</v>
      </c>
      <c r="G23" s="272">
        <v>453</v>
      </c>
      <c r="H23" s="130">
        <f t="shared" si="0"/>
        <v>453</v>
      </c>
      <c r="I23" s="130" t="s">
        <v>273</v>
      </c>
      <c r="J23" s="698">
        <v>43190</v>
      </c>
      <c r="L23" s="727" t="s">
        <v>581</v>
      </c>
      <c r="M23" s="952">
        <v>413</v>
      </c>
      <c r="N23" s="419">
        <v>367</v>
      </c>
      <c r="O23" s="419">
        <v>780</v>
      </c>
      <c r="P23" s="419">
        <v>382</v>
      </c>
      <c r="Q23" s="419">
        <v>427</v>
      </c>
      <c r="R23" s="419">
        <v>809</v>
      </c>
      <c r="S23" s="419">
        <v>328</v>
      </c>
      <c r="T23" s="419">
        <v>410</v>
      </c>
      <c r="U23" s="419">
        <v>738</v>
      </c>
      <c r="V23" s="419">
        <v>453</v>
      </c>
      <c r="W23" s="419">
        <v>378</v>
      </c>
      <c r="X23" s="419">
        <v>831</v>
      </c>
      <c r="Y23" s="419">
        <v>775</v>
      </c>
      <c r="Z23" s="419">
        <v>716</v>
      </c>
      <c r="AA23" s="419">
        <v>1491</v>
      </c>
      <c r="AB23" s="419">
        <v>85</v>
      </c>
      <c r="AC23" s="419">
        <v>99</v>
      </c>
      <c r="AD23" s="419">
        <v>184</v>
      </c>
      <c r="AE23" s="419">
        <v>4833</v>
      </c>
      <c r="AF23"/>
      <c r="AG23"/>
      <c r="AH23"/>
      <c r="AI23"/>
      <c r="AJ23"/>
      <c r="AK23"/>
      <c r="AL23"/>
      <c r="AM23"/>
      <c r="AN23"/>
      <c r="AO23"/>
      <c r="AP23"/>
      <c r="AQ23"/>
      <c r="AR23"/>
    </row>
    <row r="24" spans="1:44" ht="15" customHeight="1" x14ac:dyDescent="0.25">
      <c r="A24" s="394" t="s">
        <v>7</v>
      </c>
      <c r="B24" s="395" t="s">
        <v>17</v>
      </c>
      <c r="C24" s="130" t="s">
        <v>581</v>
      </c>
      <c r="D24" s="323" t="str">
        <f ca="1">IFERROR(OFFSET(Camp_List[P_Code],MATCH(Data_Demography_t[[#This Row],[Camp]],Camp_List[Camp Name],0)-1,0,1,1),"")</f>
        <v>MMR012CMP113</v>
      </c>
      <c r="E24" s="396" t="s">
        <v>833</v>
      </c>
      <c r="F24" s="397" t="s">
        <v>676</v>
      </c>
      <c r="G24" s="272">
        <v>716</v>
      </c>
      <c r="H24" s="130">
        <f t="shared" si="0"/>
        <v>-716</v>
      </c>
      <c r="I24" s="130" t="s">
        <v>273</v>
      </c>
      <c r="J24" s="698">
        <v>43190</v>
      </c>
      <c r="L24" s="727" t="s">
        <v>582</v>
      </c>
      <c r="M24" s="952">
        <v>689</v>
      </c>
      <c r="N24" s="419">
        <v>694</v>
      </c>
      <c r="O24" s="419">
        <v>1383</v>
      </c>
      <c r="P24" s="419">
        <v>670</v>
      </c>
      <c r="Q24" s="419">
        <v>689</v>
      </c>
      <c r="R24" s="419">
        <v>1359</v>
      </c>
      <c r="S24" s="419">
        <v>575</v>
      </c>
      <c r="T24" s="419">
        <v>579</v>
      </c>
      <c r="U24" s="419">
        <v>1154</v>
      </c>
      <c r="V24" s="419">
        <v>820</v>
      </c>
      <c r="W24" s="419">
        <v>675</v>
      </c>
      <c r="X24" s="419">
        <v>1495</v>
      </c>
      <c r="Y24" s="419">
        <v>862</v>
      </c>
      <c r="Z24" s="419">
        <v>884</v>
      </c>
      <c r="AA24" s="419">
        <v>1746</v>
      </c>
      <c r="AB24" s="419">
        <v>120</v>
      </c>
      <c r="AC24" s="419">
        <v>120</v>
      </c>
      <c r="AD24" s="419">
        <v>240</v>
      </c>
      <c r="AE24" s="419">
        <v>7377</v>
      </c>
      <c r="AF24"/>
      <c r="AG24"/>
      <c r="AH24"/>
      <c r="AI24"/>
      <c r="AJ24"/>
      <c r="AK24"/>
      <c r="AL24"/>
      <c r="AM24"/>
      <c r="AN24"/>
      <c r="AO24"/>
      <c r="AP24"/>
      <c r="AQ24"/>
      <c r="AR24"/>
    </row>
    <row r="25" spans="1:44" ht="15" customHeight="1" x14ac:dyDescent="0.25">
      <c r="A25" s="394" t="s">
        <v>7</v>
      </c>
      <c r="B25" s="395" t="s">
        <v>17</v>
      </c>
      <c r="C25" s="130" t="s">
        <v>581</v>
      </c>
      <c r="D25" s="323" t="str">
        <f ca="1">IFERROR(OFFSET(Camp_List[P_Code],MATCH(Data_Demography_t[[#This Row],[Camp]],Camp_List[Camp Name],0)-1,0,1,1),"")</f>
        <v>MMR012CMP113</v>
      </c>
      <c r="E25" s="396" t="s">
        <v>833</v>
      </c>
      <c r="F25" s="397" t="s">
        <v>677</v>
      </c>
      <c r="G25" s="272">
        <v>775</v>
      </c>
      <c r="H25" s="130">
        <f t="shared" si="0"/>
        <v>775</v>
      </c>
      <c r="I25" s="130" t="s">
        <v>273</v>
      </c>
      <c r="J25" s="698">
        <v>43190</v>
      </c>
      <c r="L25" s="1056" t="s">
        <v>817</v>
      </c>
      <c r="M25" s="952">
        <v>236</v>
      </c>
      <c r="N25" s="419">
        <v>233</v>
      </c>
      <c r="O25" s="419">
        <v>469</v>
      </c>
      <c r="P25" s="419">
        <v>241</v>
      </c>
      <c r="Q25" s="419">
        <v>236</v>
      </c>
      <c r="R25" s="419">
        <v>477</v>
      </c>
      <c r="S25" s="419">
        <v>199</v>
      </c>
      <c r="T25" s="419">
        <v>196</v>
      </c>
      <c r="U25" s="419">
        <v>395</v>
      </c>
      <c r="V25" s="419">
        <v>246</v>
      </c>
      <c r="W25" s="419">
        <v>158</v>
      </c>
      <c r="X25" s="419">
        <v>404</v>
      </c>
      <c r="Y25" s="419">
        <v>427</v>
      </c>
      <c r="Z25" s="419">
        <v>325</v>
      </c>
      <c r="AA25" s="419">
        <v>752</v>
      </c>
      <c r="AB25" s="419">
        <v>53</v>
      </c>
      <c r="AC25" s="419">
        <v>56</v>
      </c>
      <c r="AD25" s="419">
        <v>109</v>
      </c>
      <c r="AE25" s="419">
        <v>2606</v>
      </c>
      <c r="AF25"/>
      <c r="AG25"/>
      <c r="AH25"/>
      <c r="AI25"/>
      <c r="AJ25"/>
      <c r="AK25"/>
      <c r="AL25"/>
      <c r="AM25"/>
      <c r="AN25"/>
      <c r="AO25"/>
      <c r="AP25"/>
      <c r="AQ25"/>
      <c r="AR25"/>
    </row>
    <row r="26" spans="1:44" ht="15" customHeight="1" x14ac:dyDescent="0.25">
      <c r="A26" s="394" t="s">
        <v>7</v>
      </c>
      <c r="B26" s="395" t="s">
        <v>17</v>
      </c>
      <c r="C26" s="130" t="s">
        <v>581</v>
      </c>
      <c r="D26" s="323" t="str">
        <f ca="1">IFERROR(OFFSET(Camp_List[P_Code],MATCH(Data_Demography_t[[#This Row],[Camp]],Camp_List[Camp Name],0)-1,0,1,1),"")</f>
        <v>MMR012CMP113</v>
      </c>
      <c r="E26" s="396" t="s">
        <v>809</v>
      </c>
      <c r="F26" s="397" t="s">
        <v>676</v>
      </c>
      <c r="G26" s="272">
        <v>99</v>
      </c>
      <c r="H26" s="130">
        <f t="shared" si="0"/>
        <v>-99</v>
      </c>
      <c r="I26" s="130" t="s">
        <v>273</v>
      </c>
      <c r="J26" s="698">
        <v>43190</v>
      </c>
      <c r="L26" s="728" t="s">
        <v>36</v>
      </c>
      <c r="M26" s="952">
        <v>236</v>
      </c>
      <c r="N26" s="419">
        <v>233</v>
      </c>
      <c r="O26" s="419">
        <v>469</v>
      </c>
      <c r="P26" s="419">
        <v>241</v>
      </c>
      <c r="Q26" s="419">
        <v>236</v>
      </c>
      <c r="R26" s="419">
        <v>477</v>
      </c>
      <c r="S26" s="419">
        <v>199</v>
      </c>
      <c r="T26" s="419">
        <v>196</v>
      </c>
      <c r="U26" s="419">
        <v>395</v>
      </c>
      <c r="V26" s="419">
        <v>246</v>
      </c>
      <c r="W26" s="419">
        <v>158</v>
      </c>
      <c r="X26" s="419">
        <v>404</v>
      </c>
      <c r="Y26" s="419">
        <v>427</v>
      </c>
      <c r="Z26" s="419">
        <v>325</v>
      </c>
      <c r="AA26" s="419">
        <v>752</v>
      </c>
      <c r="AB26" s="419">
        <v>53</v>
      </c>
      <c r="AC26" s="419">
        <v>56</v>
      </c>
      <c r="AD26" s="419">
        <v>109</v>
      </c>
      <c r="AE26" s="419">
        <v>2606</v>
      </c>
      <c r="AF26"/>
      <c r="AG26"/>
      <c r="AH26"/>
      <c r="AI26"/>
      <c r="AJ26"/>
      <c r="AK26"/>
      <c r="AL26"/>
      <c r="AM26"/>
      <c r="AN26"/>
      <c r="AO26"/>
      <c r="AP26"/>
      <c r="AQ26"/>
    </row>
    <row r="27" spans="1:44" ht="15" customHeight="1" x14ac:dyDescent="0.25">
      <c r="A27" s="394" t="s">
        <v>7</v>
      </c>
      <c r="B27" s="395" t="s">
        <v>17</v>
      </c>
      <c r="C27" s="130" t="s">
        <v>581</v>
      </c>
      <c r="D27" s="323" t="str">
        <f ca="1">IFERROR(OFFSET(Camp_List[P_Code],MATCH(Data_Demography_t[[#This Row],[Camp]],Camp_List[Camp Name],0)-1,0,1,1),"")</f>
        <v>MMR012CMP113</v>
      </c>
      <c r="E27" s="396" t="s">
        <v>809</v>
      </c>
      <c r="F27" s="397" t="s">
        <v>677</v>
      </c>
      <c r="G27" s="272">
        <v>85</v>
      </c>
      <c r="H27" s="130">
        <f t="shared" si="0"/>
        <v>85</v>
      </c>
      <c r="I27" s="130" t="s">
        <v>273</v>
      </c>
      <c r="J27" s="698">
        <v>43190</v>
      </c>
      <c r="L27" s="1055" t="s">
        <v>204</v>
      </c>
      <c r="M27" s="419">
        <v>11877</v>
      </c>
      <c r="N27" s="419">
        <v>11751.964797472639</v>
      </c>
      <c r="O27" s="419">
        <v>23628.964797472639</v>
      </c>
      <c r="P27" s="419">
        <v>10809</v>
      </c>
      <c r="Q27" s="419">
        <v>11721.222159539659</v>
      </c>
      <c r="R27" s="419">
        <v>22530.222159539659</v>
      </c>
      <c r="S27" s="419">
        <v>8480</v>
      </c>
      <c r="T27" s="419">
        <v>8970.9377186054371</v>
      </c>
      <c r="U27" s="419">
        <v>17450.937718605441</v>
      </c>
      <c r="V27" s="419">
        <v>12594.711384407085</v>
      </c>
      <c r="W27" s="419">
        <v>9302</v>
      </c>
      <c r="X27" s="419">
        <v>21896.711384407085</v>
      </c>
      <c r="Y27" s="419">
        <v>15290.765542141487</v>
      </c>
      <c r="Z27" s="419">
        <v>14581</v>
      </c>
      <c r="AA27" s="419">
        <v>29871.765542141486</v>
      </c>
      <c r="AB27" s="419">
        <v>2218</v>
      </c>
      <c r="AC27" s="419">
        <v>2262</v>
      </c>
      <c r="AD27" s="419">
        <v>4480</v>
      </c>
      <c r="AE27" s="419">
        <v>119858.60160216631</v>
      </c>
      <c r="AF27"/>
      <c r="AG27"/>
      <c r="AH27"/>
      <c r="AI27"/>
      <c r="AJ27"/>
      <c r="AK27"/>
      <c r="AL27"/>
      <c r="AM27"/>
      <c r="AN27"/>
    </row>
    <row r="28" spans="1:44" ht="15" customHeight="1" x14ac:dyDescent="0.25">
      <c r="A28" s="394" t="s">
        <v>7</v>
      </c>
      <c r="B28" s="395" t="s">
        <v>17</v>
      </c>
      <c r="C28" s="130" t="s">
        <v>582</v>
      </c>
      <c r="D28" s="323" t="str">
        <f ca="1">IFERROR(OFFSET(Camp_List[P_Code],MATCH(Data_Demography_t[[#This Row],[Camp]],Camp_List[Camp Name],0)-1,0,1,1),"")</f>
        <v>MMR012CMP114</v>
      </c>
      <c r="E28" s="396" t="s">
        <v>1047</v>
      </c>
      <c r="F28" s="397" t="s">
        <v>676</v>
      </c>
      <c r="G28" s="927">
        <v>694</v>
      </c>
      <c r="H28" s="130">
        <f t="shared" si="0"/>
        <v>-694</v>
      </c>
      <c r="I28" s="130" t="s">
        <v>273</v>
      </c>
      <c r="J28" s="698">
        <v>43190</v>
      </c>
      <c r="L28"/>
      <c r="M28"/>
      <c r="N28"/>
      <c r="O28"/>
      <c r="P28"/>
      <c r="Q28"/>
      <c r="R28"/>
      <c r="S28"/>
      <c r="T28"/>
      <c r="U28"/>
      <c r="V28"/>
      <c r="W28"/>
      <c r="X28"/>
      <c r="Y28"/>
      <c r="Z28"/>
      <c r="AA28"/>
      <c r="AB28"/>
      <c r="AC28"/>
      <c r="AD28"/>
      <c r="AE28"/>
    </row>
    <row r="29" spans="1:44" ht="15" customHeight="1" x14ac:dyDescent="0.25">
      <c r="A29" s="394" t="s">
        <v>7</v>
      </c>
      <c r="B29" s="395" t="s">
        <v>17</v>
      </c>
      <c r="C29" s="130" t="s">
        <v>582</v>
      </c>
      <c r="D29" s="323" t="str">
        <f ca="1">IFERROR(OFFSET(Camp_List[P_Code],MATCH(Data_Demography_t[[#This Row],[Camp]],Camp_List[Camp Name],0)-1,0,1,1),"")</f>
        <v>MMR012CMP114</v>
      </c>
      <c r="E29" s="396" t="s">
        <v>1047</v>
      </c>
      <c r="F29" s="397" t="s">
        <v>677</v>
      </c>
      <c r="G29" s="927">
        <v>689</v>
      </c>
      <c r="H29" s="130">
        <f t="shared" si="0"/>
        <v>689</v>
      </c>
      <c r="I29" s="130" t="s">
        <v>273</v>
      </c>
      <c r="J29" s="698">
        <v>43190</v>
      </c>
      <c r="L29"/>
      <c r="M29"/>
      <c r="N29"/>
      <c r="O29"/>
      <c r="P29"/>
      <c r="Q29"/>
      <c r="R29"/>
      <c r="S29"/>
      <c r="T29"/>
      <c r="U29"/>
      <c r="V29"/>
      <c r="W29"/>
      <c r="X29"/>
      <c r="Y29"/>
      <c r="Z29"/>
      <c r="AA29"/>
      <c r="AB29"/>
      <c r="AC29"/>
      <c r="AD29"/>
      <c r="AE29" s="16"/>
      <c r="AF29" s="16"/>
      <c r="AG29" s="16"/>
      <c r="AH29" s="16"/>
    </row>
    <row r="30" spans="1:44" ht="15" customHeight="1" x14ac:dyDescent="0.25">
      <c r="A30" s="394" t="s">
        <v>7</v>
      </c>
      <c r="B30" s="395" t="s">
        <v>17</v>
      </c>
      <c r="C30" s="130" t="s">
        <v>582</v>
      </c>
      <c r="D30" s="323" t="str">
        <f ca="1">IFERROR(OFFSET(Camp_List[P_Code],MATCH(Data_Demography_t[[#This Row],[Camp]],Camp_List[Camp Name],0)-1,0,1,1),"")</f>
        <v>MMR012CMP114</v>
      </c>
      <c r="E30" s="396" t="s">
        <v>831</v>
      </c>
      <c r="F30" s="397" t="s">
        <v>676</v>
      </c>
      <c r="G30" s="927">
        <v>689</v>
      </c>
      <c r="H30" s="130">
        <f t="shared" si="0"/>
        <v>-689</v>
      </c>
      <c r="I30" s="130" t="s">
        <v>273</v>
      </c>
      <c r="J30" s="698">
        <v>43190</v>
      </c>
      <c r="L30" s="170" t="s">
        <v>1</v>
      </c>
      <c r="M30" s="670" t="s">
        <v>604</v>
      </c>
      <c r="P30" s="669"/>
      <c r="Q30"/>
      <c r="R30"/>
      <c r="S30"/>
      <c r="T30"/>
      <c r="U30"/>
      <c r="V30"/>
      <c r="W30"/>
      <c r="X30"/>
      <c r="Y30"/>
      <c r="Z30"/>
      <c r="AA30"/>
      <c r="AB30"/>
      <c r="AC30"/>
      <c r="AD30"/>
      <c r="AE30" s="16"/>
      <c r="AF30" s="16"/>
      <c r="AG30" s="16"/>
      <c r="AH30" s="16"/>
    </row>
    <row r="31" spans="1:44" ht="15" customHeight="1" x14ac:dyDescent="0.25">
      <c r="A31" s="394" t="s">
        <v>7</v>
      </c>
      <c r="B31" s="395" t="s">
        <v>17</v>
      </c>
      <c r="C31" s="130" t="s">
        <v>582</v>
      </c>
      <c r="D31" s="323" t="str">
        <f ca="1">IFERROR(OFFSET(Camp_List[P_Code],MATCH(Data_Demography_t[[#This Row],[Camp]],Camp_List[Camp Name],0)-1,0,1,1),"")</f>
        <v>MMR012CMP114</v>
      </c>
      <c r="E31" s="396" t="s">
        <v>831</v>
      </c>
      <c r="F31" s="397" t="s">
        <v>677</v>
      </c>
      <c r="G31" s="927">
        <v>670</v>
      </c>
      <c r="H31" s="130">
        <f t="shared" si="0"/>
        <v>670</v>
      </c>
      <c r="I31" s="130" t="s">
        <v>273</v>
      </c>
      <c r="J31" s="698">
        <v>43190</v>
      </c>
      <c r="L31" s="244" t="s">
        <v>492</v>
      </c>
      <c r="M31" s="89" t="s">
        <v>604</v>
      </c>
      <c r="N31"/>
      <c r="O31"/>
      <c r="P31"/>
      <c r="Q31"/>
      <c r="R31"/>
      <c r="S31"/>
      <c r="T31"/>
      <c r="U31"/>
      <c r="V31"/>
      <c r="W31"/>
      <c r="X31"/>
      <c r="Y31"/>
      <c r="Z31"/>
      <c r="AA31"/>
      <c r="AB31"/>
      <c r="AC31"/>
      <c r="AD31"/>
      <c r="AE31" s="16"/>
      <c r="AF31" s="16"/>
      <c r="AG31" s="16"/>
      <c r="AH31" s="16"/>
    </row>
    <row r="32" spans="1:44" s="669" customFormat="1" ht="15" customHeight="1" x14ac:dyDescent="0.25">
      <c r="A32" s="394" t="s">
        <v>7</v>
      </c>
      <c r="B32" s="395" t="s">
        <v>17</v>
      </c>
      <c r="C32" s="130" t="s">
        <v>582</v>
      </c>
      <c r="D32" s="323" t="str">
        <f ca="1">IFERROR(OFFSET(Camp_List[P_Code],MATCH(Data_Demography_t[[#This Row],[Camp]],Camp_List[Camp Name],0)-1,0,1,1),"")</f>
        <v>MMR012CMP114</v>
      </c>
      <c r="E32" s="396" t="s">
        <v>607</v>
      </c>
      <c r="F32" s="397" t="s">
        <v>676</v>
      </c>
      <c r="G32" s="927">
        <v>579</v>
      </c>
      <c r="H32" s="130">
        <f t="shared" si="0"/>
        <v>-579</v>
      </c>
      <c r="I32" s="130" t="s">
        <v>273</v>
      </c>
      <c r="J32" s="698">
        <v>43190</v>
      </c>
      <c r="K32" s="268"/>
      <c r="L32"/>
      <c r="M32"/>
      <c r="N32"/>
      <c r="O32"/>
      <c r="P32"/>
      <c r="Q32"/>
      <c r="R32"/>
      <c r="S32"/>
      <c r="T32"/>
      <c r="U32"/>
      <c r="V32"/>
      <c r="W32"/>
      <c r="X32"/>
      <c r="Y32"/>
      <c r="Z32"/>
      <c r="AA32"/>
      <c r="AB32"/>
      <c r="AC32"/>
      <c r="AD32"/>
      <c r="AE32" s="16"/>
      <c r="AF32" s="16"/>
      <c r="AG32" s="16"/>
      <c r="AH32" s="16"/>
    </row>
    <row r="33" spans="1:34" s="669" customFormat="1" ht="15" customHeight="1" x14ac:dyDescent="0.25">
      <c r="A33" s="394" t="s">
        <v>7</v>
      </c>
      <c r="B33" s="395" t="s">
        <v>17</v>
      </c>
      <c r="C33" s="130" t="s">
        <v>582</v>
      </c>
      <c r="D33" s="323" t="str">
        <f ca="1">IFERROR(OFFSET(Camp_List[P_Code],MATCH(Data_Demography_t[[#This Row],[Camp]],Camp_List[Camp Name],0)-1,0,1,1),"")</f>
        <v>MMR012CMP114</v>
      </c>
      <c r="E33" s="396" t="s">
        <v>607</v>
      </c>
      <c r="F33" s="397" t="s">
        <v>677</v>
      </c>
      <c r="G33" s="927">
        <v>575</v>
      </c>
      <c r="H33" s="130">
        <f t="shared" si="0"/>
        <v>575</v>
      </c>
      <c r="I33" s="130" t="s">
        <v>273</v>
      </c>
      <c r="J33" s="698">
        <v>43190</v>
      </c>
      <c r="K33" s="268"/>
      <c r="L33" s="170" t="s">
        <v>685</v>
      </c>
      <c r="M33" s="170" t="s">
        <v>616</v>
      </c>
      <c r="N33" s="167"/>
      <c r="O33"/>
      <c r="P33" s="78"/>
      <c r="AE33" s="16"/>
      <c r="AF33" s="16"/>
      <c r="AG33" s="16"/>
      <c r="AH33" s="16"/>
    </row>
    <row r="34" spans="1:34" ht="15" customHeight="1" x14ac:dyDescent="0.25">
      <c r="A34" s="394" t="s">
        <v>7</v>
      </c>
      <c r="B34" s="395" t="s">
        <v>17</v>
      </c>
      <c r="C34" s="130" t="s">
        <v>582</v>
      </c>
      <c r="D34" s="323" t="str">
        <f ca="1">IFERROR(OFFSET(Camp_List[P_Code],MATCH(Data_Demography_t[[#This Row],[Camp]],Camp_List[Camp Name],0)-1,0,1,1),"")</f>
        <v>MMR012CMP114</v>
      </c>
      <c r="E34" s="396" t="s">
        <v>832</v>
      </c>
      <c r="F34" s="397" t="s">
        <v>676</v>
      </c>
      <c r="G34" s="927">
        <v>675</v>
      </c>
      <c r="H34" s="130">
        <f t="shared" si="0"/>
        <v>-675</v>
      </c>
      <c r="I34" s="130" t="s">
        <v>273</v>
      </c>
      <c r="J34" s="698">
        <v>43190</v>
      </c>
      <c r="L34" s="170" t="s">
        <v>203</v>
      </c>
      <c r="M34" s="42" t="s">
        <v>677</v>
      </c>
      <c r="N34" s="245" t="s">
        <v>676</v>
      </c>
      <c r="O34" s="940" t="s">
        <v>1020</v>
      </c>
      <c r="Q34"/>
      <c r="R34"/>
      <c r="S34"/>
      <c r="T34"/>
      <c r="U34"/>
      <c r="V34"/>
      <c r="W34"/>
      <c r="X34"/>
      <c r="Y34"/>
      <c r="Z34"/>
      <c r="AA34"/>
      <c r="AB34"/>
      <c r="AE34" s="16"/>
      <c r="AF34" s="16"/>
      <c r="AG34" s="16"/>
      <c r="AH34" s="16"/>
    </row>
    <row r="35" spans="1:34" ht="15" customHeight="1" x14ac:dyDescent="0.25">
      <c r="A35" s="394" t="s">
        <v>7</v>
      </c>
      <c r="B35" s="395" t="s">
        <v>17</v>
      </c>
      <c r="C35" s="130" t="s">
        <v>582</v>
      </c>
      <c r="D35" s="323" t="str">
        <f ca="1">IFERROR(OFFSET(Camp_List[P_Code],MATCH(Data_Demography_t[[#This Row],[Camp]],Camp_List[Camp Name],0)-1,0,1,1),"")</f>
        <v>MMR012CMP114</v>
      </c>
      <c r="E35" s="396" t="s">
        <v>832</v>
      </c>
      <c r="F35" s="397" t="s">
        <v>677</v>
      </c>
      <c r="G35" s="927">
        <v>820</v>
      </c>
      <c r="H35" s="130">
        <f t="shared" si="0"/>
        <v>820</v>
      </c>
      <c r="I35" s="130" t="s">
        <v>273</v>
      </c>
      <c r="J35" s="698">
        <v>43190</v>
      </c>
      <c r="L35" s="1055" t="s">
        <v>809</v>
      </c>
      <c r="M35" s="950">
        <v>2218</v>
      </c>
      <c r="N35" s="950">
        <v>-2262</v>
      </c>
      <c r="O35" s="951">
        <f>-(GETPIVOTDATA("Total2",$L$33,"Age_Cat","60+","Sex","M"))</f>
        <v>2262</v>
      </c>
      <c r="P35" s="35">
        <f>-GETPIVOTDATA("Total2",$L$33,"Age_Cat","60+","Sex","M")</f>
        <v>2262</v>
      </c>
      <c r="Q35"/>
      <c r="R35"/>
      <c r="S35"/>
      <c r="T35"/>
      <c r="U35"/>
      <c r="V35"/>
      <c r="W35"/>
      <c r="X35"/>
      <c r="Y35"/>
      <c r="Z35"/>
      <c r="AA35"/>
      <c r="AB35"/>
      <c r="AE35" s="16"/>
      <c r="AF35" s="16"/>
      <c r="AG35" s="16"/>
      <c r="AH35" s="16"/>
    </row>
    <row r="36" spans="1:34" ht="15" customHeight="1" x14ac:dyDescent="0.25">
      <c r="A36" s="394" t="s">
        <v>7</v>
      </c>
      <c r="B36" s="395" t="s">
        <v>17</v>
      </c>
      <c r="C36" s="130" t="s">
        <v>582</v>
      </c>
      <c r="D36" s="323" t="str">
        <f ca="1">IFERROR(OFFSET(Camp_List[P_Code],MATCH(Data_Demography_t[[#This Row],[Camp]],Camp_List[Camp Name],0)-1,0,1,1),"")</f>
        <v>MMR012CMP114</v>
      </c>
      <c r="E36" s="396" t="s">
        <v>833</v>
      </c>
      <c r="F36" s="397" t="s">
        <v>676</v>
      </c>
      <c r="G36" s="927">
        <v>884</v>
      </c>
      <c r="H36" s="130">
        <f t="shared" si="0"/>
        <v>-884</v>
      </c>
      <c r="I36" s="130" t="s">
        <v>273</v>
      </c>
      <c r="J36" s="698">
        <v>43190</v>
      </c>
      <c r="L36" s="1056" t="s">
        <v>833</v>
      </c>
      <c r="M36" s="419">
        <v>15290.765542141487</v>
      </c>
      <c r="N36" s="419">
        <v>-14581</v>
      </c>
      <c r="O36" s="951">
        <f>-(GETPIVOTDATA("Total2",$L$33,"Age_Cat","26 to 59","Sex","M"))</f>
        <v>14581</v>
      </c>
      <c r="P36" s="35">
        <f>-GETPIVOTDATA("Total2",$L$33,"Age_Cat","26 to 59","Sex","M")</f>
        <v>14581</v>
      </c>
      <c r="Q36"/>
      <c r="R36"/>
      <c r="S36"/>
      <c r="T36"/>
      <c r="U36"/>
      <c r="V36"/>
      <c r="W36"/>
      <c r="X36"/>
      <c r="Y36"/>
      <c r="Z36"/>
      <c r="AA36"/>
      <c r="AB36"/>
      <c r="AE36" s="16"/>
      <c r="AF36" s="16"/>
      <c r="AG36" s="16"/>
      <c r="AH36" s="16"/>
    </row>
    <row r="37" spans="1:34" ht="15" customHeight="1" x14ac:dyDescent="0.25">
      <c r="A37" s="394" t="s">
        <v>7</v>
      </c>
      <c r="B37" s="395" t="s">
        <v>17</v>
      </c>
      <c r="C37" s="130" t="s">
        <v>582</v>
      </c>
      <c r="D37" s="323" t="str">
        <f ca="1">IFERROR(OFFSET(Camp_List[P_Code],MATCH(Data_Demography_t[[#This Row],[Camp]],Camp_List[Camp Name],0)-1,0,1,1),"")</f>
        <v>MMR012CMP114</v>
      </c>
      <c r="E37" s="396" t="s">
        <v>833</v>
      </c>
      <c r="F37" s="397" t="s">
        <v>677</v>
      </c>
      <c r="G37" s="927">
        <v>862</v>
      </c>
      <c r="H37" s="130">
        <f t="shared" si="0"/>
        <v>862</v>
      </c>
      <c r="I37" s="130" t="s">
        <v>273</v>
      </c>
      <c r="J37" s="698">
        <v>43190</v>
      </c>
      <c r="L37" s="1056" t="s">
        <v>832</v>
      </c>
      <c r="M37" s="419">
        <v>12594.711384407085</v>
      </c>
      <c r="N37" s="419">
        <v>-9302</v>
      </c>
      <c r="O37" s="951">
        <f>-(GETPIVOTDATA("Total2",$L$33,"Age_Cat","18 to 25","Sex","M"))</f>
        <v>9302</v>
      </c>
      <c r="P37" s="35">
        <f>-GETPIVOTDATA("Total2",$L$33,"Age_Cat","18 to 25","Sex","M")</f>
        <v>9302</v>
      </c>
      <c r="Q37"/>
      <c r="R37"/>
      <c r="AE37" s="16"/>
      <c r="AF37" s="16"/>
      <c r="AG37" s="16"/>
      <c r="AH37" s="16"/>
    </row>
    <row r="38" spans="1:34" ht="15" customHeight="1" x14ac:dyDescent="0.25">
      <c r="A38" s="394" t="s">
        <v>7</v>
      </c>
      <c r="B38" s="395" t="s">
        <v>17</v>
      </c>
      <c r="C38" s="130" t="s">
        <v>582</v>
      </c>
      <c r="D38" s="323" t="str">
        <f ca="1">IFERROR(OFFSET(Camp_List[P_Code],MATCH(Data_Demography_t[[#This Row],[Camp]],Camp_List[Camp Name],0)-1,0,1,1),"")</f>
        <v>MMR012CMP114</v>
      </c>
      <c r="E38" s="396" t="s">
        <v>809</v>
      </c>
      <c r="F38" s="397" t="s">
        <v>676</v>
      </c>
      <c r="G38" s="927">
        <v>120</v>
      </c>
      <c r="H38" s="130">
        <f t="shared" si="0"/>
        <v>-120</v>
      </c>
      <c r="I38" s="130" t="s">
        <v>273</v>
      </c>
      <c r="J38" s="698">
        <v>43190</v>
      </c>
      <c r="L38" s="1056" t="s">
        <v>607</v>
      </c>
      <c r="M38" s="419">
        <v>8480</v>
      </c>
      <c r="N38" s="419">
        <v>-8970.9377186054389</v>
      </c>
      <c r="O38" s="951">
        <f>-(GETPIVOTDATA("Total2",$L$33,"Age_Cat","12 to 17","Sex","M"))</f>
        <v>8970.9377186054389</v>
      </c>
      <c r="P38" s="35">
        <f>-GETPIVOTDATA("Total2",$L$33,"Age_Cat","12 to 17","Sex","M")</f>
        <v>8970.9377186054389</v>
      </c>
      <c r="Q38"/>
      <c r="R38"/>
      <c r="AE38" s="16"/>
      <c r="AF38" s="16"/>
      <c r="AG38" s="16"/>
      <c r="AH38" s="16"/>
    </row>
    <row r="39" spans="1:34" ht="15" customHeight="1" x14ac:dyDescent="0.25">
      <c r="A39" s="394" t="s">
        <v>7</v>
      </c>
      <c r="B39" s="395" t="s">
        <v>17</v>
      </c>
      <c r="C39" s="130" t="s">
        <v>582</v>
      </c>
      <c r="D39" s="323" t="str">
        <f ca="1">IFERROR(OFFSET(Camp_List[P_Code],MATCH(Data_Demography_t[[#This Row],[Camp]],Camp_List[Camp Name],0)-1,0,1,1),"")</f>
        <v>MMR012CMP114</v>
      </c>
      <c r="E39" s="396" t="s">
        <v>809</v>
      </c>
      <c r="F39" s="397" t="s">
        <v>677</v>
      </c>
      <c r="G39" s="927">
        <v>120</v>
      </c>
      <c r="H39" s="130">
        <f t="shared" si="0"/>
        <v>120</v>
      </c>
      <c r="I39" s="130" t="s">
        <v>273</v>
      </c>
      <c r="J39" s="698">
        <v>43190</v>
      </c>
      <c r="L39" s="1056" t="s">
        <v>831</v>
      </c>
      <c r="M39" s="419">
        <v>10809</v>
      </c>
      <c r="N39" s="419">
        <v>-11721.222159539659</v>
      </c>
      <c r="O39" s="951">
        <f>-(GETPIVOTDATA("Total2",$L$33,"Age_Cat","6 to 11","Sex","M"))</f>
        <v>11721.222159539659</v>
      </c>
      <c r="P39" s="35">
        <f>-GETPIVOTDATA("Total2",$L$33,"Age_Cat","6 to 11","Sex","M")</f>
        <v>11721.222159539659</v>
      </c>
      <c r="AE39" s="16"/>
      <c r="AF39" s="16"/>
      <c r="AG39" s="16"/>
      <c r="AH39" s="16"/>
    </row>
    <row r="40" spans="1:34" ht="15" customHeight="1" x14ac:dyDescent="0.25">
      <c r="A40" s="394" t="s">
        <v>7</v>
      </c>
      <c r="B40" s="395" t="s">
        <v>17</v>
      </c>
      <c r="C40" s="130" t="s">
        <v>61</v>
      </c>
      <c r="D40" s="323" t="str">
        <f ca="1">IFERROR(OFFSET(Camp_List[P_Code],MATCH(Data_Demography_t[[#This Row],[Camp]],Camp_List[Camp Name],0)-1,0,1,1),"")</f>
        <v>MMR012CMP041</v>
      </c>
      <c r="E40" s="276" t="s">
        <v>1047</v>
      </c>
      <c r="F40" s="397" t="s">
        <v>676</v>
      </c>
      <c r="G40" s="272">
        <v>1017.9647974726391</v>
      </c>
      <c r="H40" s="949">
        <f t="shared" si="0"/>
        <v>-1017.9647974726391</v>
      </c>
      <c r="I40" s="313" t="s">
        <v>273</v>
      </c>
      <c r="J40" s="698">
        <v>43190</v>
      </c>
      <c r="L40" s="1056" t="s">
        <v>1047</v>
      </c>
      <c r="M40" s="419">
        <v>11877</v>
      </c>
      <c r="N40" s="419">
        <v>-11751.964797472639</v>
      </c>
      <c r="O40" s="951">
        <f>-(GETPIVOTDATA("Total2",$L$33,"Age_Cat","0-5","Sex","M"))</f>
        <v>11751.964797472639</v>
      </c>
      <c r="P40" s="35">
        <f>-GETPIVOTDATA("Total2",$L$33,"Age_Cat","0-5","Sex","M")</f>
        <v>11751.964797472639</v>
      </c>
      <c r="AE40" s="16"/>
      <c r="AF40" s="16"/>
      <c r="AG40" s="16"/>
      <c r="AH40" s="16"/>
    </row>
    <row r="41" spans="1:34" ht="15" customHeight="1" x14ac:dyDescent="0.25">
      <c r="A41" s="394" t="s">
        <v>7</v>
      </c>
      <c r="B41" s="395" t="s">
        <v>17</v>
      </c>
      <c r="C41" s="130" t="s">
        <v>61</v>
      </c>
      <c r="D41" s="323" t="str">
        <f ca="1">IFERROR(OFFSET(Camp_List[P_Code],MATCH(Data_Demography_t[[#This Row],[Camp]],Camp_List[Camp Name],0)-1,0,1,1),"")</f>
        <v>MMR012CMP041</v>
      </c>
      <c r="E41" s="276" t="s">
        <v>1047</v>
      </c>
      <c r="F41" s="397" t="s">
        <v>677</v>
      </c>
      <c r="G41" s="272">
        <v>963</v>
      </c>
      <c r="H41" s="949">
        <f t="shared" si="0"/>
        <v>963</v>
      </c>
      <c r="I41" s="313" t="s">
        <v>273</v>
      </c>
      <c r="J41" s="698">
        <v>43190</v>
      </c>
      <c r="L41" s="1055" t="s">
        <v>204</v>
      </c>
      <c r="M41" s="950">
        <v>61269.476926548574</v>
      </c>
      <c r="N41" s="950">
        <v>-58589.124675617742</v>
      </c>
      <c r="O41" s="951">
        <f>-(GETPIVOTDATA("Total2",$L$33,"Sex","M"))</f>
        <v>58589.124675617742</v>
      </c>
      <c r="P41" s="35">
        <f>-GETPIVOTDATA("Total2",$L$33,"Sex","M")</f>
        <v>58589.124675617742</v>
      </c>
      <c r="AE41" s="16"/>
      <c r="AF41" s="16"/>
      <c r="AG41" s="16"/>
      <c r="AH41" s="16"/>
    </row>
    <row r="42" spans="1:34" ht="15" customHeight="1" x14ac:dyDescent="0.25">
      <c r="A42" s="274" t="s">
        <v>7</v>
      </c>
      <c r="B42" s="271" t="s">
        <v>17</v>
      </c>
      <c r="C42" s="275" t="s">
        <v>61</v>
      </c>
      <c r="D42" s="323" t="str">
        <f ca="1">IFERROR(OFFSET(Camp_List[P_Code],MATCH(Data_Demography_t[[#This Row],[Camp]],Camp_List[Camp Name],0)-1,0,1,1),"")</f>
        <v>MMR012CMP041</v>
      </c>
      <c r="E42" s="396" t="s">
        <v>831</v>
      </c>
      <c r="F42" s="275" t="s">
        <v>676</v>
      </c>
      <c r="G42" s="272">
        <v>1078.2221595396593</v>
      </c>
      <c r="H42" s="949">
        <f t="shared" si="0"/>
        <v>-1078.2221595396593</v>
      </c>
      <c r="I42" s="275" t="s">
        <v>273</v>
      </c>
      <c r="J42" s="698">
        <v>43190</v>
      </c>
      <c r="L42"/>
      <c r="M42"/>
      <c r="N42"/>
      <c r="O42"/>
      <c r="P42" s="701">
        <f>-(GETPIVOTDATA("Total2",$L$33,"Sex","M"))</f>
        <v>58589.124675617742</v>
      </c>
      <c r="AE42" s="16"/>
      <c r="AF42" s="16"/>
      <c r="AG42" s="16"/>
      <c r="AH42" s="16"/>
    </row>
    <row r="43" spans="1:34" ht="15" customHeight="1" x14ac:dyDescent="0.25">
      <c r="A43" s="274" t="s">
        <v>7</v>
      </c>
      <c r="B43" s="271" t="s">
        <v>17</v>
      </c>
      <c r="C43" s="275" t="s">
        <v>61</v>
      </c>
      <c r="D43" s="323" t="str">
        <f ca="1">IFERROR(OFFSET(Camp_List[P_Code],MATCH(Data_Demography_t[[#This Row],[Camp]],Camp_List[Camp Name],0)-1,0,1,1),"")</f>
        <v>MMR012CMP041</v>
      </c>
      <c r="E43" s="396" t="s">
        <v>831</v>
      </c>
      <c r="F43" s="311" t="s">
        <v>677</v>
      </c>
      <c r="G43" s="272">
        <v>1087</v>
      </c>
      <c r="H43" s="949">
        <f t="shared" si="0"/>
        <v>1087</v>
      </c>
      <c r="I43" s="275" t="s">
        <v>273</v>
      </c>
      <c r="J43" s="698">
        <v>43190</v>
      </c>
      <c r="L43"/>
      <c r="M43"/>
      <c r="N43"/>
      <c r="O43"/>
      <c r="P43"/>
      <c r="AE43" s="16"/>
      <c r="AF43" s="16"/>
      <c r="AG43" s="16"/>
      <c r="AH43" s="16"/>
    </row>
    <row r="44" spans="1:34" ht="15" customHeight="1" x14ac:dyDescent="0.25">
      <c r="A44" s="274" t="s">
        <v>7</v>
      </c>
      <c r="B44" s="271" t="s">
        <v>17</v>
      </c>
      <c r="C44" s="275" t="s">
        <v>61</v>
      </c>
      <c r="D44" s="323" t="str">
        <f ca="1">IFERROR(OFFSET(Camp_List[P_Code],MATCH(Data_Demography_t[[#This Row],[Camp]],Camp_List[Camp Name],0)-1,0,1,1),"")</f>
        <v>MMR012CMP041</v>
      </c>
      <c r="E44" s="276" t="s">
        <v>607</v>
      </c>
      <c r="F44" s="275" t="s">
        <v>676</v>
      </c>
      <c r="G44" s="927">
        <v>926.93771860543836</v>
      </c>
      <c r="H44" s="949">
        <f t="shared" si="0"/>
        <v>-926.93771860543836</v>
      </c>
      <c r="I44" s="275" t="s">
        <v>273</v>
      </c>
      <c r="J44" s="698">
        <v>43190</v>
      </c>
      <c r="L44"/>
      <c r="M44"/>
      <c r="N44"/>
      <c r="O44"/>
      <c r="AE44" s="16"/>
      <c r="AF44" s="16"/>
      <c r="AG44" s="16"/>
      <c r="AH44" s="16"/>
    </row>
    <row r="45" spans="1:34" ht="15" customHeight="1" x14ac:dyDescent="0.25">
      <c r="A45" s="274" t="s">
        <v>7</v>
      </c>
      <c r="B45" s="271" t="s">
        <v>17</v>
      </c>
      <c r="C45" s="275" t="s">
        <v>61</v>
      </c>
      <c r="D45" s="323" t="str">
        <f ca="1">IFERROR(OFFSET(Camp_List[P_Code],MATCH(Data_Demography_t[[#This Row],[Camp]],Camp_List[Camp Name],0)-1,0,1,1),"")</f>
        <v>MMR012CMP041</v>
      </c>
      <c r="E45" s="276" t="s">
        <v>607</v>
      </c>
      <c r="F45" s="311" t="s">
        <v>677</v>
      </c>
      <c r="G45" s="927">
        <v>956</v>
      </c>
      <c r="H45" s="949">
        <f t="shared" si="0"/>
        <v>956</v>
      </c>
      <c r="I45" s="275" t="s">
        <v>273</v>
      </c>
      <c r="J45" s="698">
        <v>43190</v>
      </c>
      <c r="L45"/>
      <c r="M45"/>
      <c r="N45"/>
      <c r="O45"/>
      <c r="AE45" s="16"/>
      <c r="AF45" s="16"/>
      <c r="AG45" s="16"/>
      <c r="AH45" s="16"/>
    </row>
    <row r="46" spans="1:34" s="669" customFormat="1" ht="15" customHeight="1" x14ac:dyDescent="0.25">
      <c r="A46" s="274" t="s">
        <v>7</v>
      </c>
      <c r="B46" s="271" t="s">
        <v>17</v>
      </c>
      <c r="C46" s="275" t="s">
        <v>61</v>
      </c>
      <c r="D46" s="323" t="str">
        <f ca="1">IFERROR(OFFSET(Camp_List[P_Code],MATCH(Data_Demography_t[[#This Row],[Camp]],Camp_List[Camp Name],0)-1,0,1,1),"")</f>
        <v>MMR012CMP041</v>
      </c>
      <c r="E46" s="276" t="s">
        <v>832</v>
      </c>
      <c r="F46" s="275" t="s">
        <v>676</v>
      </c>
      <c r="G46" s="272">
        <v>947</v>
      </c>
      <c r="H46" s="949">
        <f t="shared" si="0"/>
        <v>-947</v>
      </c>
      <c r="I46" s="275" t="s">
        <v>273</v>
      </c>
      <c r="J46" s="698">
        <v>43190</v>
      </c>
      <c r="K46" s="268"/>
      <c r="L46"/>
      <c r="M46"/>
      <c r="N46"/>
      <c r="AE46" s="16"/>
      <c r="AF46" s="16"/>
      <c r="AG46" s="16"/>
      <c r="AH46" s="16"/>
    </row>
    <row r="47" spans="1:34" s="669" customFormat="1" ht="15" customHeight="1" x14ac:dyDescent="0.25">
      <c r="A47" s="274" t="s">
        <v>7</v>
      </c>
      <c r="B47" s="271" t="s">
        <v>17</v>
      </c>
      <c r="C47" s="275" t="s">
        <v>61</v>
      </c>
      <c r="D47" s="323" t="str">
        <f ca="1">IFERROR(OFFSET(Camp_List[P_Code],MATCH(Data_Demography_t[[#This Row],[Camp]],Camp_List[Camp Name],0)-1,0,1,1),"")</f>
        <v>MMR012CMP041</v>
      </c>
      <c r="E47" s="276" t="s">
        <v>832</v>
      </c>
      <c r="F47" s="311" t="s">
        <v>677</v>
      </c>
      <c r="G47" s="272">
        <v>1207.7113844070857</v>
      </c>
      <c r="H47" s="949">
        <f t="shared" si="0"/>
        <v>1207.7113844070857</v>
      </c>
      <c r="I47" s="275" t="s">
        <v>273</v>
      </c>
      <c r="J47" s="698">
        <v>43190</v>
      </c>
      <c r="K47" s="268"/>
      <c r="L47"/>
      <c r="M47"/>
      <c r="N47"/>
      <c r="AE47" s="16"/>
      <c r="AF47" s="16"/>
      <c r="AG47" s="16"/>
      <c r="AH47" s="16"/>
    </row>
    <row r="48" spans="1:34" ht="15" customHeight="1" x14ac:dyDescent="0.25">
      <c r="A48" s="274" t="s">
        <v>7</v>
      </c>
      <c r="B48" s="271" t="s">
        <v>17</v>
      </c>
      <c r="C48" s="275" t="s">
        <v>61</v>
      </c>
      <c r="D48" s="323" t="str">
        <f ca="1">IFERROR(OFFSET(Camp_List[P_Code],MATCH(Data_Demography_t[[#This Row],[Camp]],Camp_List[Camp Name],0)-1,0,1,1),"")</f>
        <v>MMR012CMP041</v>
      </c>
      <c r="E48" s="273" t="s">
        <v>833</v>
      </c>
      <c r="F48" s="275" t="s">
        <v>676</v>
      </c>
      <c r="G48" s="272">
        <v>1321</v>
      </c>
      <c r="H48" s="949">
        <f t="shared" si="0"/>
        <v>-1321</v>
      </c>
      <c r="I48" s="275" t="s">
        <v>273</v>
      </c>
      <c r="J48" s="698">
        <v>43190</v>
      </c>
      <c r="L48"/>
      <c r="M48"/>
      <c r="N48"/>
    </row>
    <row r="49" spans="1:16" ht="15" customHeight="1" x14ac:dyDescent="0.25">
      <c r="A49" s="274" t="s">
        <v>7</v>
      </c>
      <c r="B49" s="271" t="s">
        <v>17</v>
      </c>
      <c r="C49" s="275" t="s">
        <v>61</v>
      </c>
      <c r="D49" s="323" t="str">
        <f ca="1">IFERROR(OFFSET(Camp_List[P_Code],MATCH(Data_Demography_t[[#This Row],[Camp]],Camp_List[Camp Name],0)-1,0,1,1),"")</f>
        <v>MMR012CMP041</v>
      </c>
      <c r="E49" s="273" t="s">
        <v>833</v>
      </c>
      <c r="F49" s="311" t="s">
        <v>677</v>
      </c>
      <c r="G49" s="272">
        <v>1389.765542141487</v>
      </c>
      <c r="H49" s="949">
        <f t="shared" si="0"/>
        <v>1389.765542141487</v>
      </c>
      <c r="I49" s="275" t="s">
        <v>273</v>
      </c>
      <c r="J49" s="698">
        <v>43190</v>
      </c>
      <c r="L49"/>
      <c r="M49"/>
      <c r="N49"/>
    </row>
    <row r="50" spans="1:16" ht="15" customHeight="1" x14ac:dyDescent="0.25">
      <c r="A50" s="274" t="s">
        <v>7</v>
      </c>
      <c r="B50" s="271" t="s">
        <v>17</v>
      </c>
      <c r="C50" s="275" t="s">
        <v>61</v>
      </c>
      <c r="D50" s="323" t="str">
        <f ca="1">IFERROR(OFFSET(Camp_List[P_Code],MATCH(Data_Demography_t[[#This Row],[Camp]],Camp_List[Camp Name],0)-1,0,1,1),"")</f>
        <v>MMR012CMP041</v>
      </c>
      <c r="E50" s="276" t="s">
        <v>809</v>
      </c>
      <c r="F50" s="275" t="s">
        <v>676</v>
      </c>
      <c r="G50" s="272">
        <v>234</v>
      </c>
      <c r="H50" s="949">
        <f t="shared" si="0"/>
        <v>-234</v>
      </c>
      <c r="I50" s="275" t="s">
        <v>273</v>
      </c>
      <c r="J50" s="698">
        <v>43190</v>
      </c>
      <c r="L50"/>
      <c r="M50"/>
      <c r="N50"/>
    </row>
    <row r="51" spans="1:16" ht="15" customHeight="1" x14ac:dyDescent="0.25">
      <c r="A51" s="274" t="s">
        <v>7</v>
      </c>
      <c r="B51" s="271" t="s">
        <v>17</v>
      </c>
      <c r="C51" s="275" t="s">
        <v>61</v>
      </c>
      <c r="D51" s="323" t="str">
        <f ca="1">IFERROR(OFFSET(Camp_List[P_Code],MATCH(Data_Demography_t[[#This Row],[Camp]],Camp_List[Camp Name],0)-1,0,1,1),"")</f>
        <v>MMR012CMP041</v>
      </c>
      <c r="E51" s="276" t="s">
        <v>809</v>
      </c>
      <c r="F51" s="311" t="s">
        <v>677</v>
      </c>
      <c r="G51" s="272">
        <v>234</v>
      </c>
      <c r="H51" s="949">
        <f t="shared" si="0"/>
        <v>234</v>
      </c>
      <c r="I51" s="275" t="s">
        <v>273</v>
      </c>
      <c r="J51" s="698">
        <v>43190</v>
      </c>
      <c r="L51"/>
      <c r="M51"/>
      <c r="N51"/>
    </row>
    <row r="52" spans="1:16" ht="15" customHeight="1" x14ac:dyDescent="0.25">
      <c r="A52" s="274" t="s">
        <v>7</v>
      </c>
      <c r="B52" s="271" t="s">
        <v>17</v>
      </c>
      <c r="C52" s="271" t="s">
        <v>62</v>
      </c>
      <c r="D52" s="323" t="str">
        <f ca="1">IFERROR(OFFSET(Camp_List[P_Code],MATCH(Data_Demography_t[[#This Row],[Camp]],Camp_List[Camp Name],0)-1,0,1,1),"")</f>
        <v>MMR012CMP042</v>
      </c>
      <c r="E52" s="396" t="s">
        <v>1047</v>
      </c>
      <c r="F52" s="287" t="s">
        <v>676</v>
      </c>
      <c r="G52" s="322">
        <v>434</v>
      </c>
      <c r="H52" s="130">
        <f t="shared" si="0"/>
        <v>-434</v>
      </c>
      <c r="I52" s="271" t="s">
        <v>575</v>
      </c>
      <c r="J52" s="697">
        <v>43190</v>
      </c>
      <c r="L52"/>
      <c r="M52"/>
      <c r="N52"/>
    </row>
    <row r="53" spans="1:16" ht="15" customHeight="1" x14ac:dyDescent="0.25">
      <c r="A53" s="274" t="s">
        <v>7</v>
      </c>
      <c r="B53" s="271" t="s">
        <v>17</v>
      </c>
      <c r="C53" s="271" t="s">
        <v>62</v>
      </c>
      <c r="D53" s="323" t="str">
        <f ca="1">IFERROR(OFFSET(Camp_List[P_Code],MATCH(Data_Demography_t[[#This Row],[Camp]],Camp_List[Camp Name],0)-1,0,1,1),"")</f>
        <v>MMR012CMP042</v>
      </c>
      <c r="E53" s="396" t="s">
        <v>1047</v>
      </c>
      <c r="F53" s="287" t="s">
        <v>677</v>
      </c>
      <c r="G53" s="322">
        <v>449</v>
      </c>
      <c r="H53" s="130">
        <f t="shared" si="0"/>
        <v>449</v>
      </c>
      <c r="I53" s="271" t="s">
        <v>575</v>
      </c>
      <c r="J53" s="697">
        <v>43190</v>
      </c>
      <c r="L53"/>
      <c r="M53"/>
      <c r="N53"/>
    </row>
    <row r="54" spans="1:16" ht="15" customHeight="1" x14ac:dyDescent="0.25">
      <c r="A54" s="274" t="s">
        <v>7</v>
      </c>
      <c r="B54" s="302" t="s">
        <v>17</v>
      </c>
      <c r="C54" s="311" t="s">
        <v>62</v>
      </c>
      <c r="D54" s="323" t="str">
        <f ca="1">IFERROR(OFFSET(Camp_List[P_Code],MATCH(Data_Demography_t[[#This Row],[Camp]],Camp_List[Camp Name],0)-1,0,1,1),"")</f>
        <v>MMR012CMP042</v>
      </c>
      <c r="E54" s="396" t="s">
        <v>831</v>
      </c>
      <c r="F54" s="287" t="s">
        <v>676</v>
      </c>
      <c r="G54" s="322">
        <v>419</v>
      </c>
      <c r="H54" s="130">
        <f t="shared" si="0"/>
        <v>-419</v>
      </c>
      <c r="I54" s="320" t="s">
        <v>575</v>
      </c>
      <c r="J54" s="697">
        <v>43190</v>
      </c>
      <c r="L54"/>
      <c r="M54"/>
      <c r="N54"/>
    </row>
    <row r="55" spans="1:16" ht="15" customHeight="1" x14ac:dyDescent="0.25">
      <c r="A55" s="274" t="s">
        <v>7</v>
      </c>
      <c r="B55" s="302" t="s">
        <v>17</v>
      </c>
      <c r="C55" s="311" t="s">
        <v>62</v>
      </c>
      <c r="D55" s="323" t="str">
        <f ca="1">IFERROR(OFFSET(Camp_List[P_Code],MATCH(Data_Demography_t[[#This Row],[Camp]],Camp_List[Camp Name],0)-1,0,1,1),"")</f>
        <v>MMR012CMP042</v>
      </c>
      <c r="E55" s="396" t="s">
        <v>831</v>
      </c>
      <c r="F55" s="287" t="s">
        <v>677</v>
      </c>
      <c r="G55" s="322">
        <v>392</v>
      </c>
      <c r="H55" s="130">
        <f t="shared" si="0"/>
        <v>392</v>
      </c>
      <c r="I55" s="320" t="s">
        <v>575</v>
      </c>
      <c r="J55" s="697">
        <v>43190</v>
      </c>
      <c r="L55"/>
      <c r="M55"/>
      <c r="N55"/>
    </row>
    <row r="56" spans="1:16" ht="15" customHeight="1" x14ac:dyDescent="0.25">
      <c r="A56" s="274" t="s">
        <v>7</v>
      </c>
      <c r="B56" s="302" t="s">
        <v>17</v>
      </c>
      <c r="C56" s="311" t="s">
        <v>62</v>
      </c>
      <c r="D56" s="323" t="str">
        <f ca="1">IFERROR(OFFSET(Camp_List[P_Code],MATCH(Data_Demography_t[[#This Row],[Camp]],Camp_List[Camp Name],0)-1,0,1,1),"")</f>
        <v>MMR012CMP042</v>
      </c>
      <c r="E56" s="289" t="s">
        <v>607</v>
      </c>
      <c r="F56" s="287" t="s">
        <v>676</v>
      </c>
      <c r="G56" s="322">
        <v>336</v>
      </c>
      <c r="H56" s="130">
        <f t="shared" si="0"/>
        <v>-336</v>
      </c>
      <c r="I56" s="320" t="s">
        <v>575</v>
      </c>
      <c r="J56" s="697">
        <v>43190</v>
      </c>
      <c r="L56"/>
      <c r="M56"/>
      <c r="N56"/>
    </row>
    <row r="57" spans="1:16" ht="15" customHeight="1" x14ac:dyDescent="0.25">
      <c r="A57" s="274" t="s">
        <v>7</v>
      </c>
      <c r="B57" s="302" t="s">
        <v>17</v>
      </c>
      <c r="C57" s="311" t="s">
        <v>62</v>
      </c>
      <c r="D57" s="323" t="str">
        <f ca="1">IFERROR(OFFSET(Camp_List[P_Code],MATCH(Data_Demography_t[[#This Row],[Camp]],Camp_List[Camp Name],0)-1,0,1,1),"")</f>
        <v>MMR012CMP042</v>
      </c>
      <c r="E57" s="289" t="s">
        <v>607</v>
      </c>
      <c r="F57" s="287" t="s">
        <v>677</v>
      </c>
      <c r="G57" s="322">
        <v>299</v>
      </c>
      <c r="H57" s="130">
        <f t="shared" si="0"/>
        <v>299</v>
      </c>
      <c r="I57" s="320" t="s">
        <v>575</v>
      </c>
      <c r="J57" s="697">
        <v>43190</v>
      </c>
      <c r="L57"/>
      <c r="M57"/>
      <c r="N57"/>
      <c r="O57" s="85"/>
      <c r="P57" s="55"/>
    </row>
    <row r="58" spans="1:16" ht="15" customHeight="1" x14ac:dyDescent="0.25">
      <c r="A58" s="274" t="s">
        <v>7</v>
      </c>
      <c r="B58" s="302" t="s">
        <v>17</v>
      </c>
      <c r="C58" s="311" t="s">
        <v>62</v>
      </c>
      <c r="D58" s="323" t="str">
        <f ca="1">IFERROR(OFFSET(Camp_List[P_Code],MATCH(Data_Demography_t[[#This Row],[Camp]],Camp_List[Camp Name],0)-1,0,1,1),"")</f>
        <v>MMR012CMP042</v>
      </c>
      <c r="E58" s="289" t="s">
        <v>832</v>
      </c>
      <c r="F58" s="287" t="s">
        <v>676</v>
      </c>
      <c r="G58" s="322">
        <v>313</v>
      </c>
      <c r="H58" s="130">
        <f t="shared" si="0"/>
        <v>-313</v>
      </c>
      <c r="I58" s="320" t="s">
        <v>575</v>
      </c>
      <c r="J58" s="697">
        <v>43190</v>
      </c>
      <c r="L58"/>
      <c r="M58"/>
      <c r="N58"/>
      <c r="O58" s="85"/>
      <c r="P58" s="55"/>
    </row>
    <row r="59" spans="1:16" ht="15" customHeight="1" x14ac:dyDescent="0.25">
      <c r="A59" s="274" t="s">
        <v>7</v>
      </c>
      <c r="B59" s="302" t="s">
        <v>17</v>
      </c>
      <c r="C59" s="311" t="s">
        <v>62</v>
      </c>
      <c r="D59" s="323" t="str">
        <f ca="1">IFERROR(OFFSET(Camp_List[P_Code],MATCH(Data_Demography_t[[#This Row],[Camp]],Camp_List[Camp Name],0)-1,0,1,1),"")</f>
        <v>MMR012CMP042</v>
      </c>
      <c r="E59" s="289" t="s">
        <v>832</v>
      </c>
      <c r="F59" s="287" t="s">
        <v>677</v>
      </c>
      <c r="G59" s="322">
        <v>456</v>
      </c>
      <c r="H59" s="130">
        <f t="shared" si="0"/>
        <v>456</v>
      </c>
      <c r="I59" s="320" t="s">
        <v>575</v>
      </c>
      <c r="J59" s="697">
        <v>43190</v>
      </c>
      <c r="L59"/>
      <c r="M59"/>
      <c r="N59"/>
      <c r="O59" s="85"/>
      <c r="P59" s="55"/>
    </row>
    <row r="60" spans="1:16" s="669" customFormat="1" ht="15" customHeight="1" x14ac:dyDescent="0.25">
      <c r="A60" s="274" t="s">
        <v>7</v>
      </c>
      <c r="B60" s="302" t="s">
        <v>17</v>
      </c>
      <c r="C60" s="311" t="s">
        <v>62</v>
      </c>
      <c r="D60" s="323" t="str">
        <f ca="1">IFERROR(OFFSET(Camp_List[P_Code],MATCH(Data_Demography_t[[#This Row],[Camp]],Camp_List[Camp Name],0)-1,0,1,1),"")</f>
        <v>MMR012CMP042</v>
      </c>
      <c r="E60" s="289" t="s">
        <v>833</v>
      </c>
      <c r="F60" s="287" t="s">
        <v>676</v>
      </c>
      <c r="G60" s="322">
        <v>610</v>
      </c>
      <c r="H60" s="130">
        <f t="shared" si="0"/>
        <v>-610</v>
      </c>
      <c r="I60" s="320" t="s">
        <v>575</v>
      </c>
      <c r="J60" s="697">
        <v>43190</v>
      </c>
      <c r="K60" s="268"/>
      <c r="L60"/>
      <c r="M60"/>
      <c r="N60"/>
      <c r="O60" s="85"/>
      <c r="P60" s="55"/>
    </row>
    <row r="61" spans="1:16" s="669" customFormat="1" ht="15" customHeight="1" x14ac:dyDescent="0.25">
      <c r="A61" s="274" t="s">
        <v>7</v>
      </c>
      <c r="B61" s="302" t="s">
        <v>17</v>
      </c>
      <c r="C61" s="311" t="s">
        <v>62</v>
      </c>
      <c r="D61" s="323" t="str">
        <f ca="1">IFERROR(OFFSET(Camp_List[P_Code],MATCH(Data_Demography_t[[#This Row],[Camp]],Camp_List[Camp Name],0)-1,0,1,1),"")</f>
        <v>MMR012CMP042</v>
      </c>
      <c r="E61" s="289" t="s">
        <v>833</v>
      </c>
      <c r="F61" s="287" t="s">
        <v>677</v>
      </c>
      <c r="G61" s="322">
        <v>630</v>
      </c>
      <c r="H61" s="130">
        <f t="shared" si="0"/>
        <v>630</v>
      </c>
      <c r="I61" s="320" t="s">
        <v>575</v>
      </c>
      <c r="J61" s="697">
        <v>43190</v>
      </c>
      <c r="K61" s="268"/>
      <c r="L61"/>
      <c r="M61"/>
      <c r="N61"/>
      <c r="O61" s="85"/>
      <c r="P61" s="55"/>
    </row>
    <row r="62" spans="1:16" ht="15" customHeight="1" x14ac:dyDescent="0.25">
      <c r="A62" s="274" t="s">
        <v>7</v>
      </c>
      <c r="B62" s="302" t="s">
        <v>17</v>
      </c>
      <c r="C62" s="311" t="s">
        <v>62</v>
      </c>
      <c r="D62" s="323" t="str">
        <f ca="1">IFERROR(OFFSET(Camp_List[P_Code],MATCH(Data_Demography_t[[#This Row],[Camp]],Camp_List[Camp Name],0)-1,0,1,1),"")</f>
        <v>MMR012CMP042</v>
      </c>
      <c r="E62" s="289" t="s">
        <v>809</v>
      </c>
      <c r="F62" s="287" t="s">
        <v>676</v>
      </c>
      <c r="G62" s="322">
        <v>66</v>
      </c>
      <c r="H62" s="130">
        <f t="shared" si="0"/>
        <v>-66</v>
      </c>
      <c r="I62" s="320" t="s">
        <v>575</v>
      </c>
      <c r="J62" s="697">
        <v>43190</v>
      </c>
      <c r="L62"/>
      <c r="M62"/>
      <c r="N62"/>
      <c r="O62" s="85"/>
      <c r="P62" s="55"/>
    </row>
    <row r="63" spans="1:16" ht="15" customHeight="1" x14ac:dyDescent="0.25">
      <c r="A63" s="274" t="s">
        <v>7</v>
      </c>
      <c r="B63" s="302" t="s">
        <v>17</v>
      </c>
      <c r="C63" s="311" t="s">
        <v>62</v>
      </c>
      <c r="D63" s="323" t="str">
        <f ca="1">IFERROR(OFFSET(Camp_List[P_Code],MATCH(Data_Demography_t[[#This Row],[Camp]],Camp_List[Camp Name],0)-1,0,1,1),"")</f>
        <v>MMR012CMP042</v>
      </c>
      <c r="E63" s="289" t="s">
        <v>809</v>
      </c>
      <c r="F63" s="287" t="s">
        <v>677</v>
      </c>
      <c r="G63" s="322">
        <v>77</v>
      </c>
      <c r="H63" s="130">
        <f t="shared" si="0"/>
        <v>77</v>
      </c>
      <c r="I63" s="320" t="s">
        <v>575</v>
      </c>
      <c r="J63" s="697">
        <v>43190</v>
      </c>
      <c r="L63"/>
      <c r="M63"/>
      <c r="N63"/>
      <c r="O63" s="85"/>
      <c r="P63" s="55"/>
    </row>
    <row r="64" spans="1:16" ht="15" customHeight="1" x14ac:dyDescent="0.25">
      <c r="A64" s="274" t="s">
        <v>7</v>
      </c>
      <c r="B64" s="271" t="s">
        <v>13</v>
      </c>
      <c r="C64" s="271" t="s">
        <v>40</v>
      </c>
      <c r="D64" s="323" t="str">
        <f ca="1">IFERROR(OFFSET(Camp_List[P_Code],MATCH(Data_Demography_t[[#This Row],[Camp]],Camp_List[Camp Name],0)-1,0,1,1),"")</f>
        <v>MMR012CMP018</v>
      </c>
      <c r="E64" s="396" t="s">
        <v>1047</v>
      </c>
      <c r="F64" s="277" t="s">
        <v>676</v>
      </c>
      <c r="G64" s="272">
        <v>737</v>
      </c>
      <c r="H64" s="130">
        <f t="shared" si="0"/>
        <v>-737</v>
      </c>
      <c r="I64" s="271" t="s">
        <v>273</v>
      </c>
      <c r="J64" s="698">
        <v>43190</v>
      </c>
      <c r="L64"/>
      <c r="M64"/>
      <c r="N64"/>
      <c r="O64" s="85"/>
      <c r="P64" s="55"/>
    </row>
    <row r="65" spans="1:16" ht="15" customHeight="1" x14ac:dyDescent="0.25">
      <c r="A65" s="274" t="s">
        <v>7</v>
      </c>
      <c r="B65" s="271" t="s">
        <v>13</v>
      </c>
      <c r="C65" s="271" t="s">
        <v>40</v>
      </c>
      <c r="D65" s="323" t="str">
        <f ca="1">IFERROR(OFFSET(Camp_List[P_Code],MATCH(Data_Demography_t[[#This Row],[Camp]],Camp_List[Camp Name],0)-1,0,1,1),"")</f>
        <v>MMR012CMP018</v>
      </c>
      <c r="E65" s="396" t="s">
        <v>1047</v>
      </c>
      <c r="F65" s="277" t="s">
        <v>677</v>
      </c>
      <c r="G65" s="272">
        <v>788</v>
      </c>
      <c r="H65" s="130">
        <f t="shared" si="0"/>
        <v>788</v>
      </c>
      <c r="I65" s="271" t="s">
        <v>273</v>
      </c>
      <c r="J65" s="698">
        <v>43190</v>
      </c>
      <c r="L65"/>
      <c r="M65"/>
      <c r="N65"/>
      <c r="O65" s="85"/>
      <c r="P65" s="55"/>
    </row>
    <row r="66" spans="1:16" ht="15" customHeight="1" x14ac:dyDescent="0.25">
      <c r="A66" s="274" t="s">
        <v>7</v>
      </c>
      <c r="B66" s="271" t="s">
        <v>13</v>
      </c>
      <c r="C66" s="271" t="s">
        <v>40</v>
      </c>
      <c r="D66" s="323" t="str">
        <f ca="1">IFERROR(OFFSET(Camp_List[P_Code],MATCH(Data_Demography_t[[#This Row],[Camp]],Camp_List[Camp Name],0)-1,0,1,1),"")</f>
        <v>MMR012CMP018</v>
      </c>
      <c r="E66" s="396" t="s">
        <v>831</v>
      </c>
      <c r="F66" s="277" t="s">
        <v>676</v>
      </c>
      <c r="G66" s="272">
        <v>565</v>
      </c>
      <c r="H66" s="130">
        <f t="shared" si="0"/>
        <v>-565</v>
      </c>
      <c r="I66" s="271" t="s">
        <v>273</v>
      </c>
      <c r="J66" s="698">
        <v>43190</v>
      </c>
      <c r="L66"/>
      <c r="M66"/>
      <c r="O66" s="85"/>
      <c r="P66" s="55"/>
    </row>
    <row r="67" spans="1:16" ht="15" customHeight="1" x14ac:dyDescent="0.25">
      <c r="A67" s="274" t="s">
        <v>7</v>
      </c>
      <c r="B67" s="271" t="s">
        <v>13</v>
      </c>
      <c r="C67" s="271" t="s">
        <v>40</v>
      </c>
      <c r="D67" s="323" t="str">
        <f ca="1">IFERROR(OFFSET(Camp_List[P_Code],MATCH(Data_Demography_t[[#This Row],[Camp]],Camp_List[Camp Name],0)-1,0,1,1),"")</f>
        <v>MMR012CMP018</v>
      </c>
      <c r="E67" s="396" t="s">
        <v>831</v>
      </c>
      <c r="F67" s="277" t="s">
        <v>677</v>
      </c>
      <c r="G67" s="272">
        <v>541</v>
      </c>
      <c r="H67" s="130">
        <f t="shared" si="0"/>
        <v>541</v>
      </c>
      <c r="I67" s="271" t="s">
        <v>273</v>
      </c>
      <c r="J67" s="698">
        <v>43190</v>
      </c>
      <c r="L67"/>
      <c r="M67"/>
      <c r="O67" s="85"/>
      <c r="P67" s="55"/>
    </row>
    <row r="68" spans="1:16" ht="15" customHeight="1" x14ac:dyDescent="0.25">
      <c r="A68" s="274" t="s">
        <v>7</v>
      </c>
      <c r="B68" s="271" t="s">
        <v>13</v>
      </c>
      <c r="C68" s="271" t="s">
        <v>40</v>
      </c>
      <c r="D68" s="323" t="str">
        <f ca="1">IFERROR(OFFSET(Camp_List[P_Code],MATCH(Data_Demography_t[[#This Row],[Camp]],Camp_List[Camp Name],0)-1,0,1,1),"")</f>
        <v>MMR012CMP018</v>
      </c>
      <c r="E68" s="276" t="s">
        <v>607</v>
      </c>
      <c r="F68" s="277" t="s">
        <v>676</v>
      </c>
      <c r="G68" s="272">
        <v>338</v>
      </c>
      <c r="H68" s="130">
        <f t="shared" ref="H68:H143" si="1">IF(F68="M",-G68,G68)</f>
        <v>-338</v>
      </c>
      <c r="I68" s="271" t="s">
        <v>273</v>
      </c>
      <c r="J68" s="698">
        <v>43190</v>
      </c>
      <c r="L68"/>
      <c r="M68"/>
      <c r="O68" s="85"/>
      <c r="P68" s="55"/>
    </row>
    <row r="69" spans="1:16" ht="15" customHeight="1" x14ac:dyDescent="0.25">
      <c r="A69" s="274" t="s">
        <v>7</v>
      </c>
      <c r="B69" s="271" t="s">
        <v>13</v>
      </c>
      <c r="C69" s="271" t="s">
        <v>40</v>
      </c>
      <c r="D69" s="323" t="str">
        <f ca="1">IFERROR(OFFSET(Camp_List[P_Code],MATCH(Data_Demography_t[[#This Row],[Camp]],Camp_List[Camp Name],0)-1,0,1,1),"")</f>
        <v>MMR012CMP018</v>
      </c>
      <c r="E69" s="276" t="s">
        <v>607</v>
      </c>
      <c r="F69" s="277" t="s">
        <v>677</v>
      </c>
      <c r="G69" s="272">
        <v>282</v>
      </c>
      <c r="H69" s="130">
        <f t="shared" si="1"/>
        <v>282</v>
      </c>
      <c r="I69" s="271" t="s">
        <v>273</v>
      </c>
      <c r="J69" s="698">
        <v>43190</v>
      </c>
      <c r="L69"/>
      <c r="M69"/>
    </row>
    <row r="70" spans="1:16" ht="15" customHeight="1" x14ac:dyDescent="0.25">
      <c r="A70" s="274" t="s">
        <v>7</v>
      </c>
      <c r="B70" s="271" t="s">
        <v>13</v>
      </c>
      <c r="C70" s="271" t="s">
        <v>40</v>
      </c>
      <c r="D70" s="323" t="str">
        <f ca="1">IFERROR(OFFSET(Camp_List[P_Code],MATCH(Data_Demography_t[[#This Row],[Camp]],Camp_List[Camp Name],0)-1,0,1,1),"")</f>
        <v>MMR012CMP018</v>
      </c>
      <c r="E70" s="276" t="s">
        <v>832</v>
      </c>
      <c r="F70" s="277" t="s">
        <v>676</v>
      </c>
      <c r="G70" s="272">
        <v>500</v>
      </c>
      <c r="H70" s="130">
        <f t="shared" si="1"/>
        <v>-500</v>
      </c>
      <c r="I70" s="271" t="s">
        <v>273</v>
      </c>
      <c r="J70" s="698">
        <v>43190</v>
      </c>
      <c r="L70"/>
      <c r="M70"/>
    </row>
    <row r="71" spans="1:16" ht="15" customHeight="1" x14ac:dyDescent="0.25">
      <c r="A71" s="274" t="s">
        <v>7</v>
      </c>
      <c r="B71" s="271" t="s">
        <v>13</v>
      </c>
      <c r="C71" s="271" t="s">
        <v>40</v>
      </c>
      <c r="D71" s="323" t="str">
        <f ca="1">IFERROR(OFFSET(Camp_List[P_Code],MATCH(Data_Demography_t[[#This Row],[Camp]],Camp_List[Camp Name],0)-1,0,1,1),"")</f>
        <v>MMR012CMP018</v>
      </c>
      <c r="E71" s="276" t="s">
        <v>832</v>
      </c>
      <c r="F71" s="277" t="s">
        <v>677</v>
      </c>
      <c r="G71" s="272">
        <v>738</v>
      </c>
      <c r="H71" s="130">
        <f t="shared" si="1"/>
        <v>738</v>
      </c>
      <c r="I71" s="271" t="s">
        <v>273</v>
      </c>
      <c r="J71" s="698">
        <v>43190</v>
      </c>
      <c r="L71"/>
      <c r="M71"/>
    </row>
    <row r="72" spans="1:16" ht="15" customHeight="1" x14ac:dyDescent="0.25">
      <c r="A72" s="274" t="s">
        <v>7</v>
      </c>
      <c r="B72" s="271" t="s">
        <v>13</v>
      </c>
      <c r="C72" s="271" t="s">
        <v>40</v>
      </c>
      <c r="D72" s="323" t="str">
        <f ca="1">IFERROR(OFFSET(Camp_List[P_Code],MATCH(Data_Demography_t[[#This Row],[Camp]],Camp_List[Camp Name],0)-1,0,1,1),"")</f>
        <v>MMR012CMP018</v>
      </c>
      <c r="E72" s="276" t="s">
        <v>833</v>
      </c>
      <c r="F72" s="277" t="s">
        <v>676</v>
      </c>
      <c r="G72" s="272">
        <v>672</v>
      </c>
      <c r="H72" s="130">
        <f t="shared" si="1"/>
        <v>-672</v>
      </c>
      <c r="I72" s="271" t="s">
        <v>273</v>
      </c>
      <c r="J72" s="698">
        <v>43190</v>
      </c>
      <c r="L72"/>
      <c r="M72"/>
    </row>
    <row r="73" spans="1:16" ht="15" customHeight="1" x14ac:dyDescent="0.25">
      <c r="A73" s="274" t="s">
        <v>7</v>
      </c>
      <c r="B73" s="271" t="s">
        <v>13</v>
      </c>
      <c r="C73" s="271" t="s">
        <v>40</v>
      </c>
      <c r="D73" s="323" t="str">
        <f ca="1">IFERROR(OFFSET(Camp_List[P_Code],MATCH(Data_Demography_t[[#This Row],[Camp]],Camp_List[Camp Name],0)-1,0,1,1),"")</f>
        <v>MMR012CMP018</v>
      </c>
      <c r="E73" s="276" t="s">
        <v>833</v>
      </c>
      <c r="F73" s="277" t="s">
        <v>677</v>
      </c>
      <c r="G73" s="272">
        <v>575</v>
      </c>
      <c r="H73" s="130">
        <f t="shared" si="1"/>
        <v>575</v>
      </c>
      <c r="I73" s="271" t="s">
        <v>273</v>
      </c>
      <c r="J73" s="698">
        <v>43190</v>
      </c>
      <c r="L73"/>
      <c r="M73"/>
    </row>
    <row r="74" spans="1:16" s="669" customFormat="1" ht="15" customHeight="1" x14ac:dyDescent="0.25">
      <c r="A74" s="274" t="s">
        <v>7</v>
      </c>
      <c r="B74" s="271" t="s">
        <v>13</v>
      </c>
      <c r="C74" s="271" t="s">
        <v>40</v>
      </c>
      <c r="D74" s="323" t="str">
        <f ca="1">IFERROR(OFFSET(Camp_List[P_Code],MATCH(Data_Demography_t[[#This Row],[Camp]],Camp_List[Camp Name],0)-1,0,1,1),"")</f>
        <v>MMR012CMP018</v>
      </c>
      <c r="E74" s="276" t="s">
        <v>809</v>
      </c>
      <c r="F74" s="277" t="s">
        <v>676</v>
      </c>
      <c r="G74" s="272">
        <v>118</v>
      </c>
      <c r="H74" s="130">
        <f t="shared" si="1"/>
        <v>-118</v>
      </c>
      <c r="I74" s="271" t="s">
        <v>273</v>
      </c>
      <c r="J74" s="698">
        <v>43190</v>
      </c>
      <c r="K74" s="268"/>
    </row>
    <row r="75" spans="1:16" s="669" customFormat="1" ht="15" customHeight="1" x14ac:dyDescent="0.25">
      <c r="A75" s="274" t="s">
        <v>7</v>
      </c>
      <c r="B75" s="271" t="s">
        <v>13</v>
      </c>
      <c r="C75" s="271" t="s">
        <v>40</v>
      </c>
      <c r="D75" s="323" t="str">
        <f ca="1">IFERROR(OFFSET(Camp_List[P_Code],MATCH(Data_Demography_t[[#This Row],[Camp]],Camp_List[Camp Name],0)-1,0,1,1),"")</f>
        <v>MMR012CMP018</v>
      </c>
      <c r="E75" s="276" t="s">
        <v>809</v>
      </c>
      <c r="F75" s="277" t="s">
        <v>677</v>
      </c>
      <c r="G75" s="272">
        <v>91</v>
      </c>
      <c r="H75" s="130">
        <f t="shared" si="1"/>
        <v>91</v>
      </c>
      <c r="I75" s="271" t="s">
        <v>273</v>
      </c>
      <c r="J75" s="698">
        <v>43190</v>
      </c>
      <c r="K75" s="268"/>
    </row>
    <row r="76" spans="1:16" ht="15" customHeight="1" x14ac:dyDescent="0.25">
      <c r="A76" s="274" t="s">
        <v>7</v>
      </c>
      <c r="B76" s="271" t="s">
        <v>17</v>
      </c>
      <c r="C76" s="275" t="s">
        <v>580</v>
      </c>
      <c r="D76" s="323" t="str">
        <f ca="1">IFERROR(OFFSET(Camp_List[P_Code],MATCH(Data_Demography_t[[#This Row],[Camp]],Camp_List[Camp Name],0)-1,0,1,1),"")</f>
        <v>MMR012CMP092</v>
      </c>
      <c r="E76" s="396" t="s">
        <v>1047</v>
      </c>
      <c r="F76" s="277" t="s">
        <v>676</v>
      </c>
      <c r="G76" s="272">
        <v>305</v>
      </c>
      <c r="H76" s="130">
        <f t="shared" si="1"/>
        <v>-305</v>
      </c>
      <c r="I76" s="275" t="s">
        <v>913</v>
      </c>
      <c r="J76" s="698">
        <v>43190</v>
      </c>
      <c r="L76"/>
      <c r="M76"/>
    </row>
    <row r="77" spans="1:16" ht="15" customHeight="1" x14ac:dyDescent="0.25">
      <c r="A77" s="274" t="s">
        <v>7</v>
      </c>
      <c r="B77" s="271" t="s">
        <v>17</v>
      </c>
      <c r="C77" s="275" t="s">
        <v>580</v>
      </c>
      <c r="D77" s="323" t="str">
        <f ca="1">IFERROR(OFFSET(Camp_List[P_Code],MATCH(Data_Demography_t[[#This Row],[Camp]],Camp_List[Camp Name],0)-1,0,1,1),"")</f>
        <v>MMR012CMP092</v>
      </c>
      <c r="E77" s="396" t="s">
        <v>1047</v>
      </c>
      <c r="F77" s="277" t="s">
        <v>677</v>
      </c>
      <c r="G77" s="272">
        <v>340</v>
      </c>
      <c r="H77" s="130">
        <f t="shared" si="1"/>
        <v>340</v>
      </c>
      <c r="I77" s="275" t="s">
        <v>913</v>
      </c>
      <c r="J77" s="698">
        <v>43190</v>
      </c>
      <c r="L77"/>
      <c r="M77"/>
    </row>
    <row r="78" spans="1:16" ht="15" customHeight="1" x14ac:dyDescent="0.25">
      <c r="A78" s="274" t="s">
        <v>7</v>
      </c>
      <c r="B78" s="271" t="s">
        <v>17</v>
      </c>
      <c r="C78" s="275" t="s">
        <v>580</v>
      </c>
      <c r="D78" s="323" t="str">
        <f ca="1">IFERROR(OFFSET(Camp_List[P_Code],MATCH(Data_Demography_t[[#This Row],[Camp]],Camp_List[Camp Name],0)-1,0,1,1),"")</f>
        <v>MMR012CMP092</v>
      </c>
      <c r="E78" s="396" t="s">
        <v>831</v>
      </c>
      <c r="F78" s="277" t="s">
        <v>676</v>
      </c>
      <c r="G78" s="272">
        <v>333</v>
      </c>
      <c r="H78" s="130">
        <f t="shared" si="1"/>
        <v>-333</v>
      </c>
      <c r="I78" s="275" t="s">
        <v>913</v>
      </c>
      <c r="J78" s="698">
        <v>43190</v>
      </c>
      <c r="L78"/>
      <c r="M78"/>
    </row>
    <row r="79" spans="1:16" ht="15" customHeight="1" x14ac:dyDescent="0.25">
      <c r="A79" s="274" t="s">
        <v>7</v>
      </c>
      <c r="B79" s="271" t="s">
        <v>17</v>
      </c>
      <c r="C79" s="275" t="s">
        <v>580</v>
      </c>
      <c r="D79" s="323" t="str">
        <f ca="1">IFERROR(OFFSET(Camp_List[P_Code],MATCH(Data_Demography_t[[#This Row],[Camp]],Camp_List[Camp Name],0)-1,0,1,1),"")</f>
        <v>MMR012CMP092</v>
      </c>
      <c r="E79" s="396" t="s">
        <v>831</v>
      </c>
      <c r="F79" s="277" t="s">
        <v>677</v>
      </c>
      <c r="G79" s="272">
        <v>291</v>
      </c>
      <c r="H79" s="130">
        <f t="shared" si="1"/>
        <v>291</v>
      </c>
      <c r="I79" s="275" t="s">
        <v>913</v>
      </c>
      <c r="J79" s="698">
        <v>43190</v>
      </c>
      <c r="L79"/>
      <c r="M79"/>
    </row>
    <row r="80" spans="1:16" ht="15" customHeight="1" x14ac:dyDescent="0.25">
      <c r="A80" s="274" t="s">
        <v>7</v>
      </c>
      <c r="B80" s="271" t="s">
        <v>17</v>
      </c>
      <c r="C80" s="275" t="s">
        <v>580</v>
      </c>
      <c r="D80" s="323" t="str">
        <f ca="1">IFERROR(OFFSET(Camp_List[P_Code],MATCH(Data_Demography_t[[#This Row],[Camp]],Camp_List[Camp Name],0)-1,0,1,1),"")</f>
        <v>MMR012CMP092</v>
      </c>
      <c r="E80" s="276" t="s">
        <v>607</v>
      </c>
      <c r="F80" s="277" t="s">
        <v>676</v>
      </c>
      <c r="G80" s="272">
        <v>268</v>
      </c>
      <c r="H80" s="130">
        <f t="shared" si="1"/>
        <v>-268</v>
      </c>
      <c r="I80" s="275" t="s">
        <v>913</v>
      </c>
      <c r="J80" s="698">
        <v>43190</v>
      </c>
      <c r="L80"/>
      <c r="M80"/>
    </row>
    <row r="81" spans="1:11" ht="15" customHeight="1" x14ac:dyDescent="0.25">
      <c r="A81" s="274" t="s">
        <v>7</v>
      </c>
      <c r="B81" s="271" t="s">
        <v>17</v>
      </c>
      <c r="C81" s="275" t="s">
        <v>580</v>
      </c>
      <c r="D81" s="323" t="str">
        <f ca="1">IFERROR(OFFSET(Camp_List[P_Code],MATCH(Data_Demography_t[[#This Row],[Camp]],Camp_List[Camp Name],0)-1,0,1,1),"")</f>
        <v>MMR012CMP092</v>
      </c>
      <c r="E81" s="276" t="s">
        <v>607</v>
      </c>
      <c r="F81" s="277" t="s">
        <v>677</v>
      </c>
      <c r="G81" s="272">
        <v>264</v>
      </c>
      <c r="H81" s="130">
        <f t="shared" si="1"/>
        <v>264</v>
      </c>
      <c r="I81" s="275" t="s">
        <v>913</v>
      </c>
      <c r="J81" s="698">
        <v>43190</v>
      </c>
    </row>
    <row r="82" spans="1:11" ht="15" customHeight="1" x14ac:dyDescent="0.25">
      <c r="A82" s="274" t="s">
        <v>7</v>
      </c>
      <c r="B82" s="271" t="s">
        <v>17</v>
      </c>
      <c r="C82" s="275" t="s">
        <v>580</v>
      </c>
      <c r="D82" s="323" t="str">
        <f ca="1">IFERROR(OFFSET(Camp_List[P_Code],MATCH(Data_Demography_t[[#This Row],[Camp]],Camp_List[Camp Name],0)-1,0,1,1),"")</f>
        <v>MMR012CMP092</v>
      </c>
      <c r="E82" s="276" t="s">
        <v>832</v>
      </c>
      <c r="F82" s="277" t="s">
        <v>676</v>
      </c>
      <c r="G82" s="272">
        <v>276</v>
      </c>
      <c r="H82" s="130">
        <f t="shared" si="1"/>
        <v>-276</v>
      </c>
      <c r="I82" s="275" t="s">
        <v>913</v>
      </c>
      <c r="J82" s="698">
        <v>43190</v>
      </c>
    </row>
    <row r="83" spans="1:11" ht="15" customHeight="1" x14ac:dyDescent="0.25">
      <c r="A83" s="274" t="s">
        <v>7</v>
      </c>
      <c r="B83" s="271" t="s">
        <v>17</v>
      </c>
      <c r="C83" s="275" t="s">
        <v>580</v>
      </c>
      <c r="D83" s="323" t="str">
        <f ca="1">IFERROR(OFFSET(Camp_List[P_Code],MATCH(Data_Demography_t[[#This Row],[Camp]],Camp_List[Camp Name],0)-1,0,1,1),"")</f>
        <v>MMR012CMP092</v>
      </c>
      <c r="E83" s="276" t="s">
        <v>832</v>
      </c>
      <c r="F83" s="277" t="s">
        <v>677</v>
      </c>
      <c r="G83" s="272">
        <v>360</v>
      </c>
      <c r="H83" s="130">
        <f t="shared" si="1"/>
        <v>360</v>
      </c>
      <c r="I83" s="275" t="s">
        <v>913</v>
      </c>
      <c r="J83" s="698">
        <v>43190</v>
      </c>
    </row>
    <row r="84" spans="1:11" ht="15" customHeight="1" x14ac:dyDescent="0.25">
      <c r="A84" s="274" t="s">
        <v>7</v>
      </c>
      <c r="B84" s="271" t="s">
        <v>17</v>
      </c>
      <c r="C84" s="275" t="s">
        <v>580</v>
      </c>
      <c r="D84" s="323" t="str">
        <f ca="1">IFERROR(OFFSET(Camp_List[P_Code],MATCH(Data_Demography_t[[#This Row],[Camp]],Camp_List[Camp Name],0)-1,0,1,1),"")</f>
        <v>MMR012CMP092</v>
      </c>
      <c r="E84" s="276" t="s">
        <v>833</v>
      </c>
      <c r="F84" s="277" t="s">
        <v>676</v>
      </c>
      <c r="G84" s="272">
        <v>406</v>
      </c>
      <c r="H84" s="130">
        <f t="shared" si="1"/>
        <v>-406</v>
      </c>
      <c r="I84" s="275" t="s">
        <v>913</v>
      </c>
      <c r="J84" s="698">
        <v>43190</v>
      </c>
    </row>
    <row r="85" spans="1:11" ht="15" customHeight="1" x14ac:dyDescent="0.25">
      <c r="A85" s="274" t="s">
        <v>7</v>
      </c>
      <c r="B85" s="271" t="s">
        <v>17</v>
      </c>
      <c r="C85" s="275" t="s">
        <v>580</v>
      </c>
      <c r="D85" s="323" t="str">
        <f ca="1">IFERROR(OFFSET(Camp_List[P_Code],MATCH(Data_Demography_t[[#This Row],[Camp]],Camp_List[Camp Name],0)-1,0,1,1),"")</f>
        <v>MMR012CMP092</v>
      </c>
      <c r="E85" s="276" t="s">
        <v>833</v>
      </c>
      <c r="F85" s="277" t="s">
        <v>677</v>
      </c>
      <c r="G85" s="272">
        <v>454</v>
      </c>
      <c r="H85" s="130">
        <f t="shared" si="1"/>
        <v>454</v>
      </c>
      <c r="I85" s="275" t="s">
        <v>913</v>
      </c>
      <c r="J85" s="698">
        <v>43190</v>
      </c>
    </row>
    <row r="86" spans="1:11" ht="15" customHeight="1" x14ac:dyDescent="0.25">
      <c r="A86" s="274" t="s">
        <v>7</v>
      </c>
      <c r="B86" s="271" t="s">
        <v>17</v>
      </c>
      <c r="C86" s="275" t="s">
        <v>580</v>
      </c>
      <c r="D86" s="323" t="str">
        <f ca="1">IFERROR(OFFSET(Camp_List[P_Code],MATCH(Data_Demography_t[[#This Row],[Camp]],Camp_List[Camp Name],0)-1,0,1,1),"")</f>
        <v>MMR012CMP092</v>
      </c>
      <c r="E86" s="276" t="s">
        <v>809</v>
      </c>
      <c r="F86" s="277" t="s">
        <v>676</v>
      </c>
      <c r="G86" s="272">
        <v>65</v>
      </c>
      <c r="H86" s="130">
        <f t="shared" si="1"/>
        <v>-65</v>
      </c>
      <c r="I86" s="275" t="s">
        <v>913</v>
      </c>
      <c r="J86" s="698">
        <v>43190</v>
      </c>
    </row>
    <row r="87" spans="1:11" ht="15" customHeight="1" x14ac:dyDescent="0.25">
      <c r="A87" s="274" t="s">
        <v>7</v>
      </c>
      <c r="B87" s="271" t="s">
        <v>17</v>
      </c>
      <c r="C87" s="275" t="s">
        <v>580</v>
      </c>
      <c r="D87" s="323" t="str">
        <f ca="1">IFERROR(OFFSET(Camp_List[P_Code],MATCH(Data_Demography_t[[#This Row],[Camp]],Camp_List[Camp Name],0)-1,0,1,1),"")</f>
        <v>MMR012CMP092</v>
      </c>
      <c r="E87" s="276" t="s">
        <v>809</v>
      </c>
      <c r="F87" s="277" t="s">
        <v>677</v>
      </c>
      <c r="G87" s="272">
        <v>78</v>
      </c>
      <c r="H87" s="130">
        <f t="shared" si="1"/>
        <v>78</v>
      </c>
      <c r="I87" s="275" t="s">
        <v>913</v>
      </c>
      <c r="J87" s="698">
        <v>43190</v>
      </c>
    </row>
    <row r="88" spans="1:11" s="669" customFormat="1" ht="22.5" customHeight="1" x14ac:dyDescent="0.25">
      <c r="A88" s="274" t="s">
        <v>7</v>
      </c>
      <c r="B88" s="271" t="s">
        <v>13</v>
      </c>
      <c r="C88" s="275" t="s">
        <v>990</v>
      </c>
      <c r="D88" s="323" t="str">
        <f ca="1">IFERROR(OFFSET(Camp_List[P_Code],MATCH(Data_Demography_t[[#This Row],[Camp]],Camp_List[Camp Name],0)-1,0,1,1),"")</f>
        <v>MMR012CMP017</v>
      </c>
      <c r="E88" s="276" t="s">
        <v>1047</v>
      </c>
      <c r="F88" s="277" t="s">
        <v>676</v>
      </c>
      <c r="G88" s="272">
        <v>581</v>
      </c>
      <c r="H88" s="130">
        <f t="shared" ref="H88:H91" si="2">IF(F88="M",-G88,G88)</f>
        <v>-581</v>
      </c>
      <c r="I88" s="275" t="s">
        <v>575</v>
      </c>
      <c r="J88" s="698">
        <v>43190</v>
      </c>
      <c r="K88" s="268"/>
    </row>
    <row r="89" spans="1:11" s="669" customFormat="1" ht="15" customHeight="1" x14ac:dyDescent="0.25">
      <c r="A89" s="274" t="s">
        <v>7</v>
      </c>
      <c r="B89" s="271" t="s">
        <v>13</v>
      </c>
      <c r="C89" s="275" t="s">
        <v>990</v>
      </c>
      <c r="D89" s="323" t="str">
        <f ca="1">IFERROR(OFFSET(Camp_List[P_Code],MATCH(Data_Demography_t[[#This Row],[Camp]],Camp_List[Camp Name],0)-1,0,1,1),"")</f>
        <v>MMR012CMP017</v>
      </c>
      <c r="E89" s="276" t="s">
        <v>1047</v>
      </c>
      <c r="F89" s="277" t="s">
        <v>677</v>
      </c>
      <c r="G89" s="272">
        <v>520</v>
      </c>
      <c r="H89" s="130">
        <f t="shared" si="2"/>
        <v>520</v>
      </c>
      <c r="I89" s="275" t="s">
        <v>575</v>
      </c>
      <c r="J89" s="698">
        <v>43190</v>
      </c>
      <c r="K89" s="268"/>
    </row>
    <row r="90" spans="1:11" s="669" customFormat="1" ht="15" customHeight="1" x14ac:dyDescent="0.25">
      <c r="A90" s="274" t="s">
        <v>7</v>
      </c>
      <c r="B90" s="271" t="s">
        <v>13</v>
      </c>
      <c r="C90" s="275" t="s">
        <v>990</v>
      </c>
      <c r="D90" s="323" t="str">
        <f ca="1">IFERROR(OFFSET(Camp_List[P_Code],MATCH(Data_Demography_t[[#This Row],[Camp]],Camp_List[Camp Name],0)-1,0,1,1),"")</f>
        <v>MMR012CMP017</v>
      </c>
      <c r="E90" s="276" t="s">
        <v>831</v>
      </c>
      <c r="F90" s="277" t="s">
        <v>676</v>
      </c>
      <c r="G90" s="272">
        <v>549</v>
      </c>
      <c r="H90" s="130">
        <f t="shared" si="2"/>
        <v>-549</v>
      </c>
      <c r="I90" s="275" t="s">
        <v>575</v>
      </c>
      <c r="J90" s="698">
        <v>43190</v>
      </c>
      <c r="K90" s="268"/>
    </row>
    <row r="91" spans="1:11" s="669" customFormat="1" ht="15" customHeight="1" x14ac:dyDescent="0.25">
      <c r="A91" s="274" t="s">
        <v>7</v>
      </c>
      <c r="B91" s="271" t="s">
        <v>13</v>
      </c>
      <c r="C91" s="275" t="s">
        <v>990</v>
      </c>
      <c r="D91" s="323" t="str">
        <f ca="1">IFERROR(OFFSET(Camp_List[P_Code],MATCH(Data_Demography_t[[#This Row],[Camp]],Camp_List[Camp Name],0)-1,0,1,1),"")</f>
        <v>MMR012CMP017</v>
      </c>
      <c r="E91" s="276" t="s">
        <v>831</v>
      </c>
      <c r="F91" s="277" t="s">
        <v>677</v>
      </c>
      <c r="G91" s="272">
        <v>535</v>
      </c>
      <c r="H91" s="130">
        <f t="shared" si="2"/>
        <v>535</v>
      </c>
      <c r="I91" s="275" t="s">
        <v>575</v>
      </c>
      <c r="J91" s="698">
        <v>43190</v>
      </c>
      <c r="K91" s="268"/>
    </row>
    <row r="92" spans="1:11" s="669" customFormat="1" ht="15" customHeight="1" x14ac:dyDescent="0.25">
      <c r="A92" s="274" t="s">
        <v>7</v>
      </c>
      <c r="B92" s="271" t="s">
        <v>13</v>
      </c>
      <c r="C92" s="275" t="s">
        <v>990</v>
      </c>
      <c r="D92" s="323" t="str">
        <f ca="1">IFERROR(OFFSET(Camp_List[P_Code],MATCH(Data_Demography_t[[#This Row],[Camp]],Camp_List[Camp Name],0)-1,0,1,1),"")</f>
        <v>MMR012CMP017</v>
      </c>
      <c r="E92" s="276" t="s">
        <v>607</v>
      </c>
      <c r="F92" s="277" t="s">
        <v>676</v>
      </c>
      <c r="G92" s="272">
        <v>297</v>
      </c>
      <c r="H92" s="130">
        <f t="shared" ref="H92:H95" si="3">IF(F92="M",-G92,G92)</f>
        <v>-297</v>
      </c>
      <c r="I92" s="275" t="s">
        <v>575</v>
      </c>
      <c r="J92" s="698">
        <v>43190</v>
      </c>
      <c r="K92" s="268"/>
    </row>
    <row r="93" spans="1:11" s="669" customFormat="1" ht="15" customHeight="1" x14ac:dyDescent="0.25">
      <c r="A93" s="274" t="s">
        <v>7</v>
      </c>
      <c r="B93" s="271" t="s">
        <v>13</v>
      </c>
      <c r="C93" s="275" t="s">
        <v>990</v>
      </c>
      <c r="D93" s="323" t="str">
        <f ca="1">IFERROR(OFFSET(Camp_List[P_Code],MATCH(Data_Demography_t[[#This Row],[Camp]],Camp_List[Camp Name],0)-1,0,1,1),"")</f>
        <v>MMR012CMP017</v>
      </c>
      <c r="E93" s="276" t="s">
        <v>607</v>
      </c>
      <c r="F93" s="277" t="s">
        <v>677</v>
      </c>
      <c r="G93" s="272">
        <v>238</v>
      </c>
      <c r="H93" s="130">
        <f t="shared" si="3"/>
        <v>238</v>
      </c>
      <c r="I93" s="275" t="s">
        <v>575</v>
      </c>
      <c r="J93" s="698">
        <v>43190</v>
      </c>
      <c r="K93" s="268"/>
    </row>
    <row r="94" spans="1:11" s="669" customFormat="1" ht="15" customHeight="1" x14ac:dyDescent="0.25">
      <c r="A94" s="274" t="s">
        <v>7</v>
      </c>
      <c r="B94" s="271" t="s">
        <v>13</v>
      </c>
      <c r="C94" s="275" t="s">
        <v>990</v>
      </c>
      <c r="D94" s="323" t="str">
        <f ca="1">IFERROR(OFFSET(Camp_List[P_Code],MATCH(Data_Demography_t[[#This Row],[Camp]],Camp_List[Camp Name],0)-1,0,1,1),"")</f>
        <v>MMR012CMP017</v>
      </c>
      <c r="E94" s="276" t="s">
        <v>832</v>
      </c>
      <c r="F94" s="277" t="s">
        <v>676</v>
      </c>
      <c r="G94" s="272">
        <v>244</v>
      </c>
      <c r="H94" s="130">
        <f t="shared" si="3"/>
        <v>-244</v>
      </c>
      <c r="I94" s="275" t="s">
        <v>575</v>
      </c>
      <c r="J94" s="698">
        <v>43190</v>
      </c>
      <c r="K94" s="268"/>
    </row>
    <row r="95" spans="1:11" s="669" customFormat="1" ht="15" customHeight="1" x14ac:dyDescent="0.25">
      <c r="A95" s="274" t="s">
        <v>7</v>
      </c>
      <c r="B95" s="271" t="s">
        <v>13</v>
      </c>
      <c r="C95" s="275" t="s">
        <v>990</v>
      </c>
      <c r="D95" s="323" t="str">
        <f ca="1">IFERROR(OFFSET(Camp_List[P_Code],MATCH(Data_Demography_t[[#This Row],[Camp]],Camp_List[Camp Name],0)-1,0,1,1),"")</f>
        <v>MMR012CMP017</v>
      </c>
      <c r="E95" s="276" t="s">
        <v>832</v>
      </c>
      <c r="F95" s="277" t="s">
        <v>677</v>
      </c>
      <c r="G95" s="272">
        <v>392</v>
      </c>
      <c r="H95" s="130">
        <f t="shared" si="3"/>
        <v>392</v>
      </c>
      <c r="I95" s="275" t="s">
        <v>575</v>
      </c>
      <c r="J95" s="698">
        <v>43190</v>
      </c>
      <c r="K95" s="268"/>
    </row>
    <row r="96" spans="1:11" s="669" customFormat="1" ht="15" customHeight="1" x14ac:dyDescent="0.25">
      <c r="A96" s="274" t="s">
        <v>7</v>
      </c>
      <c r="B96" s="271" t="s">
        <v>13</v>
      </c>
      <c r="C96" s="275" t="s">
        <v>990</v>
      </c>
      <c r="D96" s="323" t="str">
        <f ca="1">IFERROR(OFFSET(Camp_List[P_Code],MATCH(Data_Demography_t[[#This Row],[Camp]],Camp_List[Camp Name],0)-1,0,1,1),"")</f>
        <v>MMR012CMP017</v>
      </c>
      <c r="E96" s="276" t="s">
        <v>833</v>
      </c>
      <c r="F96" s="277" t="s">
        <v>676</v>
      </c>
      <c r="G96" s="272">
        <v>563</v>
      </c>
      <c r="H96" s="130">
        <f t="shared" ref="H96:H97" si="4">IF(F96="M",-G96,G96)</f>
        <v>-563</v>
      </c>
      <c r="I96" s="275" t="s">
        <v>575</v>
      </c>
      <c r="J96" s="698">
        <v>43190</v>
      </c>
      <c r="K96" s="268"/>
    </row>
    <row r="97" spans="1:11" s="669" customFormat="1" ht="15" customHeight="1" x14ac:dyDescent="0.25">
      <c r="A97" s="274" t="s">
        <v>7</v>
      </c>
      <c r="B97" s="271" t="s">
        <v>13</v>
      </c>
      <c r="C97" s="275" t="s">
        <v>990</v>
      </c>
      <c r="D97" s="323" t="str">
        <f ca="1">IFERROR(OFFSET(Camp_List[P_Code],MATCH(Data_Demography_t[[#This Row],[Camp]],Camp_List[Camp Name],0)-1,0,1,1),"")</f>
        <v>MMR012CMP017</v>
      </c>
      <c r="E97" s="276" t="s">
        <v>833</v>
      </c>
      <c r="F97" s="277" t="s">
        <v>677</v>
      </c>
      <c r="G97" s="272">
        <v>540</v>
      </c>
      <c r="H97" s="130">
        <f t="shared" si="4"/>
        <v>540</v>
      </c>
      <c r="I97" s="275" t="s">
        <v>575</v>
      </c>
      <c r="J97" s="698">
        <v>43190</v>
      </c>
      <c r="K97" s="268"/>
    </row>
    <row r="98" spans="1:11" s="669" customFormat="1" ht="15" customHeight="1" x14ac:dyDescent="0.25">
      <c r="A98" s="274" t="s">
        <v>7</v>
      </c>
      <c r="B98" s="271" t="s">
        <v>13</v>
      </c>
      <c r="C98" s="275" t="s">
        <v>990</v>
      </c>
      <c r="D98" s="323" t="str">
        <f ca="1">IFERROR(OFFSET(Camp_List[P_Code],MATCH(Data_Demography_t[[#This Row],[Camp]],Camp_List[Camp Name],0)-1,0,1,1),"")</f>
        <v>MMR012CMP017</v>
      </c>
      <c r="E98" s="276" t="s">
        <v>809</v>
      </c>
      <c r="F98" s="277" t="s">
        <v>676</v>
      </c>
      <c r="G98" s="272">
        <v>69</v>
      </c>
      <c r="H98" s="130">
        <f>IF(F98="M",-G98,G98)</f>
        <v>-69</v>
      </c>
      <c r="I98" s="275" t="s">
        <v>575</v>
      </c>
      <c r="J98" s="698">
        <v>43190</v>
      </c>
      <c r="K98" s="268"/>
    </row>
    <row r="99" spans="1:11" s="669" customFormat="1" ht="15" customHeight="1" x14ac:dyDescent="0.25">
      <c r="A99" s="274" t="s">
        <v>7</v>
      </c>
      <c r="B99" s="271" t="s">
        <v>13</v>
      </c>
      <c r="C99" s="275" t="s">
        <v>990</v>
      </c>
      <c r="D99" s="323" t="str">
        <f ca="1">IFERROR(OFFSET(Camp_List[P_Code],MATCH(Data_Demography_t[[#This Row],[Camp]],Camp_List[Camp Name],0)-1,0,1,1),"")</f>
        <v>MMR012CMP017</v>
      </c>
      <c r="E99" s="276" t="s">
        <v>809</v>
      </c>
      <c r="F99" s="277" t="s">
        <v>677</v>
      </c>
      <c r="G99" s="272">
        <v>64</v>
      </c>
      <c r="H99" s="130">
        <f>IF(F99="M",-G99,G99)</f>
        <v>64</v>
      </c>
      <c r="I99" s="275" t="s">
        <v>575</v>
      </c>
      <c r="J99" s="698">
        <v>43190</v>
      </c>
      <c r="K99" s="268"/>
    </row>
    <row r="100" spans="1:11" s="669" customFormat="1" ht="15" customHeight="1" x14ac:dyDescent="0.25">
      <c r="A100" s="274" t="s">
        <v>7</v>
      </c>
      <c r="B100" s="271" t="s">
        <v>13</v>
      </c>
      <c r="C100" s="275" t="s">
        <v>991</v>
      </c>
      <c r="D100" s="323" t="str">
        <f ca="1">IFERROR(OFFSET(Camp_List[P_Code],MATCH(Data_Demography_t[[#This Row],[Camp]],Camp_List[Camp Name],0)-1,0,1,1),"")</f>
        <v>MMR012CMP017</v>
      </c>
      <c r="E100" s="396" t="s">
        <v>1047</v>
      </c>
      <c r="F100" s="275" t="s">
        <v>676</v>
      </c>
      <c r="G100" s="272">
        <v>583</v>
      </c>
      <c r="H100" s="130">
        <f t="shared" si="1"/>
        <v>-583</v>
      </c>
      <c r="I100" s="275" t="s">
        <v>575</v>
      </c>
      <c r="J100" s="698">
        <v>43190</v>
      </c>
      <c r="K100" s="268"/>
    </row>
    <row r="101" spans="1:11" s="669" customFormat="1" ht="15" customHeight="1" x14ac:dyDescent="0.25">
      <c r="A101" s="274" t="s">
        <v>7</v>
      </c>
      <c r="B101" s="271" t="s">
        <v>13</v>
      </c>
      <c r="C101" s="275" t="s">
        <v>991</v>
      </c>
      <c r="D101" s="323" t="str">
        <f ca="1">IFERROR(OFFSET(Camp_List[P_Code],MATCH(Data_Demography_t[[#This Row],[Camp]],Camp_List[Camp Name],0)-1,0,1,1),"")</f>
        <v>MMR012CMP017</v>
      </c>
      <c r="E101" s="396" t="s">
        <v>1047</v>
      </c>
      <c r="F101" s="311" t="s">
        <v>677</v>
      </c>
      <c r="G101" s="272">
        <v>598</v>
      </c>
      <c r="H101" s="130">
        <f t="shared" si="1"/>
        <v>598</v>
      </c>
      <c r="I101" s="275" t="s">
        <v>575</v>
      </c>
      <c r="J101" s="698">
        <v>43190</v>
      </c>
      <c r="K101" s="268"/>
    </row>
    <row r="102" spans="1:11" ht="15" customHeight="1" x14ac:dyDescent="0.25">
      <c r="A102" s="274" t="s">
        <v>7</v>
      </c>
      <c r="B102" s="271" t="s">
        <v>13</v>
      </c>
      <c r="C102" s="275" t="s">
        <v>991</v>
      </c>
      <c r="D102" s="323" t="str">
        <f ca="1">IFERROR(OFFSET(Camp_List[P_Code],MATCH(Data_Demography_t[[#This Row],[Camp]],Camp_List[Camp Name],0)-1,0,1,1),"")</f>
        <v>MMR012CMP017</v>
      </c>
      <c r="E102" s="396" t="s">
        <v>831</v>
      </c>
      <c r="F102" s="275" t="s">
        <v>676</v>
      </c>
      <c r="G102" s="272">
        <v>377</v>
      </c>
      <c r="H102" s="130">
        <f t="shared" si="1"/>
        <v>-377</v>
      </c>
      <c r="I102" s="275" t="s">
        <v>575</v>
      </c>
      <c r="J102" s="698">
        <v>43190</v>
      </c>
    </row>
    <row r="103" spans="1:11" ht="15" customHeight="1" x14ac:dyDescent="0.25">
      <c r="A103" s="274" t="s">
        <v>7</v>
      </c>
      <c r="B103" s="271" t="s">
        <v>13</v>
      </c>
      <c r="C103" s="275" t="s">
        <v>991</v>
      </c>
      <c r="D103" s="323" t="str">
        <f ca="1">IFERROR(OFFSET(Camp_List[P_Code],MATCH(Data_Demography_t[[#This Row],[Camp]],Camp_List[Camp Name],0)-1,0,1,1),"")</f>
        <v>MMR012CMP017</v>
      </c>
      <c r="E103" s="396" t="s">
        <v>831</v>
      </c>
      <c r="F103" s="311" t="s">
        <v>677</v>
      </c>
      <c r="G103" s="272">
        <v>334</v>
      </c>
      <c r="H103" s="130">
        <f t="shared" si="1"/>
        <v>334</v>
      </c>
      <c r="I103" s="275" t="s">
        <v>575</v>
      </c>
      <c r="J103" s="698">
        <v>43190</v>
      </c>
    </row>
    <row r="104" spans="1:11" ht="15" customHeight="1" x14ac:dyDescent="0.25">
      <c r="A104" s="274" t="s">
        <v>7</v>
      </c>
      <c r="B104" s="271" t="s">
        <v>13</v>
      </c>
      <c r="C104" s="275" t="s">
        <v>991</v>
      </c>
      <c r="D104" s="323" t="str">
        <f ca="1">IFERROR(OFFSET(Camp_List[P_Code],MATCH(Data_Demography_t[[#This Row],[Camp]],Camp_List[Camp Name],0)-1,0,1,1),"")</f>
        <v>MMR012CMP017</v>
      </c>
      <c r="E104" s="276" t="s">
        <v>607</v>
      </c>
      <c r="F104" s="277" t="s">
        <v>676</v>
      </c>
      <c r="G104" s="272">
        <v>222</v>
      </c>
      <c r="H104" s="130">
        <f t="shared" si="1"/>
        <v>-222</v>
      </c>
      <c r="I104" s="275" t="s">
        <v>575</v>
      </c>
      <c r="J104" s="698">
        <v>43190</v>
      </c>
    </row>
    <row r="105" spans="1:11" ht="15" customHeight="1" x14ac:dyDescent="0.25">
      <c r="A105" s="274" t="s">
        <v>7</v>
      </c>
      <c r="B105" s="271" t="s">
        <v>13</v>
      </c>
      <c r="C105" s="275" t="s">
        <v>991</v>
      </c>
      <c r="D105" s="323" t="str">
        <f ca="1">IFERROR(OFFSET(Camp_List[P_Code],MATCH(Data_Demography_t[[#This Row],[Camp]],Camp_List[Camp Name],0)-1,0,1,1),"")</f>
        <v>MMR012CMP017</v>
      </c>
      <c r="E105" s="276" t="s">
        <v>607</v>
      </c>
      <c r="F105" s="277" t="s">
        <v>677</v>
      </c>
      <c r="G105" s="272">
        <v>220</v>
      </c>
      <c r="H105" s="130">
        <f t="shared" si="1"/>
        <v>220</v>
      </c>
      <c r="I105" s="275" t="s">
        <v>575</v>
      </c>
      <c r="J105" s="698">
        <v>43190</v>
      </c>
    </row>
    <row r="106" spans="1:11" ht="15" customHeight="1" x14ac:dyDescent="0.25">
      <c r="A106" s="274" t="s">
        <v>7</v>
      </c>
      <c r="B106" s="271" t="s">
        <v>13</v>
      </c>
      <c r="C106" s="275" t="s">
        <v>991</v>
      </c>
      <c r="D106" s="323" t="str">
        <f ca="1">IFERROR(OFFSET(Camp_List[P_Code],MATCH(Data_Demography_t[[#This Row],[Camp]],Camp_List[Camp Name],0)-1,0,1,1),"")</f>
        <v>MMR012CMP017</v>
      </c>
      <c r="E106" s="276" t="s">
        <v>832</v>
      </c>
      <c r="F106" s="277" t="s">
        <v>676</v>
      </c>
      <c r="G106" s="272">
        <v>336</v>
      </c>
      <c r="H106" s="130">
        <f t="shared" si="1"/>
        <v>-336</v>
      </c>
      <c r="I106" s="275" t="s">
        <v>575</v>
      </c>
      <c r="J106" s="698">
        <v>43190</v>
      </c>
    </row>
    <row r="107" spans="1:11" ht="15" customHeight="1" x14ac:dyDescent="0.25">
      <c r="A107" s="274" t="s">
        <v>7</v>
      </c>
      <c r="B107" s="271" t="s">
        <v>13</v>
      </c>
      <c r="C107" s="275" t="s">
        <v>991</v>
      </c>
      <c r="D107" s="323" t="str">
        <f ca="1">IFERROR(OFFSET(Camp_List[P_Code],MATCH(Data_Demography_t[[#This Row],[Camp]],Camp_List[Camp Name],0)-1,0,1,1),"")</f>
        <v>MMR012CMP017</v>
      </c>
      <c r="E107" s="276" t="s">
        <v>832</v>
      </c>
      <c r="F107" s="277" t="s">
        <v>677</v>
      </c>
      <c r="G107" s="272">
        <v>476</v>
      </c>
      <c r="H107" s="130">
        <f t="shared" si="1"/>
        <v>476</v>
      </c>
      <c r="I107" s="275" t="s">
        <v>575</v>
      </c>
      <c r="J107" s="698">
        <v>43190</v>
      </c>
    </row>
    <row r="108" spans="1:11" ht="15" customHeight="1" x14ac:dyDescent="0.25">
      <c r="A108" s="274" t="s">
        <v>7</v>
      </c>
      <c r="B108" s="271" t="s">
        <v>13</v>
      </c>
      <c r="C108" s="275" t="s">
        <v>991</v>
      </c>
      <c r="D108" s="323" t="str">
        <f ca="1">IFERROR(OFFSET(Camp_List[P_Code],MATCH(Data_Demography_t[[#This Row],[Camp]],Camp_List[Camp Name],0)-1,0,1,1),"")</f>
        <v>MMR012CMP017</v>
      </c>
      <c r="E108" s="276" t="s">
        <v>833</v>
      </c>
      <c r="F108" s="277" t="s">
        <v>676</v>
      </c>
      <c r="G108" s="272">
        <v>429</v>
      </c>
      <c r="H108" s="130">
        <f t="shared" si="1"/>
        <v>-429</v>
      </c>
      <c r="I108" s="275" t="s">
        <v>575</v>
      </c>
      <c r="J108" s="698">
        <v>43190</v>
      </c>
    </row>
    <row r="109" spans="1:11" ht="15" customHeight="1" x14ac:dyDescent="0.25">
      <c r="A109" s="274" t="s">
        <v>7</v>
      </c>
      <c r="B109" s="271" t="s">
        <v>13</v>
      </c>
      <c r="C109" s="275" t="s">
        <v>991</v>
      </c>
      <c r="D109" s="323" t="str">
        <f ca="1">IFERROR(OFFSET(Camp_List[P_Code],MATCH(Data_Demography_t[[#This Row],[Camp]],Camp_List[Camp Name],0)-1,0,1,1),"")</f>
        <v>MMR012CMP017</v>
      </c>
      <c r="E109" s="276" t="s">
        <v>833</v>
      </c>
      <c r="F109" s="277" t="s">
        <v>677</v>
      </c>
      <c r="G109" s="272">
        <v>349</v>
      </c>
      <c r="H109" s="130">
        <f t="shared" si="1"/>
        <v>349</v>
      </c>
      <c r="I109" s="275" t="s">
        <v>575</v>
      </c>
      <c r="J109" s="698">
        <v>43190</v>
      </c>
    </row>
    <row r="110" spans="1:11" ht="15" customHeight="1" x14ac:dyDescent="0.25">
      <c r="A110" s="274" t="s">
        <v>7</v>
      </c>
      <c r="B110" s="271" t="s">
        <v>13</v>
      </c>
      <c r="C110" s="275" t="s">
        <v>991</v>
      </c>
      <c r="D110" s="323" t="str">
        <f ca="1">IFERROR(OFFSET(Camp_List[P_Code],MATCH(Data_Demography_t[[#This Row],[Camp]],Camp_List[Camp Name],0)-1,0,1,1),"")</f>
        <v>MMR012CMP017</v>
      </c>
      <c r="E110" s="276" t="s">
        <v>809</v>
      </c>
      <c r="F110" s="277" t="s">
        <v>676</v>
      </c>
      <c r="G110" s="272">
        <v>89</v>
      </c>
      <c r="H110" s="130">
        <f t="shared" si="1"/>
        <v>-89</v>
      </c>
      <c r="I110" s="275" t="s">
        <v>575</v>
      </c>
      <c r="J110" s="698">
        <v>43190</v>
      </c>
    </row>
    <row r="111" spans="1:11" ht="15" customHeight="1" x14ac:dyDescent="0.25">
      <c r="A111" s="274" t="s">
        <v>7</v>
      </c>
      <c r="B111" s="271" t="s">
        <v>13</v>
      </c>
      <c r="C111" s="275" t="s">
        <v>991</v>
      </c>
      <c r="D111" s="323" t="str">
        <f ca="1">IFERROR(OFFSET(Camp_List[P_Code],MATCH(Data_Demography_t[[#This Row],[Camp]],Camp_List[Camp Name],0)-1,0,1,1),"")</f>
        <v>MMR012CMP017</v>
      </c>
      <c r="E111" s="276" t="s">
        <v>809</v>
      </c>
      <c r="F111" s="277" t="s">
        <v>677</v>
      </c>
      <c r="G111" s="272">
        <v>66</v>
      </c>
      <c r="H111" s="130">
        <f t="shared" si="1"/>
        <v>66</v>
      </c>
      <c r="I111" s="275" t="s">
        <v>575</v>
      </c>
      <c r="J111" s="698">
        <v>43190</v>
      </c>
    </row>
    <row r="112" spans="1:11" ht="15" customHeight="1" x14ac:dyDescent="0.25">
      <c r="A112" s="274" t="s">
        <v>7</v>
      </c>
      <c r="B112" s="271" t="s">
        <v>17</v>
      </c>
      <c r="C112" s="275" t="s">
        <v>585</v>
      </c>
      <c r="D112" s="323" t="str">
        <f ca="1">IFERROR(OFFSET(Camp_List[P_Code],MATCH(Data_Demography_t[[#This Row],[Camp]],Camp_List[Camp Name],0)-1,0,1,1),"")</f>
        <v>MMR012CMP098</v>
      </c>
      <c r="E112" s="396" t="s">
        <v>1047</v>
      </c>
      <c r="F112" s="287" t="s">
        <v>676</v>
      </c>
      <c r="G112" s="272">
        <v>460</v>
      </c>
      <c r="H112" s="130">
        <f t="shared" si="1"/>
        <v>-460</v>
      </c>
      <c r="I112" s="275" t="s">
        <v>273</v>
      </c>
      <c r="J112" s="698">
        <v>43190</v>
      </c>
    </row>
    <row r="113" spans="1:11" ht="15" customHeight="1" x14ac:dyDescent="0.25">
      <c r="A113" s="274" t="s">
        <v>7</v>
      </c>
      <c r="B113" s="271" t="s">
        <v>17</v>
      </c>
      <c r="C113" s="275" t="s">
        <v>585</v>
      </c>
      <c r="D113" s="323" t="str">
        <f ca="1">IFERROR(OFFSET(Camp_List[P_Code],MATCH(Data_Demography_t[[#This Row],[Camp]],Camp_List[Camp Name],0)-1,0,1,1),"")</f>
        <v>MMR012CMP098</v>
      </c>
      <c r="E113" s="396" t="s">
        <v>1047</v>
      </c>
      <c r="F113" s="287" t="s">
        <v>677</v>
      </c>
      <c r="G113" s="272">
        <v>478</v>
      </c>
      <c r="H113" s="130">
        <f t="shared" si="1"/>
        <v>478</v>
      </c>
      <c r="I113" s="275" t="s">
        <v>273</v>
      </c>
      <c r="J113" s="698">
        <v>43190</v>
      </c>
    </row>
    <row r="114" spans="1:11" s="669" customFormat="1" ht="15" customHeight="1" x14ac:dyDescent="0.25">
      <c r="A114" s="274" t="s">
        <v>7</v>
      </c>
      <c r="B114" s="271" t="s">
        <v>17</v>
      </c>
      <c r="C114" s="275" t="s">
        <v>585</v>
      </c>
      <c r="D114" s="323" t="str">
        <f ca="1">IFERROR(OFFSET(Camp_List[P_Code],MATCH(Data_Demography_t[[#This Row],[Camp]],Camp_List[Camp Name],0)-1,0,1,1),"")</f>
        <v>MMR012CMP098</v>
      </c>
      <c r="E114" s="396" t="s">
        <v>831</v>
      </c>
      <c r="F114" s="287" t="s">
        <v>676</v>
      </c>
      <c r="G114" s="322">
        <v>435</v>
      </c>
      <c r="H114" s="130">
        <f t="shared" si="1"/>
        <v>-435</v>
      </c>
      <c r="I114" s="275" t="s">
        <v>273</v>
      </c>
      <c r="J114" s="698">
        <v>43190</v>
      </c>
      <c r="K114" s="268"/>
    </row>
    <row r="115" spans="1:11" s="669" customFormat="1" ht="15" customHeight="1" x14ac:dyDescent="0.25">
      <c r="A115" s="274" t="s">
        <v>7</v>
      </c>
      <c r="B115" s="271" t="s">
        <v>17</v>
      </c>
      <c r="C115" s="275" t="s">
        <v>585</v>
      </c>
      <c r="D115" s="323" t="str">
        <f ca="1">IFERROR(OFFSET(Camp_List[P_Code],MATCH(Data_Demography_t[[#This Row],[Camp]],Camp_List[Camp Name],0)-1,0,1,1),"")</f>
        <v>MMR012CMP098</v>
      </c>
      <c r="E115" s="396" t="s">
        <v>831</v>
      </c>
      <c r="F115" s="287" t="s">
        <v>677</v>
      </c>
      <c r="G115" s="322">
        <v>359</v>
      </c>
      <c r="H115" s="130">
        <f t="shared" si="1"/>
        <v>359</v>
      </c>
      <c r="I115" s="275" t="s">
        <v>273</v>
      </c>
      <c r="J115" s="698">
        <v>43190</v>
      </c>
      <c r="K115" s="268"/>
    </row>
    <row r="116" spans="1:11" ht="15" customHeight="1" x14ac:dyDescent="0.25">
      <c r="A116" s="274" t="s">
        <v>7</v>
      </c>
      <c r="B116" s="271" t="s">
        <v>17</v>
      </c>
      <c r="C116" s="275" t="s">
        <v>585</v>
      </c>
      <c r="D116" s="323" t="str">
        <f ca="1">IFERROR(OFFSET(Camp_List[P_Code],MATCH(Data_Demography_t[[#This Row],[Camp]],Camp_List[Camp Name],0)-1,0,1,1),"")</f>
        <v>MMR012CMP098</v>
      </c>
      <c r="E116" s="289" t="s">
        <v>607</v>
      </c>
      <c r="F116" s="287" t="s">
        <v>676</v>
      </c>
      <c r="G116" s="927">
        <v>355</v>
      </c>
      <c r="H116" s="130">
        <f t="shared" si="1"/>
        <v>-355</v>
      </c>
      <c r="I116" s="275" t="s">
        <v>273</v>
      </c>
      <c r="J116" s="698">
        <v>43190</v>
      </c>
    </row>
    <row r="117" spans="1:11" ht="15" customHeight="1" x14ac:dyDescent="0.25">
      <c r="A117" s="274" t="s">
        <v>7</v>
      </c>
      <c r="B117" s="271" t="s">
        <v>17</v>
      </c>
      <c r="C117" s="275" t="s">
        <v>585</v>
      </c>
      <c r="D117" s="323" t="str">
        <f ca="1">IFERROR(OFFSET(Camp_List[P_Code],MATCH(Data_Demography_t[[#This Row],[Camp]],Camp_List[Camp Name],0)-1,0,1,1),"")</f>
        <v>MMR012CMP098</v>
      </c>
      <c r="E117" s="289" t="s">
        <v>607</v>
      </c>
      <c r="F117" s="287" t="s">
        <v>677</v>
      </c>
      <c r="G117" s="927">
        <v>282</v>
      </c>
      <c r="H117" s="130">
        <f t="shared" si="1"/>
        <v>282</v>
      </c>
      <c r="I117" s="275" t="s">
        <v>273</v>
      </c>
      <c r="J117" s="698">
        <v>43190</v>
      </c>
    </row>
    <row r="118" spans="1:11" ht="15" customHeight="1" x14ac:dyDescent="0.25">
      <c r="A118" s="274" t="s">
        <v>7</v>
      </c>
      <c r="B118" s="271" t="s">
        <v>17</v>
      </c>
      <c r="C118" s="275" t="s">
        <v>585</v>
      </c>
      <c r="D118" s="323" t="str">
        <f ca="1">IFERROR(OFFSET(Camp_List[P_Code],MATCH(Data_Demography_t[[#This Row],[Camp]],Camp_List[Camp Name],0)-1,0,1,1),"")</f>
        <v>MMR012CMP098</v>
      </c>
      <c r="E118" s="276" t="s">
        <v>832</v>
      </c>
      <c r="F118" s="275" t="s">
        <v>676</v>
      </c>
      <c r="G118" s="927">
        <v>340</v>
      </c>
      <c r="H118" s="130">
        <f t="shared" si="1"/>
        <v>-340</v>
      </c>
      <c r="I118" s="275" t="s">
        <v>273</v>
      </c>
      <c r="J118" s="698">
        <v>43190</v>
      </c>
    </row>
    <row r="119" spans="1:11" ht="15" customHeight="1" x14ac:dyDescent="0.25">
      <c r="A119" s="274" t="s">
        <v>7</v>
      </c>
      <c r="B119" s="271" t="s">
        <v>17</v>
      </c>
      <c r="C119" s="275" t="s">
        <v>585</v>
      </c>
      <c r="D119" s="323" t="str">
        <f ca="1">IFERROR(OFFSET(Camp_List[P_Code],MATCH(Data_Demography_t[[#This Row],[Camp]],Camp_List[Camp Name],0)-1,0,1,1),"")</f>
        <v>MMR012CMP098</v>
      </c>
      <c r="E119" s="276" t="s">
        <v>832</v>
      </c>
      <c r="F119" s="311" t="s">
        <v>677</v>
      </c>
      <c r="G119" s="927">
        <v>453</v>
      </c>
      <c r="H119" s="130">
        <f t="shared" si="1"/>
        <v>453</v>
      </c>
      <c r="I119" s="275" t="s">
        <v>273</v>
      </c>
      <c r="J119" s="698">
        <v>43190</v>
      </c>
    </row>
    <row r="120" spans="1:11" ht="15" customHeight="1" x14ac:dyDescent="0.25">
      <c r="A120" s="274" t="s">
        <v>7</v>
      </c>
      <c r="B120" s="271" t="s">
        <v>17</v>
      </c>
      <c r="C120" s="275" t="s">
        <v>585</v>
      </c>
      <c r="D120" s="323" t="str">
        <f ca="1">IFERROR(OFFSET(Camp_List[P_Code],MATCH(Data_Demography_t[[#This Row],[Camp]],Camp_List[Camp Name],0)-1,0,1,1),"")</f>
        <v>MMR012CMP098</v>
      </c>
      <c r="E120" s="276" t="s">
        <v>833</v>
      </c>
      <c r="F120" s="275" t="s">
        <v>676</v>
      </c>
      <c r="G120" s="272">
        <v>413</v>
      </c>
      <c r="H120" s="130">
        <f t="shared" si="1"/>
        <v>-413</v>
      </c>
      <c r="I120" s="275" t="s">
        <v>273</v>
      </c>
      <c r="J120" s="698">
        <v>43190</v>
      </c>
    </row>
    <row r="121" spans="1:11" ht="15" customHeight="1" x14ac:dyDescent="0.25">
      <c r="A121" s="274" t="s">
        <v>7</v>
      </c>
      <c r="B121" s="271" t="s">
        <v>17</v>
      </c>
      <c r="C121" s="275" t="s">
        <v>585</v>
      </c>
      <c r="D121" s="323" t="str">
        <f ca="1">IFERROR(OFFSET(Camp_List[P_Code],MATCH(Data_Demography_t[[#This Row],[Camp]],Camp_List[Camp Name],0)-1,0,1,1),"")</f>
        <v>MMR012CMP098</v>
      </c>
      <c r="E121" s="276" t="s">
        <v>833</v>
      </c>
      <c r="F121" s="311" t="s">
        <v>677</v>
      </c>
      <c r="G121" s="272">
        <v>348</v>
      </c>
      <c r="H121" s="130">
        <f t="shared" si="1"/>
        <v>348</v>
      </c>
      <c r="I121" s="275" t="s">
        <v>273</v>
      </c>
      <c r="J121" s="698">
        <v>43190</v>
      </c>
    </row>
    <row r="122" spans="1:11" ht="15" customHeight="1" x14ac:dyDescent="0.25">
      <c r="A122" s="274" t="s">
        <v>7</v>
      </c>
      <c r="B122" s="271" t="s">
        <v>17</v>
      </c>
      <c r="C122" s="275" t="s">
        <v>585</v>
      </c>
      <c r="D122" s="323" t="str">
        <f ca="1">IFERROR(OFFSET(Camp_List[P_Code],MATCH(Data_Demography_t[[#This Row],[Camp]],Camp_List[Camp Name],0)-1,0,1,1),"")</f>
        <v>MMR012CMP098</v>
      </c>
      <c r="E122" s="276" t="s">
        <v>809</v>
      </c>
      <c r="F122" s="275" t="s">
        <v>676</v>
      </c>
      <c r="G122" s="272">
        <v>45</v>
      </c>
      <c r="H122" s="130">
        <f t="shared" si="1"/>
        <v>-45</v>
      </c>
      <c r="I122" s="275" t="s">
        <v>273</v>
      </c>
      <c r="J122" s="698">
        <v>43190</v>
      </c>
    </row>
    <row r="123" spans="1:11" ht="15" customHeight="1" x14ac:dyDescent="0.25">
      <c r="A123" s="274" t="s">
        <v>7</v>
      </c>
      <c r="B123" s="271" t="s">
        <v>17</v>
      </c>
      <c r="C123" s="275" t="s">
        <v>585</v>
      </c>
      <c r="D123" s="323" t="str">
        <f ca="1">IFERROR(OFFSET(Camp_List[P_Code],MATCH(Data_Demography_t[[#This Row],[Camp]],Camp_List[Camp Name],0)-1,0,1,1),"")</f>
        <v>MMR012CMP098</v>
      </c>
      <c r="E123" s="276" t="s">
        <v>809</v>
      </c>
      <c r="F123" s="311" t="s">
        <v>677</v>
      </c>
      <c r="G123" s="272">
        <v>39</v>
      </c>
      <c r="H123" s="130">
        <f t="shared" si="1"/>
        <v>39</v>
      </c>
      <c r="I123" s="275" t="s">
        <v>273</v>
      </c>
      <c r="J123" s="698">
        <v>43190</v>
      </c>
    </row>
    <row r="124" spans="1:11" ht="15" customHeight="1" x14ac:dyDescent="0.25">
      <c r="A124" s="309" t="s">
        <v>7</v>
      </c>
      <c r="B124" s="310" t="s">
        <v>17</v>
      </c>
      <c r="C124" s="313" t="s">
        <v>586</v>
      </c>
      <c r="D124" s="323" t="str">
        <f ca="1">IFERROR(OFFSET(Camp_List[P_Code],MATCH(Data_Demography_t[[#This Row],[Camp]],Camp_List[Camp Name],0)-1,0,1,1),"")</f>
        <v>MMR012CMP115</v>
      </c>
      <c r="E124" s="396" t="s">
        <v>1047</v>
      </c>
      <c r="F124" s="315" t="s">
        <v>676</v>
      </c>
      <c r="G124" s="953">
        <v>1563</v>
      </c>
      <c r="H124" s="130">
        <f t="shared" si="1"/>
        <v>-1563</v>
      </c>
      <c r="I124" s="313" t="s">
        <v>273</v>
      </c>
      <c r="J124" s="698">
        <v>43190</v>
      </c>
    </row>
    <row r="125" spans="1:11" ht="15" customHeight="1" x14ac:dyDescent="0.25">
      <c r="A125" s="309" t="s">
        <v>7</v>
      </c>
      <c r="B125" s="310" t="s">
        <v>17</v>
      </c>
      <c r="C125" s="313" t="s">
        <v>586</v>
      </c>
      <c r="D125" s="323" t="str">
        <f ca="1">IFERROR(OFFSET(Camp_List[P_Code],MATCH(Data_Demography_t[[#This Row],[Camp]],Camp_List[Camp Name],0)-1,0,1,1),"")</f>
        <v>MMR012CMP115</v>
      </c>
      <c r="E125" s="396" t="s">
        <v>1047</v>
      </c>
      <c r="F125" s="315" t="s">
        <v>677</v>
      </c>
      <c r="G125" s="953">
        <v>1446</v>
      </c>
      <c r="H125" s="130">
        <f t="shared" si="1"/>
        <v>1446</v>
      </c>
      <c r="I125" s="313" t="s">
        <v>273</v>
      </c>
      <c r="J125" s="698">
        <v>43190</v>
      </c>
    </row>
    <row r="126" spans="1:11" ht="15" customHeight="1" x14ac:dyDescent="0.25">
      <c r="A126" s="309" t="s">
        <v>7</v>
      </c>
      <c r="B126" s="310" t="s">
        <v>17</v>
      </c>
      <c r="C126" s="313" t="s">
        <v>586</v>
      </c>
      <c r="D126" s="323" t="str">
        <f ca="1">IFERROR(OFFSET(Camp_List[P_Code],MATCH(Data_Demography_t[[#This Row],[Camp]],Camp_List[Camp Name],0)-1,0,1,1),"")</f>
        <v>MMR012CMP115</v>
      </c>
      <c r="E126" s="396" t="s">
        <v>831</v>
      </c>
      <c r="F126" s="315" t="s">
        <v>676</v>
      </c>
      <c r="G126" s="953">
        <v>1417</v>
      </c>
      <c r="H126" s="130">
        <f t="shared" si="1"/>
        <v>-1417</v>
      </c>
      <c r="I126" s="313" t="s">
        <v>273</v>
      </c>
      <c r="J126" s="698">
        <v>43190</v>
      </c>
    </row>
    <row r="127" spans="1:11" ht="15" customHeight="1" x14ac:dyDescent="0.25">
      <c r="A127" s="309" t="s">
        <v>7</v>
      </c>
      <c r="B127" s="310" t="s">
        <v>17</v>
      </c>
      <c r="C127" s="313" t="s">
        <v>586</v>
      </c>
      <c r="D127" s="323" t="str">
        <f ca="1">IFERROR(OFFSET(Camp_List[P_Code],MATCH(Data_Demography_t[[#This Row],[Camp]],Camp_List[Camp Name],0)-1,0,1,1),"")</f>
        <v>MMR012CMP115</v>
      </c>
      <c r="E127" s="396" t="s">
        <v>831</v>
      </c>
      <c r="F127" s="315" t="s">
        <v>677</v>
      </c>
      <c r="G127" s="953">
        <v>1219</v>
      </c>
      <c r="H127" s="130">
        <f t="shared" si="1"/>
        <v>1219</v>
      </c>
      <c r="I127" s="313" t="s">
        <v>273</v>
      </c>
      <c r="J127" s="698">
        <v>43190</v>
      </c>
    </row>
    <row r="128" spans="1:11" s="669" customFormat="1" ht="15" customHeight="1" x14ac:dyDescent="0.25">
      <c r="A128" s="309" t="s">
        <v>7</v>
      </c>
      <c r="B128" s="310" t="s">
        <v>17</v>
      </c>
      <c r="C128" s="313" t="s">
        <v>586</v>
      </c>
      <c r="D128" s="323" t="str">
        <f ca="1">IFERROR(OFFSET(Camp_List[P_Code],MATCH(Data_Demography_t[[#This Row],[Camp]],Camp_List[Camp Name],0)-1,0,1,1),"")</f>
        <v>MMR012CMP115</v>
      </c>
      <c r="E128" s="314" t="s">
        <v>607</v>
      </c>
      <c r="F128" s="315" t="s">
        <v>676</v>
      </c>
      <c r="G128" s="953">
        <v>985</v>
      </c>
      <c r="H128" s="130">
        <f t="shared" si="1"/>
        <v>-985</v>
      </c>
      <c r="I128" s="313" t="s">
        <v>273</v>
      </c>
      <c r="J128" s="698">
        <v>43190</v>
      </c>
      <c r="K128" s="268"/>
    </row>
    <row r="129" spans="1:11" s="669" customFormat="1" ht="15" customHeight="1" x14ac:dyDescent="0.25">
      <c r="A129" s="309" t="s">
        <v>7</v>
      </c>
      <c r="B129" s="310" t="s">
        <v>17</v>
      </c>
      <c r="C129" s="313" t="s">
        <v>586</v>
      </c>
      <c r="D129" s="323" t="str">
        <f ca="1">IFERROR(OFFSET(Camp_List[P_Code],MATCH(Data_Demography_t[[#This Row],[Camp]],Camp_List[Camp Name],0)-1,0,1,1),"")</f>
        <v>MMR012CMP115</v>
      </c>
      <c r="E129" s="314" t="s">
        <v>607</v>
      </c>
      <c r="F129" s="315" t="s">
        <v>677</v>
      </c>
      <c r="G129" s="953">
        <v>909</v>
      </c>
      <c r="H129" s="130">
        <f t="shared" si="1"/>
        <v>909</v>
      </c>
      <c r="I129" s="313" t="s">
        <v>273</v>
      </c>
      <c r="J129" s="698">
        <v>43190</v>
      </c>
      <c r="K129" s="268"/>
    </row>
    <row r="130" spans="1:11" ht="15" customHeight="1" x14ac:dyDescent="0.25">
      <c r="A130" s="274" t="s">
        <v>7</v>
      </c>
      <c r="B130" s="271" t="s">
        <v>17</v>
      </c>
      <c r="C130" s="275" t="s">
        <v>586</v>
      </c>
      <c r="D130" s="323" t="str">
        <f ca="1">IFERROR(OFFSET(Camp_List[P_Code],MATCH(Data_Demography_t[[#This Row],[Camp]],Camp_List[Camp Name],0)-1,0,1,1),"")</f>
        <v>MMR012CMP115</v>
      </c>
      <c r="E130" s="289" t="s">
        <v>832</v>
      </c>
      <c r="F130" s="287" t="s">
        <v>676</v>
      </c>
      <c r="G130" s="927">
        <v>1061</v>
      </c>
      <c r="H130" s="130">
        <f t="shared" si="1"/>
        <v>-1061</v>
      </c>
      <c r="I130" s="275" t="s">
        <v>273</v>
      </c>
      <c r="J130" s="698">
        <v>43190</v>
      </c>
    </row>
    <row r="131" spans="1:11" ht="15" customHeight="1" x14ac:dyDescent="0.25">
      <c r="A131" s="274" t="s">
        <v>7</v>
      </c>
      <c r="B131" s="271" t="s">
        <v>17</v>
      </c>
      <c r="C131" s="275" t="s">
        <v>586</v>
      </c>
      <c r="D131" s="323" t="str">
        <f ca="1">IFERROR(OFFSET(Camp_List[P_Code],MATCH(Data_Demography_t[[#This Row],[Camp]],Camp_List[Camp Name],0)-1,0,1,1),"")</f>
        <v>MMR012CMP115</v>
      </c>
      <c r="E131" s="289" t="s">
        <v>832</v>
      </c>
      <c r="F131" s="287" t="s">
        <v>677</v>
      </c>
      <c r="G131" s="927">
        <v>1517</v>
      </c>
      <c r="H131" s="130">
        <f t="shared" si="1"/>
        <v>1517</v>
      </c>
      <c r="I131" s="275" t="s">
        <v>273</v>
      </c>
      <c r="J131" s="698">
        <v>43190</v>
      </c>
    </row>
    <row r="132" spans="1:11" ht="15" customHeight="1" x14ac:dyDescent="0.25">
      <c r="A132" s="274" t="s">
        <v>7</v>
      </c>
      <c r="B132" s="271" t="s">
        <v>17</v>
      </c>
      <c r="C132" s="275" t="s">
        <v>586</v>
      </c>
      <c r="D132" s="323" t="str">
        <f ca="1">IFERROR(OFFSET(Camp_List[P_Code],MATCH(Data_Demography_t[[#This Row],[Camp]],Camp_List[Camp Name],0)-1,0,1,1),"")</f>
        <v>MMR012CMP115</v>
      </c>
      <c r="E132" s="289" t="s">
        <v>833</v>
      </c>
      <c r="F132" s="287" t="s">
        <v>676</v>
      </c>
      <c r="G132" s="927">
        <v>1463</v>
      </c>
      <c r="H132" s="130">
        <f t="shared" si="1"/>
        <v>-1463</v>
      </c>
      <c r="I132" s="275" t="s">
        <v>273</v>
      </c>
      <c r="J132" s="698">
        <v>43190</v>
      </c>
    </row>
    <row r="133" spans="1:11" ht="15" customHeight="1" x14ac:dyDescent="0.25">
      <c r="A133" s="274" t="s">
        <v>7</v>
      </c>
      <c r="B133" s="271" t="s">
        <v>17</v>
      </c>
      <c r="C133" s="275" t="s">
        <v>586</v>
      </c>
      <c r="D133" s="323" t="str">
        <f ca="1">IFERROR(OFFSET(Camp_List[P_Code],MATCH(Data_Demography_t[[#This Row],[Camp]],Camp_List[Camp Name],0)-1,0,1,1),"")</f>
        <v>MMR012CMP115</v>
      </c>
      <c r="E133" s="289" t="s">
        <v>833</v>
      </c>
      <c r="F133" s="287" t="s">
        <v>677</v>
      </c>
      <c r="G133" s="927">
        <v>1580</v>
      </c>
      <c r="H133" s="130">
        <f t="shared" si="1"/>
        <v>1580</v>
      </c>
      <c r="I133" s="275" t="s">
        <v>273</v>
      </c>
      <c r="J133" s="698">
        <v>43190</v>
      </c>
    </row>
    <row r="134" spans="1:11" ht="15" customHeight="1" x14ac:dyDescent="0.25">
      <c r="A134" s="274" t="s">
        <v>7</v>
      </c>
      <c r="B134" s="271" t="s">
        <v>17</v>
      </c>
      <c r="C134" s="275" t="s">
        <v>586</v>
      </c>
      <c r="D134" s="323" t="str">
        <f ca="1">IFERROR(OFFSET(Camp_List[P_Code],MATCH(Data_Demography_t[[#This Row],[Camp]],Camp_List[Camp Name],0)-1,0,1,1),"")</f>
        <v>MMR012CMP115</v>
      </c>
      <c r="E134" s="289" t="s">
        <v>809</v>
      </c>
      <c r="F134" s="287" t="s">
        <v>676</v>
      </c>
      <c r="G134" s="927">
        <v>312</v>
      </c>
      <c r="H134" s="130">
        <f t="shared" si="1"/>
        <v>-312</v>
      </c>
      <c r="I134" s="275" t="s">
        <v>273</v>
      </c>
      <c r="J134" s="698">
        <v>43190</v>
      </c>
    </row>
    <row r="135" spans="1:11" ht="15" customHeight="1" x14ac:dyDescent="0.25">
      <c r="A135" s="274" t="s">
        <v>7</v>
      </c>
      <c r="B135" s="271" t="s">
        <v>17</v>
      </c>
      <c r="C135" s="275" t="s">
        <v>586</v>
      </c>
      <c r="D135" s="323" t="str">
        <f ca="1">IFERROR(OFFSET(Camp_List[P_Code],MATCH(Data_Demography_t[[#This Row],[Camp]],Camp_List[Camp Name],0)-1,0,1,1),"")</f>
        <v>MMR012CMP115</v>
      </c>
      <c r="E135" s="289" t="s">
        <v>809</v>
      </c>
      <c r="F135" s="287" t="s">
        <v>677</v>
      </c>
      <c r="G135" s="927">
        <v>322</v>
      </c>
      <c r="H135" s="130">
        <f t="shared" si="1"/>
        <v>322</v>
      </c>
      <c r="I135" s="275" t="s">
        <v>273</v>
      </c>
      <c r="J135" s="698">
        <v>43190</v>
      </c>
    </row>
    <row r="136" spans="1:11" ht="15" customHeight="1" x14ac:dyDescent="0.25">
      <c r="A136" s="274" t="s">
        <v>7</v>
      </c>
      <c r="B136" s="271" t="s">
        <v>17</v>
      </c>
      <c r="C136" s="271" t="s">
        <v>587</v>
      </c>
      <c r="D136" s="323" t="str">
        <f ca="1">IFERROR(OFFSET(Camp_List[P_Code],MATCH(Data_Demography_t[[#This Row],[Camp]],Camp_List[Camp Name],0)-1,0,1,1),"")</f>
        <v>MMR012CMP116</v>
      </c>
      <c r="E136" s="396" t="s">
        <v>1047</v>
      </c>
      <c r="F136" s="275" t="s">
        <v>676</v>
      </c>
      <c r="G136" s="272">
        <v>1075</v>
      </c>
      <c r="H136" s="130">
        <f t="shared" si="1"/>
        <v>-1075</v>
      </c>
      <c r="I136" s="271" t="s">
        <v>575</v>
      </c>
      <c r="J136" s="698">
        <v>43190</v>
      </c>
    </row>
    <row r="137" spans="1:11" ht="15" customHeight="1" x14ac:dyDescent="0.25">
      <c r="A137" s="274" t="s">
        <v>7</v>
      </c>
      <c r="B137" s="271" t="s">
        <v>17</v>
      </c>
      <c r="C137" s="271" t="s">
        <v>587</v>
      </c>
      <c r="D137" s="323" t="str">
        <f ca="1">IFERROR(OFFSET(Camp_List[P_Code],MATCH(Data_Demography_t[[#This Row],[Camp]],Camp_List[Camp Name],0)-1,0,1,1),"")</f>
        <v>MMR012CMP116</v>
      </c>
      <c r="E137" s="396" t="s">
        <v>1047</v>
      </c>
      <c r="F137" s="311" t="s">
        <v>677</v>
      </c>
      <c r="G137" s="272">
        <v>990</v>
      </c>
      <c r="H137" s="130">
        <f t="shared" si="1"/>
        <v>990</v>
      </c>
      <c r="I137" s="271" t="s">
        <v>575</v>
      </c>
      <c r="J137" s="698">
        <v>43190</v>
      </c>
    </row>
    <row r="138" spans="1:11" ht="15" customHeight="1" x14ac:dyDescent="0.25">
      <c r="A138" s="274" t="s">
        <v>7</v>
      </c>
      <c r="B138" s="271" t="s">
        <v>17</v>
      </c>
      <c r="C138" s="271" t="s">
        <v>587</v>
      </c>
      <c r="D138" s="323" t="str">
        <f ca="1">IFERROR(OFFSET(Camp_List[P_Code],MATCH(Data_Demography_t[[#This Row],[Camp]],Camp_List[Camp Name],0)-1,0,1,1),"")</f>
        <v>MMR012CMP116</v>
      </c>
      <c r="E138" s="396" t="s">
        <v>831</v>
      </c>
      <c r="F138" s="275" t="s">
        <v>676</v>
      </c>
      <c r="G138" s="272">
        <v>1250</v>
      </c>
      <c r="H138" s="130">
        <f t="shared" si="1"/>
        <v>-1250</v>
      </c>
      <c r="I138" s="271" t="s">
        <v>575</v>
      </c>
      <c r="J138" s="698">
        <v>43190</v>
      </c>
    </row>
    <row r="139" spans="1:11" ht="15" customHeight="1" x14ac:dyDescent="0.25">
      <c r="A139" s="274" t="s">
        <v>7</v>
      </c>
      <c r="B139" s="271" t="s">
        <v>17</v>
      </c>
      <c r="C139" s="271" t="s">
        <v>587</v>
      </c>
      <c r="D139" s="323" t="str">
        <f ca="1">IFERROR(OFFSET(Camp_List[P_Code],MATCH(Data_Demography_t[[#This Row],[Camp]],Camp_List[Camp Name],0)-1,0,1,1),"")</f>
        <v>MMR012CMP116</v>
      </c>
      <c r="E139" s="396" t="s">
        <v>831</v>
      </c>
      <c r="F139" s="311" t="s">
        <v>677</v>
      </c>
      <c r="G139" s="272">
        <v>1062</v>
      </c>
      <c r="H139" s="130">
        <f t="shared" si="1"/>
        <v>1062</v>
      </c>
      <c r="I139" s="271" t="s">
        <v>575</v>
      </c>
      <c r="J139" s="698">
        <v>43190</v>
      </c>
    </row>
    <row r="140" spans="1:11" ht="15" customHeight="1" x14ac:dyDescent="0.25">
      <c r="A140" s="274" t="s">
        <v>7</v>
      </c>
      <c r="B140" s="271" t="s">
        <v>17</v>
      </c>
      <c r="C140" s="271" t="s">
        <v>587</v>
      </c>
      <c r="D140" s="323" t="str">
        <f ca="1">IFERROR(OFFSET(Camp_List[P_Code],MATCH(Data_Demography_t[[#This Row],[Camp]],Camp_List[Camp Name],0)-1,0,1,1),"")</f>
        <v>MMR012CMP116</v>
      </c>
      <c r="E140" s="273" t="s">
        <v>607</v>
      </c>
      <c r="F140" s="275" t="s">
        <v>676</v>
      </c>
      <c r="G140" s="272">
        <v>890</v>
      </c>
      <c r="H140" s="130">
        <f t="shared" si="1"/>
        <v>-890</v>
      </c>
      <c r="I140" s="271" t="s">
        <v>575</v>
      </c>
      <c r="J140" s="698">
        <v>43190</v>
      </c>
    </row>
    <row r="141" spans="1:11" ht="15" customHeight="1" x14ac:dyDescent="0.25">
      <c r="A141" s="274" t="s">
        <v>7</v>
      </c>
      <c r="B141" s="271" t="s">
        <v>17</v>
      </c>
      <c r="C141" s="271" t="s">
        <v>587</v>
      </c>
      <c r="D141" s="323" t="str">
        <f ca="1">IFERROR(OFFSET(Camp_List[P_Code],MATCH(Data_Demography_t[[#This Row],[Camp]],Camp_List[Camp Name],0)-1,0,1,1),"")</f>
        <v>MMR012CMP116</v>
      </c>
      <c r="E141" s="273" t="s">
        <v>607</v>
      </c>
      <c r="F141" s="311" t="s">
        <v>677</v>
      </c>
      <c r="G141" s="272">
        <v>854</v>
      </c>
      <c r="H141" s="130">
        <f t="shared" si="1"/>
        <v>854</v>
      </c>
      <c r="I141" s="271" t="s">
        <v>575</v>
      </c>
      <c r="J141" s="698">
        <v>43190</v>
      </c>
    </row>
    <row r="142" spans="1:11" s="669" customFormat="1" ht="15" customHeight="1" x14ac:dyDescent="0.25">
      <c r="A142" s="274" t="s">
        <v>7</v>
      </c>
      <c r="B142" s="271" t="s">
        <v>17</v>
      </c>
      <c r="C142" s="271" t="s">
        <v>587</v>
      </c>
      <c r="D142" s="323" t="str">
        <f ca="1">IFERROR(OFFSET(Camp_List[P_Code],MATCH(Data_Demography_t[[#This Row],[Camp]],Camp_List[Camp Name],0)-1,0,1,1),"")</f>
        <v>MMR012CMP116</v>
      </c>
      <c r="E142" s="276" t="s">
        <v>832</v>
      </c>
      <c r="F142" s="275" t="s">
        <v>676</v>
      </c>
      <c r="G142" s="272">
        <v>634</v>
      </c>
      <c r="H142" s="130">
        <f t="shared" si="1"/>
        <v>-634</v>
      </c>
      <c r="I142" s="271" t="s">
        <v>575</v>
      </c>
      <c r="J142" s="698">
        <v>43190</v>
      </c>
      <c r="K142" s="268"/>
    </row>
    <row r="143" spans="1:11" s="669" customFormat="1" ht="15" customHeight="1" x14ac:dyDescent="0.25">
      <c r="A143" s="274" t="s">
        <v>7</v>
      </c>
      <c r="B143" s="271" t="s">
        <v>17</v>
      </c>
      <c r="C143" s="271" t="s">
        <v>587</v>
      </c>
      <c r="D143" s="323" t="str">
        <f ca="1">IFERROR(OFFSET(Camp_List[P_Code],MATCH(Data_Demography_t[[#This Row],[Camp]],Camp_List[Camp Name],0)-1,0,1,1),"")</f>
        <v>MMR012CMP116</v>
      </c>
      <c r="E143" s="276" t="s">
        <v>832</v>
      </c>
      <c r="F143" s="311" t="s">
        <v>677</v>
      </c>
      <c r="G143" s="272">
        <v>1024</v>
      </c>
      <c r="H143" s="130">
        <f t="shared" si="1"/>
        <v>1024</v>
      </c>
      <c r="I143" s="271" t="s">
        <v>575</v>
      </c>
      <c r="J143" s="698">
        <v>43190</v>
      </c>
      <c r="K143" s="268"/>
    </row>
    <row r="144" spans="1:11" ht="15" customHeight="1" x14ac:dyDescent="0.25">
      <c r="A144" s="309" t="s">
        <v>7</v>
      </c>
      <c r="B144" s="310" t="s">
        <v>17</v>
      </c>
      <c r="C144" s="313" t="s">
        <v>587</v>
      </c>
      <c r="D144" s="323" t="str">
        <f ca="1">IFERROR(OFFSET(Camp_List[P_Code],MATCH(Data_Demography_t[[#This Row],[Camp]],Camp_List[Camp Name],0)-1,0,1,1),"")</f>
        <v>MMR012CMP116</v>
      </c>
      <c r="E144" s="314" t="s">
        <v>833</v>
      </c>
      <c r="F144" s="315" t="s">
        <v>676</v>
      </c>
      <c r="G144" s="284">
        <v>1433</v>
      </c>
      <c r="H144" s="130">
        <f t="shared" ref="H144:H207" si="5">IF(F144="M",-G144,G144)</f>
        <v>-1433</v>
      </c>
      <c r="I144" s="313" t="s">
        <v>575</v>
      </c>
      <c r="J144" s="698">
        <v>43190</v>
      </c>
    </row>
    <row r="145" spans="1:11" ht="15" customHeight="1" x14ac:dyDescent="0.25">
      <c r="A145" s="309" t="s">
        <v>7</v>
      </c>
      <c r="B145" s="310" t="s">
        <v>17</v>
      </c>
      <c r="C145" s="313" t="s">
        <v>587</v>
      </c>
      <c r="D145" s="323" t="str">
        <f ca="1">IFERROR(OFFSET(Camp_List[P_Code],MATCH(Data_Demography_t[[#This Row],[Camp]],Camp_List[Camp Name],0)-1,0,1,1),"")</f>
        <v>MMR012CMP116</v>
      </c>
      <c r="E145" s="314" t="s">
        <v>833</v>
      </c>
      <c r="F145" s="315" t="s">
        <v>677</v>
      </c>
      <c r="G145" s="284">
        <v>1726</v>
      </c>
      <c r="H145" s="130">
        <f t="shared" si="5"/>
        <v>1726</v>
      </c>
      <c r="I145" s="313" t="s">
        <v>575</v>
      </c>
      <c r="J145" s="698">
        <v>43190</v>
      </c>
    </row>
    <row r="146" spans="1:11" ht="15" customHeight="1" x14ac:dyDescent="0.25">
      <c r="A146" s="309" t="s">
        <v>7</v>
      </c>
      <c r="B146" s="310" t="s">
        <v>17</v>
      </c>
      <c r="C146" s="313" t="s">
        <v>587</v>
      </c>
      <c r="D146" s="323" t="str">
        <f ca="1">IFERROR(OFFSET(Camp_List[P_Code],MATCH(Data_Demography_t[[#This Row],[Camp]],Camp_List[Camp Name],0)-1,0,1,1),"")</f>
        <v>MMR012CMP116</v>
      </c>
      <c r="E146" s="314" t="s">
        <v>809</v>
      </c>
      <c r="F146" s="315" t="s">
        <v>676</v>
      </c>
      <c r="G146" s="284">
        <v>138</v>
      </c>
      <c r="H146" s="130">
        <f t="shared" si="5"/>
        <v>-138</v>
      </c>
      <c r="I146" s="313" t="s">
        <v>575</v>
      </c>
      <c r="J146" s="698">
        <v>43190</v>
      </c>
    </row>
    <row r="147" spans="1:11" ht="15" customHeight="1" x14ac:dyDescent="0.25">
      <c r="A147" s="309" t="s">
        <v>7</v>
      </c>
      <c r="B147" s="310" t="s">
        <v>17</v>
      </c>
      <c r="C147" s="313" t="s">
        <v>587</v>
      </c>
      <c r="D147" s="323" t="str">
        <f ca="1">IFERROR(OFFSET(Camp_List[P_Code],MATCH(Data_Demography_t[[#This Row],[Camp]],Camp_List[Camp Name],0)-1,0,1,1),"")</f>
        <v>MMR012CMP116</v>
      </c>
      <c r="E147" s="314" t="s">
        <v>809</v>
      </c>
      <c r="F147" s="315" t="s">
        <v>677</v>
      </c>
      <c r="G147" s="284">
        <v>158</v>
      </c>
      <c r="H147" s="130">
        <f t="shared" si="5"/>
        <v>158</v>
      </c>
      <c r="I147" s="313" t="s">
        <v>575</v>
      </c>
      <c r="J147" s="698">
        <v>43190</v>
      </c>
    </row>
    <row r="148" spans="1:11" s="230" customFormat="1" ht="15" customHeight="1" x14ac:dyDescent="0.25">
      <c r="A148" s="274" t="s">
        <v>7</v>
      </c>
      <c r="B148" s="271" t="s">
        <v>17</v>
      </c>
      <c r="C148" s="275" t="s">
        <v>65</v>
      </c>
      <c r="D148" s="323" t="str">
        <f ca="1">IFERROR(OFFSET(Camp_List[P_Code],MATCH(Data_Demography_t[[#This Row],[Camp]],Camp_List[Camp Name],0)-1,0,1,1),"")</f>
        <v>MMR012CMP045</v>
      </c>
      <c r="E148" s="396" t="s">
        <v>1047</v>
      </c>
      <c r="F148" s="275" t="s">
        <v>676</v>
      </c>
      <c r="G148" s="272">
        <v>1305</v>
      </c>
      <c r="H148" s="130">
        <f t="shared" si="5"/>
        <v>-1305</v>
      </c>
      <c r="I148" s="275" t="s">
        <v>273</v>
      </c>
      <c r="J148" s="698">
        <v>43190</v>
      </c>
      <c r="K148" s="288"/>
    </row>
    <row r="149" spans="1:11" s="230" customFormat="1" ht="15" customHeight="1" x14ac:dyDescent="0.25">
      <c r="A149" s="274" t="s">
        <v>7</v>
      </c>
      <c r="B149" s="271" t="s">
        <v>17</v>
      </c>
      <c r="C149" s="275" t="s">
        <v>65</v>
      </c>
      <c r="D149" s="323" t="str">
        <f ca="1">IFERROR(OFFSET(Camp_List[P_Code],MATCH(Data_Demography_t[[#This Row],[Camp]],Camp_List[Camp Name],0)-1,0,1,1),"")</f>
        <v>MMR012CMP045</v>
      </c>
      <c r="E149" s="396" t="s">
        <v>1047</v>
      </c>
      <c r="F149" s="311" t="s">
        <v>677</v>
      </c>
      <c r="G149" s="272">
        <v>1363</v>
      </c>
      <c r="H149" s="130">
        <f t="shared" si="5"/>
        <v>1363</v>
      </c>
      <c r="I149" s="275" t="s">
        <v>273</v>
      </c>
      <c r="J149" s="698">
        <v>43190</v>
      </c>
      <c r="K149" s="288"/>
    </row>
    <row r="150" spans="1:11" s="230" customFormat="1" ht="15" customHeight="1" x14ac:dyDescent="0.25">
      <c r="A150" s="274" t="s">
        <v>7</v>
      </c>
      <c r="B150" s="271" t="s">
        <v>17</v>
      </c>
      <c r="C150" s="275" t="s">
        <v>65</v>
      </c>
      <c r="D150" s="323" t="str">
        <f ca="1">IFERROR(OFFSET(Camp_List[P_Code],MATCH(Data_Demography_t[[#This Row],[Camp]],Camp_List[Camp Name],0)-1,0,1,1),"")</f>
        <v>MMR012CMP045</v>
      </c>
      <c r="E150" s="396" t="s">
        <v>831</v>
      </c>
      <c r="F150" s="275" t="s">
        <v>676</v>
      </c>
      <c r="G150" s="272">
        <v>1444</v>
      </c>
      <c r="H150" s="130">
        <f t="shared" si="5"/>
        <v>-1444</v>
      </c>
      <c r="I150" s="275" t="s">
        <v>273</v>
      </c>
      <c r="J150" s="698">
        <v>43190</v>
      </c>
      <c r="K150" s="288"/>
    </row>
    <row r="151" spans="1:11" s="230" customFormat="1" ht="15" customHeight="1" x14ac:dyDescent="0.25">
      <c r="A151" s="274" t="s">
        <v>7</v>
      </c>
      <c r="B151" s="271" t="s">
        <v>17</v>
      </c>
      <c r="C151" s="275" t="s">
        <v>65</v>
      </c>
      <c r="D151" s="323" t="str">
        <f ca="1">IFERROR(OFFSET(Camp_List[P_Code],MATCH(Data_Demography_t[[#This Row],[Camp]],Camp_List[Camp Name],0)-1,0,1,1),"")</f>
        <v>MMR012CMP045</v>
      </c>
      <c r="E151" s="396" t="s">
        <v>831</v>
      </c>
      <c r="F151" s="311" t="s">
        <v>677</v>
      </c>
      <c r="G151" s="272">
        <v>1341</v>
      </c>
      <c r="H151" s="130">
        <f t="shared" si="5"/>
        <v>1341</v>
      </c>
      <c r="I151" s="275" t="s">
        <v>273</v>
      </c>
      <c r="J151" s="698">
        <v>43190</v>
      </c>
      <c r="K151" s="288"/>
    </row>
    <row r="152" spans="1:11" s="230" customFormat="1" ht="15" customHeight="1" x14ac:dyDescent="0.25">
      <c r="A152" s="274" t="s">
        <v>7</v>
      </c>
      <c r="B152" s="271" t="s">
        <v>17</v>
      </c>
      <c r="C152" s="275" t="s">
        <v>65</v>
      </c>
      <c r="D152" s="323" t="str">
        <f ca="1">IFERROR(OFFSET(Camp_List[P_Code],MATCH(Data_Demography_t[[#This Row],[Camp]],Camp_List[Camp Name],0)-1,0,1,1),"")</f>
        <v>MMR012CMP045</v>
      </c>
      <c r="E152" s="273" t="s">
        <v>607</v>
      </c>
      <c r="F152" s="275" t="s">
        <v>676</v>
      </c>
      <c r="G152" s="927">
        <v>1047</v>
      </c>
      <c r="H152" s="130">
        <f t="shared" si="5"/>
        <v>-1047</v>
      </c>
      <c r="I152" s="275" t="s">
        <v>273</v>
      </c>
      <c r="J152" s="698">
        <v>43190</v>
      </c>
      <c r="K152" s="288"/>
    </row>
    <row r="153" spans="1:11" s="230" customFormat="1" ht="15" customHeight="1" x14ac:dyDescent="0.25">
      <c r="A153" s="274" t="s">
        <v>7</v>
      </c>
      <c r="B153" s="271" t="s">
        <v>17</v>
      </c>
      <c r="C153" s="275" t="s">
        <v>65</v>
      </c>
      <c r="D153" s="323" t="str">
        <f ca="1">IFERROR(OFFSET(Camp_List[P_Code],MATCH(Data_Demography_t[[#This Row],[Camp]],Camp_List[Camp Name],0)-1,0,1,1),"")</f>
        <v>MMR012CMP045</v>
      </c>
      <c r="E153" s="273" t="s">
        <v>607</v>
      </c>
      <c r="F153" s="311" t="s">
        <v>677</v>
      </c>
      <c r="G153" s="927">
        <v>1059</v>
      </c>
      <c r="H153" s="130">
        <f t="shared" si="5"/>
        <v>1059</v>
      </c>
      <c r="I153" s="275" t="s">
        <v>273</v>
      </c>
      <c r="J153" s="698">
        <v>43190</v>
      </c>
      <c r="K153" s="288"/>
    </row>
    <row r="154" spans="1:11" s="230" customFormat="1" ht="15" customHeight="1" x14ac:dyDescent="0.25">
      <c r="A154" s="274" t="s">
        <v>7</v>
      </c>
      <c r="B154" s="271" t="s">
        <v>17</v>
      </c>
      <c r="C154" s="275" t="s">
        <v>65</v>
      </c>
      <c r="D154" s="323" t="str">
        <f ca="1">IFERROR(OFFSET(Camp_List[P_Code],MATCH(Data_Demography_t[[#This Row],[Camp]],Camp_List[Camp Name],0)-1,0,1,1),"")</f>
        <v>MMR012CMP045</v>
      </c>
      <c r="E154" s="276" t="s">
        <v>832</v>
      </c>
      <c r="F154" s="275" t="s">
        <v>676</v>
      </c>
      <c r="G154" s="272">
        <v>1076</v>
      </c>
      <c r="H154" s="130">
        <f t="shared" si="5"/>
        <v>-1076</v>
      </c>
      <c r="I154" s="275" t="s">
        <v>273</v>
      </c>
      <c r="J154" s="698">
        <v>43190</v>
      </c>
      <c r="K154" s="288"/>
    </row>
    <row r="155" spans="1:11" s="230" customFormat="1" ht="15" customHeight="1" x14ac:dyDescent="0.25">
      <c r="A155" s="274" t="s">
        <v>7</v>
      </c>
      <c r="B155" s="271" t="s">
        <v>17</v>
      </c>
      <c r="C155" s="275" t="s">
        <v>65</v>
      </c>
      <c r="D155" s="323" t="str">
        <f ca="1">IFERROR(OFFSET(Camp_List[P_Code],MATCH(Data_Demography_t[[#This Row],[Camp]],Camp_List[Camp Name],0)-1,0,1,1),"")</f>
        <v>MMR012CMP045</v>
      </c>
      <c r="E155" s="276" t="s">
        <v>832</v>
      </c>
      <c r="F155" s="311" t="s">
        <v>677</v>
      </c>
      <c r="G155" s="272">
        <v>1535</v>
      </c>
      <c r="H155" s="130">
        <f t="shared" si="5"/>
        <v>1535</v>
      </c>
      <c r="I155" s="275" t="s">
        <v>273</v>
      </c>
      <c r="J155" s="698">
        <v>43190</v>
      </c>
      <c r="K155" s="288"/>
    </row>
    <row r="156" spans="1:11" s="230" customFormat="1" ht="15" customHeight="1" x14ac:dyDescent="0.25">
      <c r="A156" s="274" t="s">
        <v>7</v>
      </c>
      <c r="B156" s="271" t="s">
        <v>17</v>
      </c>
      <c r="C156" s="275" t="s">
        <v>65</v>
      </c>
      <c r="D156" s="323" t="str">
        <f ca="1">IFERROR(OFFSET(Camp_List[P_Code],MATCH(Data_Demography_t[[#This Row],[Camp]],Camp_List[Camp Name],0)-1,0,1,1),"")</f>
        <v>MMR012CMP045</v>
      </c>
      <c r="E156" s="276" t="s">
        <v>833</v>
      </c>
      <c r="F156" s="275" t="s">
        <v>676</v>
      </c>
      <c r="G156" s="272">
        <v>1526</v>
      </c>
      <c r="H156" s="130">
        <f t="shared" si="5"/>
        <v>-1526</v>
      </c>
      <c r="I156" s="275" t="s">
        <v>273</v>
      </c>
      <c r="J156" s="698">
        <v>43190</v>
      </c>
      <c r="K156" s="288"/>
    </row>
    <row r="157" spans="1:11" s="230" customFormat="1" ht="15" customHeight="1" x14ac:dyDescent="0.25">
      <c r="A157" s="274" t="s">
        <v>7</v>
      </c>
      <c r="B157" s="271" t="s">
        <v>17</v>
      </c>
      <c r="C157" s="275" t="s">
        <v>65</v>
      </c>
      <c r="D157" s="323" t="str">
        <f ca="1">IFERROR(OFFSET(Camp_List[P_Code],MATCH(Data_Demography_t[[#This Row],[Camp]],Camp_List[Camp Name],0)-1,0,1,1),"")</f>
        <v>MMR012CMP045</v>
      </c>
      <c r="E157" s="276" t="s">
        <v>833</v>
      </c>
      <c r="F157" s="311" t="s">
        <v>677</v>
      </c>
      <c r="G157" s="272">
        <v>1545</v>
      </c>
      <c r="H157" s="130">
        <f t="shared" si="5"/>
        <v>1545</v>
      </c>
      <c r="I157" s="275" t="s">
        <v>273</v>
      </c>
      <c r="J157" s="698">
        <v>43190</v>
      </c>
      <c r="K157" s="288"/>
    </row>
    <row r="158" spans="1:11" s="230" customFormat="1" ht="15" customHeight="1" x14ac:dyDescent="0.25">
      <c r="A158" s="274" t="s">
        <v>7</v>
      </c>
      <c r="B158" s="275" t="s">
        <v>17</v>
      </c>
      <c r="C158" s="275" t="s">
        <v>65</v>
      </c>
      <c r="D158" s="323" t="str">
        <f ca="1">IFERROR(OFFSET(Camp_List[P_Code],MATCH(Data_Demography_t[[#This Row],[Camp]],Camp_List[Camp Name],0)-1,0,1,1),"")</f>
        <v>MMR012CMP045</v>
      </c>
      <c r="E158" s="289" t="s">
        <v>809</v>
      </c>
      <c r="F158" s="287" t="s">
        <v>676</v>
      </c>
      <c r="G158" s="272">
        <v>268</v>
      </c>
      <c r="H158" s="130">
        <f t="shared" si="5"/>
        <v>-268</v>
      </c>
      <c r="I158" s="275" t="s">
        <v>273</v>
      </c>
      <c r="J158" s="698">
        <v>43190</v>
      </c>
      <c r="K158" s="288"/>
    </row>
    <row r="159" spans="1:11" s="230" customFormat="1" ht="17.25" customHeight="1" x14ac:dyDescent="0.25">
      <c r="A159" s="274" t="s">
        <v>7</v>
      </c>
      <c r="B159" s="275" t="s">
        <v>17</v>
      </c>
      <c r="C159" s="275" t="s">
        <v>65</v>
      </c>
      <c r="D159" s="323" t="str">
        <f ca="1">IFERROR(OFFSET(Camp_List[P_Code],MATCH(Data_Demography_t[[#This Row],[Camp]],Camp_List[Camp Name],0)-1,0,1,1),"")</f>
        <v>MMR012CMP045</v>
      </c>
      <c r="E159" s="289" t="s">
        <v>809</v>
      </c>
      <c r="F159" s="287" t="s">
        <v>677</v>
      </c>
      <c r="G159" s="272">
        <v>234</v>
      </c>
      <c r="H159" s="130">
        <f t="shared" si="5"/>
        <v>234</v>
      </c>
      <c r="I159" s="275" t="s">
        <v>273</v>
      </c>
      <c r="J159" s="698">
        <v>43190</v>
      </c>
      <c r="K159" s="288"/>
    </row>
    <row r="160" spans="1:11" s="230" customFormat="1" ht="17.25" customHeight="1" x14ac:dyDescent="0.25">
      <c r="A160" s="274" t="s">
        <v>7</v>
      </c>
      <c r="B160" s="271" t="s">
        <v>13</v>
      </c>
      <c r="C160" s="275" t="s">
        <v>41</v>
      </c>
      <c r="D160" s="323" t="str">
        <f ca="1">IFERROR(OFFSET(Camp_List[P_Code],MATCH(Data_Demography_t[[#This Row],[Camp]],Camp_List[Camp Name],0)-1,0,1,1),"")</f>
        <v>MMR012CMP019</v>
      </c>
      <c r="E160" s="396" t="s">
        <v>1047</v>
      </c>
      <c r="F160" s="275" t="s">
        <v>676</v>
      </c>
      <c r="G160" s="272">
        <v>220</v>
      </c>
      <c r="H160" s="130">
        <f t="shared" si="5"/>
        <v>-220</v>
      </c>
      <c r="I160" s="275" t="s">
        <v>273</v>
      </c>
      <c r="J160" s="697">
        <v>43190</v>
      </c>
      <c r="K160" s="288"/>
    </row>
    <row r="161" spans="1:11" s="230" customFormat="1" ht="15" customHeight="1" x14ac:dyDescent="0.25">
      <c r="A161" s="274" t="s">
        <v>7</v>
      </c>
      <c r="B161" s="271" t="s">
        <v>13</v>
      </c>
      <c r="C161" s="275" t="s">
        <v>41</v>
      </c>
      <c r="D161" s="323" t="str">
        <f ca="1">IFERROR(OFFSET(Camp_List[P_Code],MATCH(Data_Demography_t[[#This Row],[Camp]],Camp_List[Camp Name],0)-1,0,1,1),"")</f>
        <v>MMR012CMP019</v>
      </c>
      <c r="E161" s="396" t="s">
        <v>1047</v>
      </c>
      <c r="F161" s="311" t="s">
        <v>677</v>
      </c>
      <c r="G161" s="272">
        <v>191</v>
      </c>
      <c r="H161" s="130">
        <f t="shared" si="5"/>
        <v>191</v>
      </c>
      <c r="I161" s="275" t="s">
        <v>273</v>
      </c>
      <c r="J161" s="697">
        <v>43190</v>
      </c>
      <c r="K161" s="288"/>
    </row>
    <row r="162" spans="1:11" ht="15" customHeight="1" x14ac:dyDescent="0.25">
      <c r="A162" s="274" t="s">
        <v>7</v>
      </c>
      <c r="B162" s="271" t="s">
        <v>13</v>
      </c>
      <c r="C162" s="275" t="s">
        <v>41</v>
      </c>
      <c r="D162" s="323" t="str">
        <f ca="1">IFERROR(OFFSET(Camp_List[P_Code],MATCH(Data_Demography_t[[#This Row],[Camp]],Camp_List[Camp Name],0)-1,0,1,1),"")</f>
        <v>MMR012CMP019</v>
      </c>
      <c r="E162" s="396" t="s">
        <v>831</v>
      </c>
      <c r="F162" s="275" t="s">
        <v>676</v>
      </c>
      <c r="G162" s="272">
        <v>194</v>
      </c>
      <c r="H162" s="130">
        <f t="shared" si="5"/>
        <v>-194</v>
      </c>
      <c r="I162" s="275" t="s">
        <v>273</v>
      </c>
      <c r="J162" s="697">
        <v>43190</v>
      </c>
    </row>
    <row r="163" spans="1:11" ht="15" customHeight="1" x14ac:dyDescent="0.25">
      <c r="A163" s="274" t="s">
        <v>7</v>
      </c>
      <c r="B163" s="271" t="s">
        <v>13</v>
      </c>
      <c r="C163" s="275" t="s">
        <v>41</v>
      </c>
      <c r="D163" s="323" t="str">
        <f ca="1">IFERROR(OFFSET(Camp_List[P_Code],MATCH(Data_Demography_t[[#This Row],[Camp]],Camp_List[Camp Name],0)-1,0,1,1),"")</f>
        <v>MMR012CMP019</v>
      </c>
      <c r="E163" s="396" t="s">
        <v>831</v>
      </c>
      <c r="F163" s="311" t="s">
        <v>677</v>
      </c>
      <c r="G163" s="272">
        <v>169</v>
      </c>
      <c r="H163" s="130">
        <f t="shared" si="5"/>
        <v>169</v>
      </c>
      <c r="I163" s="275" t="s">
        <v>273</v>
      </c>
      <c r="J163" s="697">
        <v>43190</v>
      </c>
    </row>
    <row r="164" spans="1:11" ht="15" customHeight="1" x14ac:dyDescent="0.25">
      <c r="A164" s="274" t="s">
        <v>7</v>
      </c>
      <c r="B164" s="271" t="s">
        <v>13</v>
      </c>
      <c r="C164" s="275" t="s">
        <v>41</v>
      </c>
      <c r="D164" s="323" t="str">
        <f ca="1">IFERROR(OFFSET(Camp_List[P_Code],MATCH(Data_Demography_t[[#This Row],[Camp]],Camp_List[Camp Name],0)-1,0,1,1),"")</f>
        <v>MMR012CMP019</v>
      </c>
      <c r="E164" s="273" t="s">
        <v>607</v>
      </c>
      <c r="F164" s="275" t="s">
        <v>676</v>
      </c>
      <c r="G164" s="272">
        <v>217</v>
      </c>
      <c r="H164" s="130">
        <f t="shared" si="5"/>
        <v>-217</v>
      </c>
      <c r="I164" s="275" t="s">
        <v>273</v>
      </c>
      <c r="J164" s="697">
        <v>43190</v>
      </c>
    </row>
    <row r="165" spans="1:11" ht="15" customHeight="1" x14ac:dyDescent="0.25">
      <c r="A165" s="274" t="s">
        <v>7</v>
      </c>
      <c r="B165" s="271" t="s">
        <v>13</v>
      </c>
      <c r="C165" s="275" t="s">
        <v>41</v>
      </c>
      <c r="D165" s="323" t="str">
        <f ca="1">IFERROR(OFFSET(Camp_List[P_Code],MATCH(Data_Demography_t[[#This Row],[Camp]],Camp_List[Camp Name],0)-1,0,1,1),"")</f>
        <v>MMR012CMP019</v>
      </c>
      <c r="E165" s="273" t="s">
        <v>607</v>
      </c>
      <c r="F165" s="311" t="s">
        <v>677</v>
      </c>
      <c r="G165" s="272">
        <v>196</v>
      </c>
      <c r="H165" s="130">
        <f t="shared" si="5"/>
        <v>196</v>
      </c>
      <c r="I165" s="275" t="s">
        <v>273</v>
      </c>
      <c r="J165" s="697">
        <v>43190</v>
      </c>
    </row>
    <row r="166" spans="1:11" ht="15" customHeight="1" x14ac:dyDescent="0.25">
      <c r="A166" s="274" t="s">
        <v>7</v>
      </c>
      <c r="B166" s="271" t="s">
        <v>13</v>
      </c>
      <c r="C166" s="275" t="s">
        <v>41</v>
      </c>
      <c r="D166" s="323" t="str">
        <f ca="1">IFERROR(OFFSET(Camp_List[P_Code],MATCH(Data_Demography_t[[#This Row],[Camp]],Camp_List[Camp Name],0)-1,0,1,1),"")</f>
        <v>MMR012CMP019</v>
      </c>
      <c r="E166" s="276" t="s">
        <v>832</v>
      </c>
      <c r="F166" s="275" t="s">
        <v>676</v>
      </c>
      <c r="G166" s="272">
        <v>304</v>
      </c>
      <c r="H166" s="130">
        <f t="shared" si="5"/>
        <v>-304</v>
      </c>
      <c r="I166" s="275" t="s">
        <v>273</v>
      </c>
      <c r="J166" s="697">
        <v>43190</v>
      </c>
    </row>
    <row r="167" spans="1:11" ht="15" customHeight="1" x14ac:dyDescent="0.25">
      <c r="A167" s="274" t="s">
        <v>7</v>
      </c>
      <c r="B167" s="271" t="s">
        <v>13</v>
      </c>
      <c r="C167" s="275" t="s">
        <v>41</v>
      </c>
      <c r="D167" s="323" t="str">
        <f ca="1">IFERROR(OFFSET(Camp_List[P_Code],MATCH(Data_Demography_t[[#This Row],[Camp]],Camp_List[Camp Name],0)-1,0,1,1),"")</f>
        <v>MMR012CMP019</v>
      </c>
      <c r="E167" s="276" t="s">
        <v>832</v>
      </c>
      <c r="F167" s="311" t="s">
        <v>677</v>
      </c>
      <c r="G167" s="272">
        <v>325</v>
      </c>
      <c r="H167" s="130">
        <f t="shared" si="5"/>
        <v>325</v>
      </c>
      <c r="I167" s="275" t="s">
        <v>273</v>
      </c>
      <c r="J167" s="697">
        <v>43190</v>
      </c>
    </row>
    <row r="168" spans="1:11" s="669" customFormat="1" ht="15" customHeight="1" x14ac:dyDescent="0.25">
      <c r="A168" s="274" t="s">
        <v>7</v>
      </c>
      <c r="B168" s="271" t="s">
        <v>13</v>
      </c>
      <c r="C168" s="275" t="s">
        <v>41</v>
      </c>
      <c r="D168" s="323" t="str">
        <f ca="1">IFERROR(OFFSET(Camp_List[P_Code],MATCH(Data_Demography_t[[#This Row],[Camp]],Camp_List[Camp Name],0)-1,0,1,1),"")</f>
        <v>MMR012CMP019</v>
      </c>
      <c r="E168" s="276" t="s">
        <v>833</v>
      </c>
      <c r="F168" s="275" t="s">
        <v>676</v>
      </c>
      <c r="G168" s="272">
        <v>409</v>
      </c>
      <c r="H168" s="130">
        <f t="shared" si="5"/>
        <v>-409</v>
      </c>
      <c r="I168" s="275" t="s">
        <v>273</v>
      </c>
      <c r="J168" s="697">
        <v>43190</v>
      </c>
      <c r="K168" s="268"/>
    </row>
    <row r="169" spans="1:11" s="669" customFormat="1" ht="15" customHeight="1" x14ac:dyDescent="0.25">
      <c r="A169" s="274" t="s">
        <v>7</v>
      </c>
      <c r="B169" s="271" t="s">
        <v>13</v>
      </c>
      <c r="C169" s="275" t="s">
        <v>41</v>
      </c>
      <c r="D169" s="323" t="str">
        <f ca="1">IFERROR(OFFSET(Camp_List[P_Code],MATCH(Data_Demography_t[[#This Row],[Camp]],Camp_List[Camp Name],0)-1,0,1,1),"")</f>
        <v>MMR012CMP019</v>
      </c>
      <c r="E169" s="276" t="s">
        <v>833</v>
      </c>
      <c r="F169" s="311" t="s">
        <v>677</v>
      </c>
      <c r="G169" s="272">
        <v>443</v>
      </c>
      <c r="H169" s="130">
        <f t="shared" si="5"/>
        <v>443</v>
      </c>
      <c r="I169" s="275" t="s">
        <v>273</v>
      </c>
      <c r="J169" s="697">
        <v>43190</v>
      </c>
      <c r="K169" s="268"/>
    </row>
    <row r="170" spans="1:11" s="669" customFormat="1" ht="15" customHeight="1" x14ac:dyDescent="0.25">
      <c r="A170" s="274" t="s">
        <v>7</v>
      </c>
      <c r="B170" s="271" t="s">
        <v>13</v>
      </c>
      <c r="C170" s="275" t="s">
        <v>41</v>
      </c>
      <c r="D170" s="323" t="str">
        <f ca="1">IFERROR(OFFSET(Camp_List[P_Code],MATCH(Data_Demography_t[[#This Row],[Camp]],Camp_List[Camp Name],0)-1,0,1,1),"")</f>
        <v>MMR012CMP019</v>
      </c>
      <c r="E170" s="276" t="s">
        <v>809</v>
      </c>
      <c r="F170" s="277" t="s">
        <v>676</v>
      </c>
      <c r="G170" s="272">
        <v>88</v>
      </c>
      <c r="H170" s="130">
        <f t="shared" si="5"/>
        <v>-88</v>
      </c>
      <c r="I170" s="275" t="s">
        <v>273</v>
      </c>
      <c r="J170" s="697">
        <v>43190</v>
      </c>
      <c r="K170" s="268"/>
    </row>
    <row r="171" spans="1:11" s="669" customFormat="1" ht="15" customHeight="1" x14ac:dyDescent="0.25">
      <c r="A171" s="274" t="s">
        <v>7</v>
      </c>
      <c r="B171" s="271" t="s">
        <v>13</v>
      </c>
      <c r="C171" s="275" t="s">
        <v>41</v>
      </c>
      <c r="D171" s="323" t="str">
        <f ca="1">IFERROR(OFFSET(Camp_List[P_Code],MATCH(Data_Demography_t[[#This Row],[Camp]],Camp_List[Camp Name],0)-1,0,1,1),"")</f>
        <v>MMR012CMP019</v>
      </c>
      <c r="E171" s="276" t="s">
        <v>809</v>
      </c>
      <c r="F171" s="277" t="s">
        <v>677</v>
      </c>
      <c r="G171" s="272">
        <v>89</v>
      </c>
      <c r="H171" s="130">
        <f t="shared" si="5"/>
        <v>89</v>
      </c>
      <c r="I171" s="275" t="s">
        <v>273</v>
      </c>
      <c r="J171" s="697">
        <v>43190</v>
      </c>
      <c r="K171" s="268"/>
    </row>
    <row r="172" spans="1:11" ht="15" customHeight="1" x14ac:dyDescent="0.25">
      <c r="A172" s="274" t="s">
        <v>7</v>
      </c>
      <c r="B172" s="302" t="s">
        <v>817</v>
      </c>
      <c r="C172" s="311" t="s">
        <v>36</v>
      </c>
      <c r="D172" s="323" t="str">
        <f ca="1">IFERROR(OFFSET(Camp_List[P_Code],MATCH(Data_Demography_t[[#This Row],[Camp]],Camp_List[Camp Name],0)-1,0,1,1),"")</f>
        <v>MMR012CMP014</v>
      </c>
      <c r="E172" s="396" t="s">
        <v>1047</v>
      </c>
      <c r="F172" s="275" t="s">
        <v>676</v>
      </c>
      <c r="G172">
        <v>233</v>
      </c>
      <c r="H172" s="130">
        <f t="shared" si="5"/>
        <v>-233</v>
      </c>
      <c r="I172" s="320" t="s">
        <v>658</v>
      </c>
      <c r="J172" s="699">
        <v>42978</v>
      </c>
    </row>
    <row r="173" spans="1:11" ht="15" customHeight="1" x14ac:dyDescent="0.25">
      <c r="A173" s="274" t="s">
        <v>7</v>
      </c>
      <c r="B173" s="302" t="s">
        <v>817</v>
      </c>
      <c r="C173" s="311" t="s">
        <v>36</v>
      </c>
      <c r="D173" s="323" t="str">
        <f ca="1">IFERROR(OFFSET(Camp_List[P_Code],MATCH(Data_Demography_t[[#This Row],[Camp]],Camp_List[Camp Name],0)-1,0,1,1),"")</f>
        <v>MMR012CMP014</v>
      </c>
      <c r="E173" s="396" t="s">
        <v>1047</v>
      </c>
      <c r="F173" s="311" t="s">
        <v>677</v>
      </c>
      <c r="G173" s="746">
        <v>236</v>
      </c>
      <c r="H173" s="130">
        <f t="shared" si="5"/>
        <v>236</v>
      </c>
      <c r="I173" s="320" t="s">
        <v>658</v>
      </c>
      <c r="J173" s="699">
        <v>42978</v>
      </c>
    </row>
    <row r="174" spans="1:11" ht="15" customHeight="1" x14ac:dyDescent="0.25">
      <c r="A174" s="274" t="s">
        <v>7</v>
      </c>
      <c r="B174" s="302" t="s">
        <v>817</v>
      </c>
      <c r="C174" s="311" t="s">
        <v>36</v>
      </c>
      <c r="D174" s="323" t="str">
        <f ca="1">IFERROR(OFFSET(Camp_List[P_Code],MATCH(Data_Demography_t[[#This Row],[Camp]],Camp_List[Camp Name],0)-1,0,1,1),"")</f>
        <v>MMR012CMP014</v>
      </c>
      <c r="E174" s="396" t="s">
        <v>831</v>
      </c>
      <c r="F174" s="275" t="s">
        <v>676</v>
      </c>
      <c r="G174" s="322">
        <v>236</v>
      </c>
      <c r="H174" s="130">
        <f t="shared" si="5"/>
        <v>-236</v>
      </c>
      <c r="I174" s="320" t="s">
        <v>658</v>
      </c>
      <c r="J174" s="699">
        <v>42978</v>
      </c>
    </row>
    <row r="175" spans="1:11" ht="15" customHeight="1" x14ac:dyDescent="0.25">
      <c r="A175" s="274" t="s">
        <v>7</v>
      </c>
      <c r="B175" s="302" t="s">
        <v>817</v>
      </c>
      <c r="C175" s="311" t="s">
        <v>36</v>
      </c>
      <c r="D175" s="323" t="str">
        <f ca="1">IFERROR(OFFSET(Camp_List[P_Code],MATCH(Data_Demography_t[[#This Row],[Camp]],Camp_List[Camp Name],0)-1,0,1,1),"")</f>
        <v>MMR012CMP014</v>
      </c>
      <c r="E175" s="396" t="s">
        <v>831</v>
      </c>
      <c r="F175" s="311" t="s">
        <v>677</v>
      </c>
      <c r="G175" s="322">
        <v>241</v>
      </c>
      <c r="H175" s="130">
        <f t="shared" si="5"/>
        <v>241</v>
      </c>
      <c r="I175" s="320" t="s">
        <v>658</v>
      </c>
      <c r="J175" s="699">
        <v>42978</v>
      </c>
    </row>
    <row r="176" spans="1:11" ht="15" customHeight="1" x14ac:dyDescent="0.25">
      <c r="A176" s="274" t="s">
        <v>7</v>
      </c>
      <c r="B176" s="302" t="s">
        <v>817</v>
      </c>
      <c r="C176" s="311" t="s">
        <v>36</v>
      </c>
      <c r="D176" s="323" t="str">
        <f ca="1">IFERROR(OFFSET(Camp_List[P_Code],MATCH(Data_Demography_t[[#This Row],[Camp]],Camp_List[Camp Name],0)-1,0,1,1),"")</f>
        <v>MMR012CMP014</v>
      </c>
      <c r="E176" s="273" t="s">
        <v>607</v>
      </c>
      <c r="F176" s="275" t="s">
        <v>676</v>
      </c>
      <c r="G176" s="322">
        <v>196</v>
      </c>
      <c r="H176" s="130">
        <f t="shared" si="5"/>
        <v>-196</v>
      </c>
      <c r="I176" s="320" t="s">
        <v>658</v>
      </c>
      <c r="J176" s="699">
        <v>42978</v>
      </c>
    </row>
    <row r="177" spans="1:11" ht="15" customHeight="1" x14ac:dyDescent="0.25">
      <c r="A177" s="274" t="s">
        <v>7</v>
      </c>
      <c r="B177" s="302" t="s">
        <v>817</v>
      </c>
      <c r="C177" s="311" t="s">
        <v>36</v>
      </c>
      <c r="D177" s="323" t="str">
        <f ca="1">IFERROR(OFFSET(Camp_List[P_Code],MATCH(Data_Demography_t[[#This Row],[Camp]],Camp_List[Camp Name],0)-1,0,1,1),"")</f>
        <v>MMR012CMP014</v>
      </c>
      <c r="E177" s="273" t="s">
        <v>607</v>
      </c>
      <c r="F177" s="311" t="s">
        <v>677</v>
      </c>
      <c r="G177" s="322">
        <v>199</v>
      </c>
      <c r="H177" s="130">
        <f t="shared" si="5"/>
        <v>199</v>
      </c>
      <c r="I177" s="320" t="s">
        <v>658</v>
      </c>
      <c r="J177" s="699">
        <v>42978</v>
      </c>
    </row>
    <row r="178" spans="1:11" ht="15" customHeight="1" x14ac:dyDescent="0.25">
      <c r="A178" s="274" t="s">
        <v>7</v>
      </c>
      <c r="B178" s="302" t="s">
        <v>817</v>
      </c>
      <c r="C178" s="311" t="s">
        <v>36</v>
      </c>
      <c r="D178" s="323" t="str">
        <f ca="1">IFERROR(OFFSET(Camp_List[P_Code],MATCH(Data_Demography_t[[#This Row],[Camp]],Camp_List[Camp Name],0)-1,0,1,1),"")</f>
        <v>MMR012CMP014</v>
      </c>
      <c r="E178" s="276" t="s">
        <v>832</v>
      </c>
      <c r="F178" s="275" t="s">
        <v>676</v>
      </c>
      <c r="G178" s="322">
        <v>158</v>
      </c>
      <c r="H178" s="130">
        <f t="shared" si="5"/>
        <v>-158</v>
      </c>
      <c r="I178" s="320" t="s">
        <v>658</v>
      </c>
      <c r="J178" s="699">
        <v>42978</v>
      </c>
    </row>
    <row r="179" spans="1:11" ht="15" customHeight="1" x14ac:dyDescent="0.25">
      <c r="A179" s="274" t="s">
        <v>7</v>
      </c>
      <c r="B179" s="302" t="s">
        <v>817</v>
      </c>
      <c r="C179" s="311" t="s">
        <v>36</v>
      </c>
      <c r="D179" s="323" t="str">
        <f ca="1">IFERROR(OFFSET(Camp_List[P_Code],MATCH(Data_Demography_t[[#This Row],[Camp]],Camp_List[Camp Name],0)-1,0,1,1),"")</f>
        <v>MMR012CMP014</v>
      </c>
      <c r="E179" s="276" t="s">
        <v>832</v>
      </c>
      <c r="F179" s="311" t="s">
        <v>677</v>
      </c>
      <c r="G179" s="272">
        <v>246</v>
      </c>
      <c r="H179" s="130">
        <f t="shared" si="5"/>
        <v>246</v>
      </c>
      <c r="I179" s="320" t="s">
        <v>658</v>
      </c>
      <c r="J179" s="699">
        <v>42978</v>
      </c>
    </row>
    <row r="180" spans="1:11" ht="15" customHeight="1" x14ac:dyDescent="0.25">
      <c r="A180" s="274" t="s">
        <v>7</v>
      </c>
      <c r="B180" s="302" t="s">
        <v>817</v>
      </c>
      <c r="C180" s="311" t="s">
        <v>36</v>
      </c>
      <c r="D180" s="323" t="str">
        <f ca="1">IFERROR(OFFSET(Camp_List[P_Code],MATCH(Data_Demography_t[[#This Row],[Camp]],Camp_List[Camp Name],0)-1,0,1,1),"")</f>
        <v>MMR012CMP014</v>
      </c>
      <c r="E180" s="276" t="s">
        <v>833</v>
      </c>
      <c r="F180" s="275" t="s">
        <v>676</v>
      </c>
      <c r="G180" s="272">
        <v>325</v>
      </c>
      <c r="H180" s="130">
        <f t="shared" si="5"/>
        <v>-325</v>
      </c>
      <c r="I180" s="320" t="s">
        <v>658</v>
      </c>
      <c r="J180" s="699">
        <v>42978</v>
      </c>
    </row>
    <row r="181" spans="1:11" ht="15" customHeight="1" x14ac:dyDescent="0.25">
      <c r="A181" s="274" t="s">
        <v>7</v>
      </c>
      <c r="B181" s="302" t="s">
        <v>817</v>
      </c>
      <c r="C181" s="311" t="s">
        <v>36</v>
      </c>
      <c r="D181" s="323" t="str">
        <f ca="1">IFERROR(OFFSET(Camp_List[P_Code],MATCH(Data_Demography_t[[#This Row],[Camp]],Camp_List[Camp Name],0)-1,0,1,1),"")</f>
        <v>MMR012CMP014</v>
      </c>
      <c r="E181" s="276" t="s">
        <v>833</v>
      </c>
      <c r="F181" s="311" t="s">
        <v>677</v>
      </c>
      <c r="G181" s="322">
        <v>427</v>
      </c>
      <c r="H181" s="130">
        <f t="shared" si="5"/>
        <v>427</v>
      </c>
      <c r="I181" s="320" t="s">
        <v>658</v>
      </c>
      <c r="J181" s="699">
        <v>42978</v>
      </c>
    </row>
    <row r="182" spans="1:11" ht="15" customHeight="1" x14ac:dyDescent="0.25">
      <c r="A182" s="274" t="s">
        <v>7</v>
      </c>
      <c r="B182" s="271" t="s">
        <v>817</v>
      </c>
      <c r="C182" s="275" t="s">
        <v>36</v>
      </c>
      <c r="D182" s="323" t="str">
        <f ca="1">IFERROR(OFFSET(Camp_List[P_Code],MATCH(Data_Demography_t[[#This Row],[Camp]],Camp_List[Camp Name],0)-1,0,1,1),"")</f>
        <v>MMR012CMP014</v>
      </c>
      <c r="E182" s="276" t="s">
        <v>809</v>
      </c>
      <c r="F182" s="277" t="s">
        <v>676</v>
      </c>
      <c r="G182" s="272">
        <v>56</v>
      </c>
      <c r="H182" s="130">
        <f t="shared" si="5"/>
        <v>-56</v>
      </c>
      <c r="I182" s="275" t="s">
        <v>658</v>
      </c>
      <c r="J182" s="699">
        <v>42978</v>
      </c>
    </row>
    <row r="183" spans="1:11" ht="15" customHeight="1" x14ac:dyDescent="0.25">
      <c r="A183" s="274" t="s">
        <v>7</v>
      </c>
      <c r="B183" s="271" t="s">
        <v>817</v>
      </c>
      <c r="C183" s="275" t="s">
        <v>36</v>
      </c>
      <c r="D183" s="323" t="str">
        <f ca="1">IFERROR(OFFSET(Camp_List[P_Code],MATCH(Data_Demography_t[[#This Row],[Camp]],Camp_List[Camp Name],0)-1,0,1,1),"")</f>
        <v>MMR012CMP014</v>
      </c>
      <c r="E183" s="276" t="s">
        <v>809</v>
      </c>
      <c r="F183" s="277" t="s">
        <v>677</v>
      </c>
      <c r="G183" s="272">
        <v>53</v>
      </c>
      <c r="H183" s="130">
        <f t="shared" si="5"/>
        <v>53</v>
      </c>
      <c r="I183" s="275" t="s">
        <v>658</v>
      </c>
      <c r="J183" s="699">
        <v>42978</v>
      </c>
    </row>
    <row r="184" spans="1:11" s="669" customFormat="1" x14ac:dyDescent="0.25">
      <c r="A184" s="274" t="s">
        <v>7</v>
      </c>
      <c r="B184" s="271" t="s">
        <v>17</v>
      </c>
      <c r="C184" s="275" t="s">
        <v>66</v>
      </c>
      <c r="D184" s="323" t="str">
        <f ca="1">IFERROR(OFFSET(Camp_List[P_Code],MATCH(Data_Demography_t[[#This Row],[Camp]],Camp_List[Camp Name],0)-1,0,1,1),"")</f>
        <v>MMR012CMP046</v>
      </c>
      <c r="E184" s="396" t="s">
        <v>1047</v>
      </c>
      <c r="F184" s="275" t="s">
        <v>676</v>
      </c>
      <c r="G184" s="272">
        <v>984</v>
      </c>
      <c r="H184" s="130">
        <f t="shared" si="5"/>
        <v>-984</v>
      </c>
      <c r="I184" s="275" t="s">
        <v>575</v>
      </c>
      <c r="J184" s="698">
        <v>43190</v>
      </c>
      <c r="K184" s="268"/>
    </row>
    <row r="185" spans="1:11" s="669" customFormat="1" x14ac:dyDescent="0.25">
      <c r="A185" s="274" t="s">
        <v>7</v>
      </c>
      <c r="B185" s="271" t="s">
        <v>17</v>
      </c>
      <c r="C185" s="275" t="s">
        <v>66</v>
      </c>
      <c r="D185" s="323" t="str">
        <f ca="1">IFERROR(OFFSET(Camp_List[P_Code],MATCH(Data_Demography_t[[#This Row],[Camp]],Camp_List[Camp Name],0)-1,0,1,1),"")</f>
        <v>MMR012CMP046</v>
      </c>
      <c r="E185" s="396" t="s">
        <v>1047</v>
      </c>
      <c r="F185" s="311" t="s">
        <v>677</v>
      </c>
      <c r="G185" s="272">
        <v>1097</v>
      </c>
      <c r="H185" s="130">
        <f t="shared" si="5"/>
        <v>1097</v>
      </c>
      <c r="I185" s="275" t="s">
        <v>575</v>
      </c>
      <c r="J185" s="698">
        <v>43190</v>
      </c>
      <c r="K185" s="268"/>
    </row>
    <row r="186" spans="1:11" x14ac:dyDescent="0.25">
      <c r="A186" s="274" t="s">
        <v>7</v>
      </c>
      <c r="B186" s="271" t="s">
        <v>17</v>
      </c>
      <c r="C186" s="275" t="s">
        <v>66</v>
      </c>
      <c r="D186" s="323" t="str">
        <f ca="1">IFERROR(OFFSET(Camp_List[P_Code],MATCH(Data_Demography_t[[#This Row],[Camp]],Camp_List[Camp Name],0)-1,0,1,1),"")</f>
        <v>MMR012CMP046</v>
      </c>
      <c r="E186" s="396" t="s">
        <v>831</v>
      </c>
      <c r="F186" s="275" t="s">
        <v>676</v>
      </c>
      <c r="G186" s="272">
        <v>1070</v>
      </c>
      <c r="H186" s="130">
        <f t="shared" si="5"/>
        <v>-1070</v>
      </c>
      <c r="I186" s="275" t="s">
        <v>575</v>
      </c>
      <c r="J186" s="698">
        <v>43190</v>
      </c>
    </row>
    <row r="187" spans="1:11" x14ac:dyDescent="0.25">
      <c r="A187" s="274" t="s">
        <v>7</v>
      </c>
      <c r="B187" s="271" t="s">
        <v>17</v>
      </c>
      <c r="C187" s="275" t="s">
        <v>66</v>
      </c>
      <c r="D187" s="323" t="str">
        <f ca="1">IFERROR(OFFSET(Camp_List[P_Code],MATCH(Data_Demography_t[[#This Row],[Camp]],Camp_List[Camp Name],0)-1,0,1,1),"")</f>
        <v>MMR012CMP046</v>
      </c>
      <c r="E187" s="396" t="s">
        <v>831</v>
      </c>
      <c r="F187" s="311" t="s">
        <v>677</v>
      </c>
      <c r="G187" s="272">
        <v>1104</v>
      </c>
      <c r="H187" s="130">
        <f t="shared" si="5"/>
        <v>1104</v>
      </c>
      <c r="I187" s="275" t="s">
        <v>575</v>
      </c>
      <c r="J187" s="698">
        <v>43190</v>
      </c>
    </row>
    <row r="188" spans="1:11" x14ac:dyDescent="0.25">
      <c r="A188" s="274" t="s">
        <v>7</v>
      </c>
      <c r="B188" s="271" t="s">
        <v>17</v>
      </c>
      <c r="C188" s="275" t="s">
        <v>66</v>
      </c>
      <c r="D188" s="323" t="str">
        <f ca="1">IFERROR(OFFSET(Camp_List[P_Code],MATCH(Data_Demography_t[[#This Row],[Camp]],Camp_List[Camp Name],0)-1,0,1,1),"")</f>
        <v>MMR012CMP046</v>
      </c>
      <c r="E188" s="273" t="s">
        <v>607</v>
      </c>
      <c r="F188" s="275" t="s">
        <v>676</v>
      </c>
      <c r="G188" s="272">
        <v>1043</v>
      </c>
      <c r="H188" s="130">
        <f t="shared" si="5"/>
        <v>-1043</v>
      </c>
      <c r="I188" s="275" t="s">
        <v>575</v>
      </c>
      <c r="J188" s="698">
        <v>43190</v>
      </c>
    </row>
    <row r="189" spans="1:11" x14ac:dyDescent="0.25">
      <c r="A189" s="274" t="s">
        <v>7</v>
      </c>
      <c r="B189" s="271" t="s">
        <v>17</v>
      </c>
      <c r="C189" s="275" t="s">
        <v>66</v>
      </c>
      <c r="D189" s="323" t="str">
        <f ca="1">IFERROR(OFFSET(Camp_List[P_Code],MATCH(Data_Demography_t[[#This Row],[Camp]],Camp_List[Camp Name],0)-1,0,1,1),"")</f>
        <v>MMR012CMP046</v>
      </c>
      <c r="E189" s="273" t="s">
        <v>607</v>
      </c>
      <c r="F189" s="311" t="s">
        <v>677</v>
      </c>
      <c r="G189" s="272">
        <v>1023</v>
      </c>
      <c r="H189" s="130">
        <f t="shared" si="5"/>
        <v>1023</v>
      </c>
      <c r="I189" s="275" t="s">
        <v>575</v>
      </c>
      <c r="J189" s="698">
        <v>43190</v>
      </c>
    </row>
    <row r="190" spans="1:11" x14ac:dyDescent="0.25">
      <c r="A190" s="274" t="s">
        <v>7</v>
      </c>
      <c r="B190" s="271" t="s">
        <v>17</v>
      </c>
      <c r="C190" s="275" t="s">
        <v>66</v>
      </c>
      <c r="D190" s="323" t="str">
        <f ca="1">IFERROR(OFFSET(Camp_List[P_Code],MATCH(Data_Demography_t[[#This Row],[Camp]],Camp_List[Camp Name],0)-1,0,1,1),"")</f>
        <v>MMR012CMP046</v>
      </c>
      <c r="E190" s="276" t="s">
        <v>832</v>
      </c>
      <c r="F190" s="275" t="s">
        <v>676</v>
      </c>
      <c r="G190" s="272">
        <v>1110</v>
      </c>
      <c r="H190" s="130">
        <f t="shared" si="5"/>
        <v>-1110</v>
      </c>
      <c r="I190" s="275" t="s">
        <v>575</v>
      </c>
      <c r="J190" s="698">
        <v>43190</v>
      </c>
    </row>
    <row r="191" spans="1:11" x14ac:dyDescent="0.25">
      <c r="A191" s="274" t="s">
        <v>7</v>
      </c>
      <c r="B191" s="271" t="s">
        <v>17</v>
      </c>
      <c r="C191" s="275" t="s">
        <v>66</v>
      </c>
      <c r="D191" s="323" t="str">
        <f ca="1">IFERROR(OFFSET(Camp_List[P_Code],MATCH(Data_Demography_t[[#This Row],[Camp]],Camp_List[Camp Name],0)-1,0,1,1),"")</f>
        <v>MMR012CMP046</v>
      </c>
      <c r="E191" s="276" t="s">
        <v>832</v>
      </c>
      <c r="F191" s="311" t="s">
        <v>677</v>
      </c>
      <c r="G191" s="272">
        <v>1236</v>
      </c>
      <c r="H191" s="130">
        <f t="shared" si="5"/>
        <v>1236</v>
      </c>
      <c r="I191" s="275" t="s">
        <v>575</v>
      </c>
      <c r="J191" s="698">
        <v>43190</v>
      </c>
    </row>
    <row r="192" spans="1:11" x14ac:dyDescent="0.25">
      <c r="A192" s="274" t="s">
        <v>7</v>
      </c>
      <c r="B192" s="271" t="s">
        <v>17</v>
      </c>
      <c r="C192" s="275" t="s">
        <v>66</v>
      </c>
      <c r="D192" s="323" t="str">
        <f ca="1">IFERROR(OFFSET(Camp_List[P_Code],MATCH(Data_Demography_t[[#This Row],[Camp]],Camp_List[Camp Name],0)-1,0,1,1),"")</f>
        <v>MMR012CMP046</v>
      </c>
      <c r="E192" s="276" t="s">
        <v>833</v>
      </c>
      <c r="F192" s="275" t="s">
        <v>676</v>
      </c>
      <c r="G192" s="322">
        <v>1883</v>
      </c>
      <c r="H192" s="130">
        <f t="shared" si="5"/>
        <v>-1883</v>
      </c>
      <c r="I192" s="275" t="s">
        <v>575</v>
      </c>
      <c r="J192" s="698">
        <v>43190</v>
      </c>
    </row>
    <row r="193" spans="1:10" x14ac:dyDescent="0.25">
      <c r="A193" s="274" t="s">
        <v>7</v>
      </c>
      <c r="B193" s="271" t="s">
        <v>17</v>
      </c>
      <c r="C193" s="275" t="s">
        <v>66</v>
      </c>
      <c r="D193" s="323" t="str">
        <f ca="1">IFERROR(OFFSET(Camp_List[P_Code],MATCH(Data_Demography_t[[#This Row],[Camp]],Camp_List[Camp Name],0)-1,0,1,1),"")</f>
        <v>MMR012CMP046</v>
      </c>
      <c r="E193" s="276" t="s">
        <v>833</v>
      </c>
      <c r="F193" s="311" t="s">
        <v>677</v>
      </c>
      <c r="G193" s="322">
        <v>1977</v>
      </c>
      <c r="H193" s="130">
        <f t="shared" si="5"/>
        <v>1977</v>
      </c>
      <c r="I193" s="275" t="s">
        <v>575</v>
      </c>
      <c r="J193" s="698">
        <v>43190</v>
      </c>
    </row>
    <row r="194" spans="1:10" x14ac:dyDescent="0.25">
      <c r="A194" s="274" t="s">
        <v>7</v>
      </c>
      <c r="B194" s="302" t="s">
        <v>17</v>
      </c>
      <c r="C194" s="311" t="s">
        <v>66</v>
      </c>
      <c r="D194" s="323" t="str">
        <f ca="1">IFERROR(OFFSET(Camp_List[P_Code],MATCH(Data_Demography_t[[#This Row],[Camp]],Camp_List[Camp Name],0)-1,0,1,1),"")</f>
        <v>MMR012CMP046</v>
      </c>
      <c r="E194" s="276" t="s">
        <v>809</v>
      </c>
      <c r="F194" s="275" t="s">
        <v>676</v>
      </c>
      <c r="G194" s="322">
        <v>260</v>
      </c>
      <c r="H194" s="130">
        <f t="shared" si="5"/>
        <v>-260</v>
      </c>
      <c r="I194" s="320" t="s">
        <v>575</v>
      </c>
      <c r="J194" s="698">
        <v>43190</v>
      </c>
    </row>
    <row r="195" spans="1:10" x14ac:dyDescent="0.25">
      <c r="A195" s="274" t="s">
        <v>7</v>
      </c>
      <c r="B195" s="302" t="s">
        <v>17</v>
      </c>
      <c r="C195" s="311" t="s">
        <v>66</v>
      </c>
      <c r="D195" s="323" t="str">
        <f ca="1">IFERROR(OFFSET(Camp_List[P_Code],MATCH(Data_Demography_t[[#This Row],[Camp]],Camp_List[Camp Name],0)-1,0,1,1),"")</f>
        <v>MMR012CMP046</v>
      </c>
      <c r="E195" s="276" t="s">
        <v>809</v>
      </c>
      <c r="F195" s="311" t="s">
        <v>677</v>
      </c>
      <c r="G195" s="322">
        <v>262</v>
      </c>
      <c r="H195" s="130">
        <f t="shared" si="5"/>
        <v>262</v>
      </c>
      <c r="I195" s="320" t="s">
        <v>575</v>
      </c>
      <c r="J195" s="698">
        <v>43190</v>
      </c>
    </row>
    <row r="196" spans="1:10" ht="15" customHeight="1" x14ac:dyDescent="0.25">
      <c r="A196" s="274" t="s">
        <v>7</v>
      </c>
      <c r="B196" s="271" t="s">
        <v>17</v>
      </c>
      <c r="C196" s="275" t="s">
        <v>68</v>
      </c>
      <c r="D196" s="323" t="str">
        <f ca="1">IFERROR(OFFSET(Camp_List[P_Code],MATCH(Data_Demography_t[[#This Row],[Camp]],Camp_List[Camp Name],0)-1,0,1,1),"")</f>
        <v>MMR012CMP048</v>
      </c>
      <c r="E196" s="396" t="s">
        <v>1047</v>
      </c>
      <c r="F196" s="277" t="s">
        <v>676</v>
      </c>
      <c r="G196" s="272">
        <v>497</v>
      </c>
      <c r="H196" s="130">
        <f t="shared" si="5"/>
        <v>-497</v>
      </c>
      <c r="I196" s="275" t="s">
        <v>913</v>
      </c>
      <c r="J196" s="698">
        <v>43190</v>
      </c>
    </row>
    <row r="197" spans="1:10" ht="15" customHeight="1" x14ac:dyDescent="0.25">
      <c r="A197" s="274" t="s">
        <v>7</v>
      </c>
      <c r="B197" s="271" t="s">
        <v>17</v>
      </c>
      <c r="C197" s="275" t="s">
        <v>68</v>
      </c>
      <c r="D197" s="323" t="str">
        <f ca="1">IFERROR(OFFSET(Camp_List[P_Code],MATCH(Data_Demography_t[[#This Row],[Camp]],Camp_List[Camp Name],0)-1,0,1,1),"")</f>
        <v>MMR012CMP048</v>
      </c>
      <c r="E197" s="396" t="s">
        <v>1047</v>
      </c>
      <c r="F197" s="277" t="s">
        <v>677</v>
      </c>
      <c r="G197" s="272">
        <v>581</v>
      </c>
      <c r="H197" s="130">
        <f t="shared" si="5"/>
        <v>581</v>
      </c>
      <c r="I197" s="275" t="s">
        <v>913</v>
      </c>
      <c r="J197" s="698">
        <v>43190</v>
      </c>
    </row>
    <row r="198" spans="1:10" ht="15" customHeight="1" x14ac:dyDescent="0.25">
      <c r="A198" s="274" t="s">
        <v>7</v>
      </c>
      <c r="B198" s="271" t="s">
        <v>17</v>
      </c>
      <c r="C198" s="275" t="s">
        <v>68</v>
      </c>
      <c r="D198" s="323" t="str">
        <f ca="1">IFERROR(OFFSET(Camp_List[P_Code],MATCH(Data_Demography_t[[#This Row],[Camp]],Camp_List[Camp Name],0)-1,0,1,1),"")</f>
        <v>MMR012CMP048</v>
      </c>
      <c r="E198" s="396" t="s">
        <v>831</v>
      </c>
      <c r="F198" s="277" t="s">
        <v>676</v>
      </c>
      <c r="G198" s="272">
        <v>569</v>
      </c>
      <c r="H198" s="130">
        <f t="shared" si="5"/>
        <v>-569</v>
      </c>
      <c r="I198" s="275" t="s">
        <v>913</v>
      </c>
      <c r="J198" s="698">
        <v>43190</v>
      </c>
    </row>
    <row r="199" spans="1:10" ht="15" customHeight="1" x14ac:dyDescent="0.25">
      <c r="A199" s="274" t="s">
        <v>7</v>
      </c>
      <c r="B199" s="271" t="s">
        <v>17</v>
      </c>
      <c r="C199" s="275" t="s">
        <v>68</v>
      </c>
      <c r="D199" s="323" t="str">
        <f ca="1">IFERROR(OFFSET(Camp_List[P_Code],MATCH(Data_Demography_t[[#This Row],[Camp]],Camp_List[Camp Name],0)-1,0,1,1),"")</f>
        <v>MMR012CMP048</v>
      </c>
      <c r="E199" s="396" t="s">
        <v>831</v>
      </c>
      <c r="F199" s="277" t="s">
        <v>677</v>
      </c>
      <c r="G199" s="272">
        <v>498</v>
      </c>
      <c r="H199" s="130">
        <f t="shared" si="5"/>
        <v>498</v>
      </c>
      <c r="I199" s="275" t="s">
        <v>913</v>
      </c>
      <c r="J199" s="698">
        <v>43190</v>
      </c>
    </row>
    <row r="200" spans="1:10" ht="15" customHeight="1" x14ac:dyDescent="0.25">
      <c r="A200" s="274" t="s">
        <v>7</v>
      </c>
      <c r="B200" s="271" t="s">
        <v>17</v>
      </c>
      <c r="C200" s="275" t="s">
        <v>68</v>
      </c>
      <c r="D200" s="323" t="str">
        <f ca="1">IFERROR(OFFSET(Camp_List[P_Code],MATCH(Data_Demography_t[[#This Row],[Camp]],Camp_List[Camp Name],0)-1,0,1,1),"")</f>
        <v>MMR012CMP048</v>
      </c>
      <c r="E200" s="276" t="s">
        <v>607</v>
      </c>
      <c r="F200" s="277" t="s">
        <v>676</v>
      </c>
      <c r="G200" s="272">
        <v>459</v>
      </c>
      <c r="H200" s="130">
        <f t="shared" si="5"/>
        <v>-459</v>
      </c>
      <c r="I200" s="275" t="s">
        <v>913</v>
      </c>
      <c r="J200" s="698">
        <v>43190</v>
      </c>
    </row>
    <row r="201" spans="1:10" ht="15" customHeight="1" x14ac:dyDescent="0.25">
      <c r="A201" s="274" t="s">
        <v>7</v>
      </c>
      <c r="B201" s="271" t="s">
        <v>17</v>
      </c>
      <c r="C201" s="275" t="s">
        <v>68</v>
      </c>
      <c r="D201" s="323" t="str">
        <f ca="1">IFERROR(OFFSET(Camp_List[P_Code],MATCH(Data_Demography_t[[#This Row],[Camp]],Camp_List[Camp Name],0)-1,0,1,1),"")</f>
        <v>MMR012CMP048</v>
      </c>
      <c r="E201" s="276" t="s">
        <v>607</v>
      </c>
      <c r="F201" s="277" t="s">
        <v>677</v>
      </c>
      <c r="G201" s="272">
        <v>451</v>
      </c>
      <c r="H201" s="130">
        <f t="shared" si="5"/>
        <v>451</v>
      </c>
      <c r="I201" s="275" t="s">
        <v>913</v>
      </c>
      <c r="J201" s="698">
        <v>43190</v>
      </c>
    </row>
    <row r="202" spans="1:10" ht="15" customHeight="1" x14ac:dyDescent="0.25">
      <c r="A202" s="274" t="s">
        <v>7</v>
      </c>
      <c r="B202" s="271" t="s">
        <v>17</v>
      </c>
      <c r="C202" s="275" t="s">
        <v>68</v>
      </c>
      <c r="D202" s="323" t="str">
        <f ca="1">IFERROR(OFFSET(Camp_List[P_Code],MATCH(Data_Demography_t[[#This Row],[Camp]],Camp_List[Camp Name],0)-1,0,1,1),"")</f>
        <v>MMR012CMP048</v>
      </c>
      <c r="E202" s="276" t="s">
        <v>832</v>
      </c>
      <c r="F202" s="277" t="s">
        <v>676</v>
      </c>
      <c r="G202" s="272">
        <v>471</v>
      </c>
      <c r="H202" s="130">
        <f t="shared" si="5"/>
        <v>-471</v>
      </c>
      <c r="I202" s="275" t="s">
        <v>913</v>
      </c>
      <c r="J202" s="698">
        <v>43190</v>
      </c>
    </row>
    <row r="203" spans="1:10" ht="15" customHeight="1" x14ac:dyDescent="0.25">
      <c r="A203" s="274" t="s">
        <v>7</v>
      </c>
      <c r="B203" s="271" t="s">
        <v>17</v>
      </c>
      <c r="C203" s="275" t="s">
        <v>68</v>
      </c>
      <c r="D203" s="323" t="str">
        <f ca="1">IFERROR(OFFSET(Camp_List[P_Code],MATCH(Data_Demography_t[[#This Row],[Camp]],Camp_List[Camp Name],0)-1,0,1,1),"")</f>
        <v>MMR012CMP048</v>
      </c>
      <c r="E203" s="276" t="s">
        <v>832</v>
      </c>
      <c r="F203" s="277" t="s">
        <v>677</v>
      </c>
      <c r="G203" s="272">
        <v>616</v>
      </c>
      <c r="H203" s="130">
        <f t="shared" si="5"/>
        <v>616</v>
      </c>
      <c r="I203" s="275" t="s">
        <v>913</v>
      </c>
      <c r="J203" s="698">
        <v>43190</v>
      </c>
    </row>
    <row r="204" spans="1:10" ht="15" customHeight="1" x14ac:dyDescent="0.25">
      <c r="A204" s="274" t="s">
        <v>7</v>
      </c>
      <c r="B204" s="271" t="s">
        <v>17</v>
      </c>
      <c r="C204" s="275" t="s">
        <v>68</v>
      </c>
      <c r="D204" s="323" t="str">
        <f ca="1">IFERROR(OFFSET(Camp_List[P_Code],MATCH(Data_Demography_t[[#This Row],[Camp]],Camp_List[Camp Name],0)-1,0,1,1),"")</f>
        <v>MMR012CMP048</v>
      </c>
      <c r="E204" s="276" t="s">
        <v>833</v>
      </c>
      <c r="F204" s="277" t="s">
        <v>676</v>
      </c>
      <c r="G204" s="272">
        <v>694</v>
      </c>
      <c r="H204" s="130">
        <f t="shared" si="5"/>
        <v>-694</v>
      </c>
      <c r="I204" s="275" t="s">
        <v>913</v>
      </c>
      <c r="J204" s="698">
        <v>43190</v>
      </c>
    </row>
    <row r="205" spans="1:10" ht="15" customHeight="1" x14ac:dyDescent="0.25">
      <c r="A205" s="274" t="s">
        <v>7</v>
      </c>
      <c r="B205" s="271" t="s">
        <v>17</v>
      </c>
      <c r="C205" s="275" t="s">
        <v>68</v>
      </c>
      <c r="D205" s="323" t="str">
        <f ca="1">IFERROR(OFFSET(Camp_List[P_Code],MATCH(Data_Demography_t[[#This Row],[Camp]],Camp_List[Camp Name],0)-1,0,1,1),"")</f>
        <v>MMR012CMP048</v>
      </c>
      <c r="E205" s="276" t="s">
        <v>833</v>
      </c>
      <c r="F205" s="277" t="s">
        <v>677</v>
      </c>
      <c r="G205" s="272">
        <v>774</v>
      </c>
      <c r="H205" s="130">
        <f t="shared" si="5"/>
        <v>774</v>
      </c>
      <c r="I205" s="275" t="s">
        <v>913</v>
      </c>
      <c r="J205" s="698">
        <v>43190</v>
      </c>
    </row>
    <row r="206" spans="1:10" ht="15" customHeight="1" x14ac:dyDescent="0.25">
      <c r="A206" s="274" t="s">
        <v>7</v>
      </c>
      <c r="B206" s="271" t="s">
        <v>17</v>
      </c>
      <c r="C206" s="275" t="s">
        <v>68</v>
      </c>
      <c r="D206" s="323" t="str">
        <f ca="1">IFERROR(OFFSET(Camp_List[P_Code],MATCH(Data_Demography_t[[#This Row],[Camp]],Camp_List[Camp Name],0)-1,0,1,1),"")</f>
        <v>MMR012CMP048</v>
      </c>
      <c r="E206" s="276" t="s">
        <v>809</v>
      </c>
      <c r="F206" s="275" t="s">
        <v>676</v>
      </c>
      <c r="G206" s="272">
        <v>114</v>
      </c>
      <c r="H206" s="130">
        <f t="shared" si="5"/>
        <v>-114</v>
      </c>
      <c r="I206" s="275" t="s">
        <v>913</v>
      </c>
      <c r="J206" s="698">
        <v>43190</v>
      </c>
    </row>
    <row r="207" spans="1:10" ht="15" customHeight="1" x14ac:dyDescent="0.25">
      <c r="A207" s="278" t="s">
        <v>7</v>
      </c>
      <c r="B207" s="308" t="s">
        <v>17</v>
      </c>
      <c r="C207" s="307" t="s">
        <v>68</v>
      </c>
      <c r="D207" s="323" t="str">
        <f ca="1">IFERROR(OFFSET(Camp_List[P_Code],MATCH(Data_Demography_t[[#This Row],[Camp]],Camp_List[Camp Name],0)-1,0,1,1),"")</f>
        <v>MMR012CMP048</v>
      </c>
      <c r="E207" s="280" t="s">
        <v>809</v>
      </c>
      <c r="F207" s="312" t="s">
        <v>677</v>
      </c>
      <c r="G207" s="279">
        <v>131</v>
      </c>
      <c r="H207" s="130">
        <f t="shared" si="5"/>
        <v>131</v>
      </c>
      <c r="I207" s="307" t="s">
        <v>913</v>
      </c>
      <c r="J207" s="698">
        <v>43190</v>
      </c>
    </row>
    <row r="208" spans="1:10" ht="15" customHeight="1" x14ac:dyDescent="0.25">
      <c r="A208" s="684" t="s">
        <v>7</v>
      </c>
      <c r="B208" s="685" t="s">
        <v>17</v>
      </c>
      <c r="C208" s="682" t="s">
        <v>59</v>
      </c>
      <c r="D208" s="323" t="str">
        <f ca="1">IFERROR(OFFSET(Camp_List[P_Code],MATCH(Data_Demography_t[[#This Row],[Camp]],Camp_List[Camp Name],0)-1,0,1,1),"")</f>
        <v>MMR012CMP039</v>
      </c>
      <c r="E208" s="396" t="s">
        <v>1047</v>
      </c>
      <c r="F208" s="689" t="s">
        <v>676</v>
      </c>
      <c r="G208" s="683">
        <v>240</v>
      </c>
      <c r="H208" s="130">
        <f t="shared" ref="H208:H219" si="6">IF(F208="M",-G208,G208)</f>
        <v>-240</v>
      </c>
      <c r="I208" s="686" t="s">
        <v>575</v>
      </c>
      <c r="J208" s="700">
        <v>43190</v>
      </c>
    </row>
    <row r="209" spans="1:11" ht="15" customHeight="1" x14ac:dyDescent="0.25">
      <c r="A209" s="684" t="s">
        <v>7</v>
      </c>
      <c r="B209" s="685" t="s">
        <v>17</v>
      </c>
      <c r="C209" s="682" t="s">
        <v>59</v>
      </c>
      <c r="D209" s="323" t="str">
        <f ca="1">IFERROR(OFFSET(Camp_List[P_Code],MATCH(Data_Demography_t[[#This Row],[Camp]],Camp_List[Camp Name],0)-1,0,1,1),"")</f>
        <v>MMR012CMP039</v>
      </c>
      <c r="E209" s="396" t="s">
        <v>1047</v>
      </c>
      <c r="F209" s="689" t="s">
        <v>677</v>
      </c>
      <c r="G209" s="683">
        <v>207</v>
      </c>
      <c r="H209" s="130">
        <f t="shared" si="6"/>
        <v>207</v>
      </c>
      <c r="I209" s="686" t="s">
        <v>575</v>
      </c>
      <c r="J209" s="700">
        <v>43190</v>
      </c>
    </row>
    <row r="210" spans="1:11" s="669" customFormat="1" ht="15" customHeight="1" x14ac:dyDescent="0.25">
      <c r="A210" s="684" t="s">
        <v>7</v>
      </c>
      <c r="B210" s="685" t="s">
        <v>17</v>
      </c>
      <c r="C210" s="686" t="s">
        <v>59</v>
      </c>
      <c r="D210" s="323" t="str">
        <f ca="1">IFERROR(OFFSET(Camp_List[P_Code],MATCH(Data_Demography_t[[#This Row],[Camp]],Camp_List[Camp Name],0)-1,0,1,1),"")</f>
        <v>MMR012CMP039</v>
      </c>
      <c r="E210" s="396" t="s">
        <v>831</v>
      </c>
      <c r="F210" s="689" t="s">
        <v>676</v>
      </c>
      <c r="G210" s="683">
        <v>196</v>
      </c>
      <c r="H210" s="130">
        <f t="shared" si="6"/>
        <v>-196</v>
      </c>
      <c r="I210" s="686" t="s">
        <v>575</v>
      </c>
      <c r="J210" s="700">
        <v>43190</v>
      </c>
      <c r="K210" s="268"/>
    </row>
    <row r="211" spans="1:11" s="669" customFormat="1" ht="15" customHeight="1" x14ac:dyDescent="0.25">
      <c r="A211" s="684" t="s">
        <v>7</v>
      </c>
      <c r="B211" s="685" t="s">
        <v>17</v>
      </c>
      <c r="C211" s="686" t="s">
        <v>59</v>
      </c>
      <c r="D211" s="323" t="str">
        <f ca="1">IFERROR(OFFSET(Camp_List[P_Code],MATCH(Data_Demography_t[[#This Row],[Camp]],Camp_List[Camp Name],0)-1,0,1,1),"")</f>
        <v>MMR012CMP039</v>
      </c>
      <c r="E211" s="396" t="s">
        <v>831</v>
      </c>
      <c r="F211" s="689" t="s">
        <v>677</v>
      </c>
      <c r="G211" s="683">
        <v>183</v>
      </c>
      <c r="H211" s="130">
        <f t="shared" si="6"/>
        <v>183</v>
      </c>
      <c r="I211" s="686" t="s">
        <v>575</v>
      </c>
      <c r="J211" s="700">
        <v>43190</v>
      </c>
      <c r="K211" s="268"/>
    </row>
    <row r="212" spans="1:11" s="669" customFormat="1" ht="15" customHeight="1" x14ac:dyDescent="0.25">
      <c r="A212" s="684" t="s">
        <v>7</v>
      </c>
      <c r="B212" s="685" t="s">
        <v>17</v>
      </c>
      <c r="C212" s="686" t="s">
        <v>59</v>
      </c>
      <c r="D212" s="323" t="str">
        <f ca="1">IFERROR(OFFSET(Camp_List[P_Code],MATCH(Data_Demography_t[[#This Row],[Camp]],Camp_List[Camp Name],0)-1,0,1,1),"")</f>
        <v>MMR012CMP039</v>
      </c>
      <c r="E212" s="687" t="s">
        <v>607</v>
      </c>
      <c r="F212" s="689" t="s">
        <v>676</v>
      </c>
      <c r="G212" s="683">
        <v>142</v>
      </c>
      <c r="H212" s="130">
        <f t="shared" si="6"/>
        <v>-142</v>
      </c>
      <c r="I212" s="686" t="s">
        <v>575</v>
      </c>
      <c r="J212" s="700">
        <v>43190</v>
      </c>
      <c r="K212" s="268"/>
    </row>
    <row r="213" spans="1:11" s="669" customFormat="1" ht="15" customHeight="1" x14ac:dyDescent="0.25">
      <c r="A213" s="684" t="s">
        <v>7</v>
      </c>
      <c r="B213" s="685" t="s">
        <v>17</v>
      </c>
      <c r="C213" s="686" t="s">
        <v>59</v>
      </c>
      <c r="D213" s="323" t="str">
        <f ca="1">IFERROR(OFFSET(Camp_List[P_Code],MATCH(Data_Demography_t[[#This Row],[Camp]],Camp_List[Camp Name],0)-1,0,1,1),"")</f>
        <v>MMR012CMP039</v>
      </c>
      <c r="E213" s="687" t="s">
        <v>607</v>
      </c>
      <c r="F213" s="689" t="s">
        <v>677</v>
      </c>
      <c r="G213" s="683">
        <v>133</v>
      </c>
      <c r="H213" s="130">
        <f t="shared" si="6"/>
        <v>133</v>
      </c>
      <c r="I213" s="686" t="s">
        <v>575</v>
      </c>
      <c r="J213" s="700">
        <v>43190</v>
      </c>
      <c r="K213" s="268"/>
    </row>
    <row r="214" spans="1:11" ht="15" customHeight="1" x14ac:dyDescent="0.25">
      <c r="A214" s="684" t="s">
        <v>7</v>
      </c>
      <c r="B214" s="685" t="s">
        <v>17</v>
      </c>
      <c r="C214" s="686" t="s">
        <v>59</v>
      </c>
      <c r="D214" s="323" t="str">
        <f ca="1">IFERROR(OFFSET(Camp_List[P_Code],MATCH(Data_Demography_t[[#This Row],[Camp]],Camp_List[Camp Name],0)-1,0,1,1),"")</f>
        <v>MMR012CMP039</v>
      </c>
      <c r="E214" s="687" t="s">
        <v>832</v>
      </c>
      <c r="F214" s="689" t="s">
        <v>676</v>
      </c>
      <c r="G214" s="683">
        <v>142</v>
      </c>
      <c r="H214" s="130">
        <f t="shared" si="6"/>
        <v>-142</v>
      </c>
      <c r="I214" s="686" t="s">
        <v>575</v>
      </c>
      <c r="J214" s="700">
        <v>43190</v>
      </c>
    </row>
    <row r="215" spans="1:11" ht="15" customHeight="1" x14ac:dyDescent="0.25">
      <c r="A215" s="684" t="s">
        <v>7</v>
      </c>
      <c r="B215" s="685" t="s">
        <v>17</v>
      </c>
      <c r="C215" s="686" t="s">
        <v>59</v>
      </c>
      <c r="D215" s="323" t="str">
        <f ca="1">IFERROR(OFFSET(Camp_List[P_Code],MATCH(Data_Demography_t[[#This Row],[Camp]],Camp_List[Camp Name],0)-1,0,1,1),"")</f>
        <v>MMR012CMP039</v>
      </c>
      <c r="E215" s="687" t="s">
        <v>832</v>
      </c>
      <c r="F215" s="689" t="s">
        <v>677</v>
      </c>
      <c r="G215" s="683">
        <v>212</v>
      </c>
      <c r="H215" s="130">
        <f t="shared" si="6"/>
        <v>212</v>
      </c>
      <c r="I215" s="686" t="s">
        <v>575</v>
      </c>
      <c r="J215" s="700">
        <v>43190</v>
      </c>
    </row>
    <row r="216" spans="1:11" ht="15" customHeight="1" x14ac:dyDescent="0.25">
      <c r="A216" s="684" t="s">
        <v>7</v>
      </c>
      <c r="B216" s="685" t="s">
        <v>17</v>
      </c>
      <c r="C216" s="686" t="s">
        <v>59</v>
      </c>
      <c r="D216" s="323" t="str">
        <f ca="1">IFERROR(OFFSET(Camp_List[P_Code],MATCH(Data_Demography_t[[#This Row],[Camp]],Camp_List[Camp Name],0)-1,0,1,1),"")</f>
        <v>MMR012CMP039</v>
      </c>
      <c r="E216" s="688" t="s">
        <v>833</v>
      </c>
      <c r="F216" s="689" t="s">
        <v>676</v>
      </c>
      <c r="G216" s="683">
        <v>334</v>
      </c>
      <c r="H216" s="130">
        <f t="shared" si="6"/>
        <v>-334</v>
      </c>
      <c r="I216" s="686" t="s">
        <v>575</v>
      </c>
      <c r="J216" s="700">
        <v>43190</v>
      </c>
    </row>
    <row r="217" spans="1:11" ht="15" customHeight="1" x14ac:dyDescent="0.25">
      <c r="A217" s="684" t="s">
        <v>7</v>
      </c>
      <c r="B217" s="685" t="s">
        <v>17</v>
      </c>
      <c r="C217" s="686" t="s">
        <v>59</v>
      </c>
      <c r="D217" s="323" t="str">
        <f ca="1">IFERROR(OFFSET(Camp_List[P_Code],MATCH(Data_Demography_t[[#This Row],[Camp]],Camp_List[Camp Name],0)-1,0,1,1),"")</f>
        <v>MMR012CMP039</v>
      </c>
      <c r="E217" s="688" t="s">
        <v>833</v>
      </c>
      <c r="F217" s="689" t="s">
        <v>677</v>
      </c>
      <c r="G217" s="683">
        <v>352</v>
      </c>
      <c r="H217" s="130">
        <f t="shared" si="6"/>
        <v>352</v>
      </c>
      <c r="I217" s="686" t="s">
        <v>575</v>
      </c>
      <c r="J217" s="700">
        <v>43190</v>
      </c>
    </row>
    <row r="218" spans="1:11" ht="15" customHeight="1" x14ac:dyDescent="0.25">
      <c r="A218" s="684" t="s">
        <v>7</v>
      </c>
      <c r="B218" s="685" t="s">
        <v>17</v>
      </c>
      <c r="C218" s="686" t="s">
        <v>59</v>
      </c>
      <c r="D218" s="323" t="str">
        <f ca="1">IFERROR(OFFSET(Camp_List[P_Code],MATCH(Data_Demography_t[[#This Row],[Camp]],Camp_List[Camp Name],0)-1,0,1,1),"")</f>
        <v>MMR012CMP039</v>
      </c>
      <c r="E218" s="687" t="s">
        <v>809</v>
      </c>
      <c r="F218" s="689" t="s">
        <v>676</v>
      </c>
      <c r="G218" s="683">
        <v>51</v>
      </c>
      <c r="H218" s="130">
        <f t="shared" si="6"/>
        <v>-51</v>
      </c>
      <c r="I218" s="686" t="s">
        <v>575</v>
      </c>
      <c r="J218" s="700">
        <v>43190</v>
      </c>
    </row>
    <row r="219" spans="1:11" ht="15" customHeight="1" x14ac:dyDescent="0.25">
      <c r="A219" s="690" t="s">
        <v>7</v>
      </c>
      <c r="B219" s="691" t="s">
        <v>17</v>
      </c>
      <c r="C219" s="692" t="s">
        <v>59</v>
      </c>
      <c r="D219" s="323" t="str">
        <f ca="1">IFERROR(OFFSET(Camp_List[P_Code],MATCH(Data_Demography_t[[#This Row],[Camp]],Camp_List[Camp Name],0)-1,0,1,1),"")</f>
        <v>MMR012CMP039</v>
      </c>
      <c r="E219" s="693" t="s">
        <v>809</v>
      </c>
      <c r="F219" s="694" t="s">
        <v>677</v>
      </c>
      <c r="G219" s="695">
        <v>60</v>
      </c>
      <c r="H219" s="130">
        <f t="shared" si="6"/>
        <v>60</v>
      </c>
      <c r="I219" s="692" t="s">
        <v>575</v>
      </c>
      <c r="J219" s="700">
        <v>43190</v>
      </c>
    </row>
    <row r="226" spans="1:11" s="669" customFormat="1" x14ac:dyDescent="0.25">
      <c r="A226" s="78"/>
      <c r="B226" s="78"/>
      <c r="C226" s="78"/>
      <c r="D226" s="78"/>
      <c r="E226" s="78"/>
      <c r="F226" s="78"/>
      <c r="G226" s="23"/>
      <c r="H226"/>
      <c r="I226" s="78"/>
      <c r="J226" s="268"/>
      <c r="K226" s="268"/>
    </row>
    <row r="227" spans="1:11" s="669" customFormat="1" x14ac:dyDescent="0.25">
      <c r="A227" s="78"/>
      <c r="B227" s="78"/>
      <c r="C227" s="78"/>
      <c r="D227" s="78"/>
      <c r="E227" s="78"/>
      <c r="F227" s="78"/>
      <c r="G227" s="23"/>
      <c r="H227"/>
      <c r="I227" s="78"/>
      <c r="J227" s="268"/>
      <c r="K227" s="268"/>
    </row>
    <row r="240" spans="1:11" s="669" customFormat="1" x14ac:dyDescent="0.25">
      <c r="A240" s="78"/>
      <c r="B240" s="78"/>
      <c r="C240" s="78"/>
      <c r="D240" s="78"/>
      <c r="E240" s="78"/>
      <c r="F240" s="78"/>
      <c r="G240" s="23"/>
      <c r="H240"/>
      <c r="I240" s="78"/>
      <c r="J240" s="268"/>
      <c r="K240" s="268"/>
    </row>
    <row r="241" spans="1:11" s="669" customFormat="1" x14ac:dyDescent="0.25">
      <c r="A241" s="78"/>
      <c r="B241" s="78"/>
      <c r="C241" s="78"/>
      <c r="D241" s="78"/>
      <c r="E241" s="78"/>
      <c r="F241" s="78"/>
      <c r="G241" s="23"/>
      <c r="H241"/>
      <c r="I241" s="78"/>
      <c r="J241" s="268"/>
      <c r="K241" s="268"/>
    </row>
  </sheetData>
  <dataValidations count="4">
    <dataValidation type="list" allowBlank="1" showInputMessage="1" showErrorMessage="1" sqref="A4:A219">
      <formula1>State</formula1>
    </dataValidation>
    <dataValidation type="list" allowBlank="1" showInputMessage="1" showErrorMessage="1" sqref="E4:E219">
      <formula1>Age_Category</formula1>
    </dataValidation>
    <dataValidation type="list" showInputMessage="1" showErrorMessage="1" sqref="B4:B219">
      <formula1>INDIRECT(A4)</formula1>
    </dataValidation>
    <dataValidation type="list" errorStyle="warning" showInputMessage="1" showErrorMessage="1" sqref="C4:C219">
      <formula1>OFFSET(TCL_T1,MATCH(B4,TCL_T,0)-1,1,COUNTIF(TCL_T,B4),1)</formula1>
    </dataValidation>
  </dataValidations>
  <pageMargins left="0.7" right="0.7" top="0.75" bottom="0.75" header="0.3" footer="0.3"/>
  <pageSetup paperSize="9" orientation="portrait" r:id="rId3"/>
  <drawing r:id="rId4"/>
  <tableParts count="1">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K186"/>
  <sheetViews>
    <sheetView zoomScale="80" zoomScaleNormal="80" workbookViewId="0">
      <selection activeCell="M53" sqref="M53"/>
    </sheetView>
  </sheetViews>
  <sheetFormatPr defaultColWidth="9.140625" defaultRowHeight="12.75" x14ac:dyDescent="0.2"/>
  <cols>
    <col min="1" max="1" width="7.28515625" style="129" bestFit="1" customWidth="1"/>
    <col min="2" max="2" width="10.5703125" style="129" bestFit="1" customWidth="1"/>
    <col min="3" max="3" width="21.5703125" style="129" customWidth="1"/>
    <col min="4" max="4" width="18.7109375" style="129" customWidth="1"/>
    <col min="5" max="5" width="38.5703125" style="129" customWidth="1"/>
    <col min="6" max="6" width="12.28515625" style="129" customWidth="1"/>
    <col min="7" max="7" width="14.28515625" style="129" customWidth="1"/>
    <col min="8" max="8" width="12" style="129" customWidth="1"/>
    <col min="9" max="9" width="10.42578125" style="129" customWidth="1"/>
    <col min="10" max="10" width="21.85546875" style="269" customWidth="1"/>
    <col min="11" max="11" width="6.5703125" style="269" customWidth="1"/>
    <col min="12" max="12" width="9.140625" style="129"/>
    <col min="13" max="13" width="41" style="129" customWidth="1"/>
    <col min="14" max="14" width="16.7109375" style="129" customWidth="1"/>
    <col min="15" max="15" width="8.85546875" style="129" customWidth="1"/>
    <col min="16" max="16" width="8.42578125" style="129" customWidth="1"/>
    <col min="17" max="17" width="11.5703125" style="129" customWidth="1"/>
    <col min="18" max="18" width="15" style="129" bestFit="1" customWidth="1"/>
    <col min="19" max="19" width="13.85546875" style="129" customWidth="1"/>
    <col min="20" max="20" width="11" style="129" customWidth="1"/>
    <col min="21" max="21" width="25.7109375" style="129" bestFit="1" customWidth="1"/>
    <col min="22" max="22" width="11.5703125" style="129" customWidth="1"/>
    <col min="23" max="23" width="12" style="129" bestFit="1" customWidth="1"/>
    <col min="24" max="24" width="12.28515625" style="129" bestFit="1" customWidth="1"/>
    <col min="25" max="25" width="13.5703125" style="129" bestFit="1" customWidth="1"/>
    <col min="26" max="27" width="19.42578125" style="129" bestFit="1" customWidth="1"/>
    <col min="28" max="29" width="12.5703125" style="129" bestFit="1" customWidth="1"/>
    <col min="30" max="30" width="15.140625" style="129" bestFit="1" customWidth="1"/>
    <col min="31" max="31" width="11.42578125" style="129" bestFit="1" customWidth="1"/>
    <col min="32" max="32" width="12.85546875" style="129" bestFit="1" customWidth="1"/>
    <col min="33" max="33" width="11.85546875" style="129" bestFit="1" customWidth="1"/>
    <col min="34" max="34" width="10.85546875" style="129" bestFit="1" customWidth="1"/>
    <col min="35" max="35" width="12.28515625" style="129" bestFit="1" customWidth="1"/>
    <col min="36" max="36" width="13.5703125" style="129" bestFit="1" customWidth="1"/>
    <col min="37" max="37" width="11.28515625" style="129" bestFit="1" customWidth="1"/>
    <col min="38" max="16384" width="9.140625" style="129"/>
  </cols>
  <sheetData>
    <row r="1" spans="1:37" ht="15" x14ac:dyDescent="0.25">
      <c r="A1" s="496" t="s">
        <v>10</v>
      </c>
      <c r="B1" s="497" t="s">
        <v>1</v>
      </c>
      <c r="C1" s="497" t="s">
        <v>9</v>
      </c>
      <c r="D1" s="497" t="s">
        <v>521</v>
      </c>
      <c r="E1" s="498" t="s">
        <v>686</v>
      </c>
      <c r="F1" s="1030" t="s">
        <v>1149</v>
      </c>
      <c r="G1" s="1030" t="s">
        <v>1150</v>
      </c>
      <c r="H1" s="1031" t="s">
        <v>5</v>
      </c>
      <c r="I1" s="499" t="s">
        <v>323</v>
      </c>
      <c r="J1" s="500" t="s">
        <v>821</v>
      </c>
      <c r="K1" s="1028"/>
      <c r="M1" s="746"/>
      <c r="N1"/>
      <c r="R1"/>
      <c r="S1"/>
      <c r="T1"/>
      <c r="U1"/>
      <c r="V1"/>
      <c r="W1"/>
      <c r="X1"/>
      <c r="Y1"/>
      <c r="Z1"/>
      <c r="AA1"/>
      <c r="AB1"/>
      <c r="AC1"/>
      <c r="AD1"/>
      <c r="AE1"/>
      <c r="AF1"/>
      <c r="AG1"/>
      <c r="AH1"/>
      <c r="AI1"/>
      <c r="AJ1"/>
      <c r="AK1"/>
    </row>
    <row r="2" spans="1:37" ht="15" x14ac:dyDescent="0.25">
      <c r="A2" s="274" t="s">
        <v>7</v>
      </c>
      <c r="B2" s="290" t="s">
        <v>13</v>
      </c>
      <c r="C2" s="275" t="s">
        <v>38</v>
      </c>
      <c r="D2" s="275" t="str">
        <f ca="1">IFERROR(OFFSET(Camp_List[P_Code],MATCH(Data_Vulnerability_t[[#This Row],[Camp Name]],Camp_List[Camp Name],0)-1,0,1,1),"")</f>
        <v>MMR012CMP016</v>
      </c>
      <c r="E2" s="276" t="s">
        <v>1012</v>
      </c>
      <c r="F2" s="1032">
        <v>23</v>
      </c>
      <c r="G2" s="1032">
        <v>16</v>
      </c>
      <c r="H2" s="130">
        <f>Data_Vulnerability_t[[#This Row],[Male]]+Data_Vulnerability_t[[#This Row],[Female]]</f>
        <v>39</v>
      </c>
      <c r="I2" s="271" t="s">
        <v>575</v>
      </c>
      <c r="J2" s="697">
        <v>43190</v>
      </c>
      <c r="K2" s="1029"/>
      <c r="M2" s="746"/>
      <c r="N2" s="746"/>
      <c r="R2"/>
      <c r="S2"/>
      <c r="T2"/>
      <c r="U2"/>
      <c r="V2"/>
      <c r="W2"/>
      <c r="X2"/>
      <c r="Y2"/>
      <c r="Z2"/>
      <c r="AA2"/>
      <c r="AB2"/>
      <c r="AC2"/>
      <c r="AD2"/>
      <c r="AE2"/>
      <c r="AF2"/>
      <c r="AG2"/>
      <c r="AH2"/>
      <c r="AI2"/>
      <c r="AJ2"/>
      <c r="AK2"/>
    </row>
    <row r="3" spans="1:37" ht="15" x14ac:dyDescent="0.25">
      <c r="A3" s="274" t="s">
        <v>7</v>
      </c>
      <c r="B3" s="290" t="s">
        <v>13</v>
      </c>
      <c r="C3" s="275" t="s">
        <v>38</v>
      </c>
      <c r="D3" s="275" t="str">
        <f ca="1">IFERROR(OFFSET(Camp_List[P_Code],MATCH(Data_Vulnerability_t[[#This Row],[Camp Name]],Camp_List[Camp Name],0)-1,0,1,1),"")</f>
        <v>MMR012CMP016</v>
      </c>
      <c r="E3" s="276" t="s">
        <v>1013</v>
      </c>
      <c r="F3" s="1032">
        <v>5</v>
      </c>
      <c r="G3" s="1032">
        <v>6</v>
      </c>
      <c r="H3" s="130">
        <f>Data_Vulnerability_t[[#This Row],[Male]]+Data_Vulnerability_t[[#This Row],[Female]]</f>
        <v>11</v>
      </c>
      <c r="I3" s="271" t="s">
        <v>575</v>
      </c>
      <c r="J3" s="697">
        <v>43190</v>
      </c>
      <c r="K3" s="1029"/>
      <c r="M3" s="746"/>
      <c r="N3" s="746"/>
      <c r="R3"/>
      <c r="S3"/>
      <c r="T3"/>
      <c r="U3"/>
      <c r="V3"/>
      <c r="W3"/>
      <c r="X3"/>
      <c r="Y3"/>
      <c r="Z3"/>
      <c r="AA3"/>
      <c r="AB3"/>
      <c r="AC3"/>
      <c r="AD3"/>
      <c r="AE3"/>
      <c r="AF3"/>
      <c r="AG3"/>
      <c r="AH3"/>
      <c r="AI3"/>
      <c r="AJ3"/>
      <c r="AK3"/>
    </row>
    <row r="4" spans="1:37" ht="15" x14ac:dyDescent="0.25">
      <c r="A4" s="274" t="s">
        <v>7</v>
      </c>
      <c r="B4" s="290" t="s">
        <v>13</v>
      </c>
      <c r="C4" s="275" t="s">
        <v>38</v>
      </c>
      <c r="D4" s="275" t="str">
        <f ca="1">IFERROR(OFFSET(Camp_List[P_Code],MATCH(Data_Vulnerability_t[[#This Row],[Camp Name]],Camp_List[Camp Name],0)-1,0,1,1),"")</f>
        <v>MMR012CMP016</v>
      </c>
      <c r="E4" s="276" t="s">
        <v>1014</v>
      </c>
      <c r="F4" s="1032">
        <v>6</v>
      </c>
      <c r="G4" s="1032">
        <v>8</v>
      </c>
      <c r="H4" s="130">
        <f>Data_Vulnerability_t[[#This Row],[Male]]+Data_Vulnerability_t[[#This Row],[Female]]</f>
        <v>14</v>
      </c>
      <c r="I4" s="271" t="s">
        <v>575</v>
      </c>
      <c r="J4" s="697">
        <v>43190</v>
      </c>
      <c r="K4" s="1029"/>
      <c r="M4" s="746"/>
      <c r="N4" s="746"/>
      <c r="R4"/>
      <c r="S4"/>
      <c r="T4"/>
      <c r="U4"/>
      <c r="V4"/>
      <c r="W4"/>
      <c r="X4"/>
      <c r="Y4"/>
      <c r="Z4"/>
      <c r="AA4"/>
      <c r="AB4"/>
      <c r="AC4"/>
      <c r="AD4"/>
      <c r="AE4"/>
      <c r="AF4"/>
      <c r="AG4"/>
      <c r="AH4"/>
      <c r="AI4"/>
      <c r="AJ4"/>
      <c r="AK4"/>
    </row>
    <row r="5" spans="1:37" ht="15" x14ac:dyDescent="0.25">
      <c r="A5" s="274" t="s">
        <v>7</v>
      </c>
      <c r="B5" s="290" t="s">
        <v>13</v>
      </c>
      <c r="C5" s="275" t="s">
        <v>38</v>
      </c>
      <c r="D5" s="275" t="str">
        <f ca="1">IFERROR(OFFSET(Camp_List[P_Code],MATCH(Data_Vulnerability_t[[#This Row],[Camp Name]],Camp_List[Camp Name],0)-1,0,1,1),"")</f>
        <v>MMR012CMP016</v>
      </c>
      <c r="E5" s="276" t="s">
        <v>1015</v>
      </c>
      <c r="F5" s="1032">
        <v>0</v>
      </c>
      <c r="G5" s="1032">
        <v>0</v>
      </c>
      <c r="H5" s="130">
        <f>Data_Vulnerability_t[[#This Row],[Male]]+Data_Vulnerability_t[[#This Row],[Female]]</f>
        <v>0</v>
      </c>
      <c r="I5" s="271" t="s">
        <v>575</v>
      </c>
      <c r="J5" s="697">
        <v>43190</v>
      </c>
      <c r="K5" s="1029"/>
      <c r="M5" s="746"/>
      <c r="N5" s="746"/>
      <c r="R5"/>
      <c r="S5"/>
      <c r="T5"/>
      <c r="U5"/>
      <c r="V5"/>
      <c r="W5"/>
      <c r="X5"/>
      <c r="Y5"/>
      <c r="Z5"/>
      <c r="AA5"/>
      <c r="AB5"/>
      <c r="AC5"/>
      <c r="AD5"/>
      <c r="AE5"/>
      <c r="AF5"/>
      <c r="AG5"/>
      <c r="AH5"/>
      <c r="AI5"/>
      <c r="AJ5"/>
      <c r="AK5"/>
    </row>
    <row r="6" spans="1:37" ht="15" x14ac:dyDescent="0.25">
      <c r="A6" s="274" t="s">
        <v>7</v>
      </c>
      <c r="B6" s="290" t="s">
        <v>13</v>
      </c>
      <c r="C6" s="275" t="s">
        <v>38</v>
      </c>
      <c r="D6" s="275" t="str">
        <f ca="1">IFERROR(OFFSET(Camp_List[P_Code],MATCH(Data_Vulnerability_t[[#This Row],[Camp Name]],Camp_List[Camp Name],0)-1,0,1,1),"")</f>
        <v>MMR012CMP016</v>
      </c>
      <c r="E6" s="276" t="s">
        <v>1016</v>
      </c>
      <c r="F6" s="1032">
        <v>0</v>
      </c>
      <c r="G6" s="1032">
        <v>0</v>
      </c>
      <c r="H6" s="130">
        <f>Data_Vulnerability_t[[#This Row],[Male]]+Data_Vulnerability_t[[#This Row],[Female]]</f>
        <v>0</v>
      </c>
      <c r="I6" s="271" t="s">
        <v>575</v>
      </c>
      <c r="J6" s="697">
        <v>43190</v>
      </c>
      <c r="K6" s="1029"/>
      <c r="M6" s="746"/>
      <c r="N6" s="746"/>
      <c r="R6"/>
      <c r="S6"/>
      <c r="T6"/>
      <c r="U6"/>
      <c r="V6"/>
      <c r="W6"/>
      <c r="X6"/>
      <c r="Y6"/>
      <c r="Z6"/>
      <c r="AA6"/>
      <c r="AB6"/>
      <c r="AC6"/>
      <c r="AD6"/>
      <c r="AE6"/>
      <c r="AF6"/>
      <c r="AG6"/>
      <c r="AH6"/>
      <c r="AI6"/>
      <c r="AJ6"/>
      <c r="AK6"/>
    </row>
    <row r="7" spans="1:37" ht="15" x14ac:dyDescent="0.25">
      <c r="A7" s="274" t="s">
        <v>7</v>
      </c>
      <c r="B7" s="290" t="s">
        <v>13</v>
      </c>
      <c r="C7" s="275" t="s">
        <v>38</v>
      </c>
      <c r="D7" s="275" t="str">
        <f ca="1">IFERROR(OFFSET(Camp_List[P_Code],MATCH(Data_Vulnerability_t[[#This Row],[Camp Name]],Camp_List[Camp Name],0)-1,0,1,1),"")</f>
        <v>MMR012CMP016</v>
      </c>
      <c r="E7" s="276" t="s">
        <v>1017</v>
      </c>
      <c r="F7" s="1032">
        <v>56</v>
      </c>
      <c r="G7" s="1032">
        <v>37</v>
      </c>
      <c r="H7" s="130">
        <f>Data_Vulnerability_t[[#This Row],[Male]]+Data_Vulnerability_t[[#This Row],[Female]]</f>
        <v>93</v>
      </c>
      <c r="I7" s="271" t="s">
        <v>575</v>
      </c>
      <c r="J7" s="697">
        <v>43190</v>
      </c>
      <c r="K7" s="1029"/>
      <c r="M7" s="746"/>
      <c r="N7" s="746"/>
      <c r="R7"/>
      <c r="S7"/>
      <c r="T7"/>
      <c r="U7"/>
      <c r="V7"/>
      <c r="W7"/>
      <c r="X7"/>
      <c r="Y7"/>
      <c r="Z7"/>
      <c r="AA7"/>
      <c r="AB7"/>
      <c r="AC7"/>
      <c r="AD7"/>
      <c r="AE7"/>
      <c r="AF7"/>
      <c r="AG7"/>
      <c r="AH7"/>
      <c r="AI7"/>
      <c r="AJ7"/>
      <c r="AK7"/>
    </row>
    <row r="8" spans="1:37" ht="15" x14ac:dyDescent="0.25">
      <c r="A8" s="274" t="s">
        <v>7</v>
      </c>
      <c r="B8" s="290" t="s">
        <v>13</v>
      </c>
      <c r="C8" s="275" t="s">
        <v>38</v>
      </c>
      <c r="D8" s="275" t="str">
        <f ca="1">IFERROR(OFFSET(Camp_List[P_Code],MATCH(Data_Vulnerability_t[[#This Row],[Camp Name]],Camp_List[Camp Name],0)-1,0,1,1),"")</f>
        <v>MMR012CMP016</v>
      </c>
      <c r="E8" s="276" t="s">
        <v>1018</v>
      </c>
      <c r="F8" s="1032">
        <v>0</v>
      </c>
      <c r="G8" s="1032">
        <v>199</v>
      </c>
      <c r="H8" s="130">
        <f>Data_Vulnerability_t[[#This Row],[Male]]+Data_Vulnerability_t[[#This Row],[Female]]</f>
        <v>199</v>
      </c>
      <c r="I8" s="271" t="s">
        <v>575</v>
      </c>
      <c r="J8" s="697">
        <v>43190</v>
      </c>
      <c r="K8" s="1029"/>
      <c r="M8" s="746"/>
      <c r="N8" s="746"/>
      <c r="R8"/>
      <c r="S8"/>
      <c r="T8"/>
      <c r="U8"/>
      <c r="V8"/>
      <c r="W8"/>
      <c r="X8"/>
      <c r="Y8"/>
      <c r="Z8"/>
      <c r="AA8"/>
      <c r="AB8"/>
      <c r="AC8"/>
      <c r="AD8"/>
      <c r="AE8"/>
      <c r="AF8"/>
      <c r="AG8"/>
      <c r="AH8"/>
      <c r="AI8"/>
      <c r="AJ8"/>
      <c r="AK8"/>
    </row>
    <row r="9" spans="1:37" ht="15" x14ac:dyDescent="0.25">
      <c r="A9" s="274" t="s">
        <v>7</v>
      </c>
      <c r="B9" s="290" t="s">
        <v>13</v>
      </c>
      <c r="C9" s="275" t="s">
        <v>38</v>
      </c>
      <c r="D9" s="275" t="str">
        <f ca="1">IFERROR(OFFSET(Camp_List[P_Code],MATCH(Data_Vulnerability_t[[#This Row],[Camp Name]],Camp_List[Camp Name],0)-1,0,1,1),"")</f>
        <v>MMR012CMP016</v>
      </c>
      <c r="E9" s="276" t="s">
        <v>1019</v>
      </c>
      <c r="F9" s="1032"/>
      <c r="G9" s="1032">
        <v>70</v>
      </c>
      <c r="H9" s="130">
        <f>Data_Vulnerability_t[[#This Row],[Male]]+Data_Vulnerability_t[[#This Row],[Female]]</f>
        <v>70</v>
      </c>
      <c r="I9" s="271" t="s">
        <v>575</v>
      </c>
      <c r="J9" s="697">
        <v>43190</v>
      </c>
      <c r="K9" s="1029"/>
      <c r="M9" s="746"/>
      <c r="N9" s="746"/>
      <c r="R9"/>
      <c r="S9"/>
      <c r="T9"/>
      <c r="U9"/>
      <c r="V9"/>
      <c r="W9"/>
      <c r="X9"/>
      <c r="Y9"/>
      <c r="Z9"/>
      <c r="AA9"/>
      <c r="AB9"/>
      <c r="AC9"/>
      <c r="AD9"/>
      <c r="AE9"/>
      <c r="AF9"/>
      <c r="AG9"/>
      <c r="AH9"/>
      <c r="AI9"/>
      <c r="AJ9"/>
      <c r="AK9"/>
    </row>
    <row r="10" spans="1:37" ht="15.75" customHeight="1" x14ac:dyDescent="0.25">
      <c r="A10" s="274" t="s">
        <v>7</v>
      </c>
      <c r="B10" s="290" t="s">
        <v>13</v>
      </c>
      <c r="C10" s="275" t="s">
        <v>38</v>
      </c>
      <c r="D10" s="323" t="str">
        <f ca="1">IFERROR(OFFSET(Camp_List[P_Code],MATCH(Data_Vulnerability_t[[#This Row],[Camp Name]],Camp_List[Camp Name],0)-1,0,1,1),"")</f>
        <v>MMR012CMP016</v>
      </c>
      <c r="E10" s="276" t="s">
        <v>777</v>
      </c>
      <c r="F10" s="1032"/>
      <c r="G10" s="1032">
        <v>391</v>
      </c>
      <c r="H10" s="130">
        <f>Data_Vulnerability_t[[#This Row],[Male]]+Data_Vulnerability_t[[#This Row],[Female]]</f>
        <v>391</v>
      </c>
      <c r="I10" s="271" t="s">
        <v>575</v>
      </c>
      <c r="J10" s="697">
        <v>43190</v>
      </c>
      <c r="K10" s="1029"/>
      <c r="M10" s="746"/>
      <c r="N10" s="746"/>
      <c r="R10" s="669"/>
      <c r="S10" s="669"/>
      <c r="T10" s="669"/>
      <c r="U10" s="669"/>
      <c r="V10" s="669"/>
      <c r="W10" s="669"/>
      <c r="X10" s="669"/>
      <c r="Y10" s="669"/>
      <c r="Z10" s="669"/>
      <c r="AA10" s="669"/>
      <c r="AB10" s="669"/>
      <c r="AC10" s="669"/>
      <c r="AD10" s="669"/>
      <c r="AE10" s="669"/>
      <c r="AF10" s="669"/>
      <c r="AG10" s="669"/>
      <c r="AH10" s="669"/>
      <c r="AI10" s="669"/>
      <c r="AJ10" s="669"/>
      <c r="AK10" s="669"/>
    </row>
    <row r="11" spans="1:37" ht="15" customHeight="1" x14ac:dyDescent="0.25">
      <c r="A11" s="274" t="s">
        <v>7</v>
      </c>
      <c r="B11" s="290" t="s">
        <v>17</v>
      </c>
      <c r="C11" s="275" t="s">
        <v>59</v>
      </c>
      <c r="D11" s="275" t="str">
        <f ca="1">IFERROR(OFFSET(Camp_List[P_Code],MATCH(Data_Vulnerability_t[[#This Row],[Camp Name]],Camp_List[Camp Name],0)-1,0,1,1),"")</f>
        <v>MMR012CMP039</v>
      </c>
      <c r="E11" s="276" t="s">
        <v>1012</v>
      </c>
      <c r="F11" s="1032">
        <v>41</v>
      </c>
      <c r="G11" s="1032">
        <v>24</v>
      </c>
      <c r="H11" s="130">
        <f>Data_Vulnerability_t[[#This Row],[Male]]+Data_Vulnerability_t[[#This Row],[Female]]</f>
        <v>65</v>
      </c>
      <c r="I11" s="271" t="s">
        <v>575</v>
      </c>
      <c r="J11" s="697">
        <v>43190</v>
      </c>
      <c r="K11" s="1029"/>
      <c r="M11" s="746"/>
      <c r="N11" s="746"/>
      <c r="O11"/>
      <c r="P11"/>
    </row>
    <row r="12" spans="1:37" ht="12.75" customHeight="1" x14ac:dyDescent="0.25">
      <c r="A12" s="274" t="s">
        <v>7</v>
      </c>
      <c r="B12" s="281" t="s">
        <v>17</v>
      </c>
      <c r="C12" s="275" t="s">
        <v>59</v>
      </c>
      <c r="D12" s="275" t="str">
        <f ca="1">IFERROR(OFFSET(Camp_List[P_Code],MATCH(Data_Vulnerability_t[[#This Row],[Camp Name]],Camp_List[Camp Name],0)-1,0,1,1),"")</f>
        <v>MMR012CMP039</v>
      </c>
      <c r="E12" s="276" t="s">
        <v>1013</v>
      </c>
      <c r="F12" s="1032">
        <v>9</v>
      </c>
      <c r="G12" s="1032">
        <v>4</v>
      </c>
      <c r="H12" s="130">
        <f>Data_Vulnerability_t[[#This Row],[Male]]+Data_Vulnerability_t[[#This Row],[Female]]</f>
        <v>13</v>
      </c>
      <c r="I12" s="271" t="s">
        <v>575</v>
      </c>
      <c r="J12" s="697">
        <v>43190</v>
      </c>
      <c r="K12" s="1029"/>
      <c r="M12" s="746"/>
      <c r="N12" s="746"/>
      <c r="O12"/>
      <c r="P12"/>
    </row>
    <row r="13" spans="1:37" ht="12.75" customHeight="1" x14ac:dyDescent="0.25">
      <c r="A13" s="274" t="s">
        <v>7</v>
      </c>
      <c r="B13" s="281" t="s">
        <v>17</v>
      </c>
      <c r="C13" s="275" t="s">
        <v>59</v>
      </c>
      <c r="D13" s="275" t="str">
        <f ca="1">IFERROR(OFFSET(Camp_List[P_Code],MATCH(Data_Vulnerability_t[[#This Row],[Camp Name]],Camp_List[Camp Name],0)-1,0,1,1),"")</f>
        <v>MMR012CMP039</v>
      </c>
      <c r="E13" s="276" t="s">
        <v>1014</v>
      </c>
      <c r="F13" s="1032">
        <v>3</v>
      </c>
      <c r="G13" s="1032">
        <v>2</v>
      </c>
      <c r="H13" s="130">
        <f>Data_Vulnerability_t[[#This Row],[Male]]+Data_Vulnerability_t[[#This Row],[Female]]</f>
        <v>5</v>
      </c>
      <c r="I13" s="271" t="s">
        <v>575</v>
      </c>
      <c r="J13" s="697">
        <v>43190</v>
      </c>
      <c r="K13" s="1029"/>
      <c r="M13" s="746"/>
      <c r="N13" s="746"/>
      <c r="O13"/>
    </row>
    <row r="14" spans="1:37" ht="12.75" customHeight="1" x14ac:dyDescent="0.25">
      <c r="A14" s="274" t="s">
        <v>7</v>
      </c>
      <c r="B14" s="290" t="s">
        <v>17</v>
      </c>
      <c r="C14" s="275" t="s">
        <v>59</v>
      </c>
      <c r="D14" s="275" t="str">
        <f ca="1">IFERROR(OFFSET(Camp_List[P_Code],MATCH(Data_Vulnerability_t[[#This Row],[Camp Name]],Camp_List[Camp Name],0)-1,0,1,1),"")</f>
        <v>MMR012CMP039</v>
      </c>
      <c r="E14" s="276" t="s">
        <v>1015</v>
      </c>
      <c r="F14" s="1032">
        <v>0</v>
      </c>
      <c r="G14" s="1032">
        <v>0</v>
      </c>
      <c r="H14" s="130">
        <f>Data_Vulnerability_t[[#This Row],[Male]]+Data_Vulnerability_t[[#This Row],[Female]]</f>
        <v>0</v>
      </c>
      <c r="I14" s="271" t="s">
        <v>575</v>
      </c>
      <c r="J14" s="697">
        <v>43190</v>
      </c>
      <c r="K14" s="1029"/>
      <c r="M14" s="746"/>
      <c r="N14" s="746"/>
      <c r="O14"/>
    </row>
    <row r="15" spans="1:37" ht="12.75" customHeight="1" x14ac:dyDescent="0.25">
      <c r="A15" s="274" t="s">
        <v>7</v>
      </c>
      <c r="B15" s="290" t="s">
        <v>17</v>
      </c>
      <c r="C15" s="275" t="s">
        <v>59</v>
      </c>
      <c r="D15" s="275" t="str">
        <f ca="1">IFERROR(OFFSET(Camp_List[P_Code],MATCH(Data_Vulnerability_t[[#This Row],[Camp Name]],Camp_List[Camp Name],0)-1,0,1,1),"")</f>
        <v>MMR012CMP039</v>
      </c>
      <c r="E15" s="276" t="s">
        <v>1016</v>
      </c>
      <c r="F15" s="1032">
        <v>0</v>
      </c>
      <c r="G15" s="1032">
        <v>0</v>
      </c>
      <c r="H15" s="130">
        <f>Data_Vulnerability_t[[#This Row],[Male]]+Data_Vulnerability_t[[#This Row],[Female]]</f>
        <v>0</v>
      </c>
      <c r="I15" s="271" t="s">
        <v>575</v>
      </c>
      <c r="J15" s="697">
        <v>43190</v>
      </c>
      <c r="K15" s="1029"/>
      <c r="M15" s="746"/>
      <c r="N15" s="746"/>
      <c r="O15"/>
    </row>
    <row r="16" spans="1:37" ht="12.75" customHeight="1" x14ac:dyDescent="0.25">
      <c r="A16" s="274" t="s">
        <v>7</v>
      </c>
      <c r="B16" s="290" t="s">
        <v>17</v>
      </c>
      <c r="C16" s="275" t="s">
        <v>59</v>
      </c>
      <c r="D16" s="321" t="str">
        <f ca="1">IFERROR(OFFSET(Camp_List[P_Code],MATCH(Data_Vulnerability_t[[#This Row],[Camp Name]],Camp_List[Camp Name],0)-1,0,1,1),"")</f>
        <v>MMR012CMP039</v>
      </c>
      <c r="E16" s="276" t="s">
        <v>1017</v>
      </c>
      <c r="F16" s="1032">
        <v>15</v>
      </c>
      <c r="G16" s="1032">
        <v>59</v>
      </c>
      <c r="H16" s="130">
        <f>Data_Vulnerability_t[[#This Row],[Male]]+Data_Vulnerability_t[[#This Row],[Female]]</f>
        <v>74</v>
      </c>
      <c r="I16" s="271" t="s">
        <v>575</v>
      </c>
      <c r="J16" s="697">
        <v>43190</v>
      </c>
      <c r="K16" s="1029"/>
      <c r="M16" s="746"/>
      <c r="N16" s="746"/>
      <c r="O16"/>
    </row>
    <row r="17" spans="1:15" ht="12.75" customHeight="1" x14ac:dyDescent="0.25">
      <c r="A17" s="274" t="s">
        <v>7</v>
      </c>
      <c r="B17" s="290" t="s">
        <v>17</v>
      </c>
      <c r="C17" s="275" t="s">
        <v>59</v>
      </c>
      <c r="D17" s="321" t="str">
        <f ca="1">IFERROR(OFFSET(Camp_List[P_Code],MATCH(Data_Vulnerability_t[[#This Row],[Camp Name]],Camp_List[Camp Name],0)-1,0,1,1),"")</f>
        <v>MMR012CMP039</v>
      </c>
      <c r="E17" s="276" t="s">
        <v>1018</v>
      </c>
      <c r="F17" s="1032">
        <v>2</v>
      </c>
      <c r="G17" s="1032">
        <v>44</v>
      </c>
      <c r="H17" s="130">
        <f>Data_Vulnerability_t[[#This Row],[Male]]+Data_Vulnerability_t[[#This Row],[Female]]</f>
        <v>46</v>
      </c>
      <c r="I17" s="271" t="s">
        <v>575</v>
      </c>
      <c r="J17" s="697">
        <v>43190</v>
      </c>
      <c r="K17" s="1029"/>
      <c r="M17"/>
      <c r="N17"/>
      <c r="O17"/>
    </row>
    <row r="18" spans="1:15" ht="12.75" customHeight="1" x14ac:dyDescent="0.25">
      <c r="A18" s="274" t="s">
        <v>7</v>
      </c>
      <c r="B18" s="290" t="s">
        <v>17</v>
      </c>
      <c r="C18" s="275" t="s">
        <v>59</v>
      </c>
      <c r="D18" s="275" t="str">
        <f ca="1">IFERROR(OFFSET(Camp_List[P_Code],MATCH(Data_Vulnerability_t[[#This Row],[Camp Name]],Camp_List[Camp Name],0)-1,0,1,1),"")</f>
        <v>MMR012CMP039</v>
      </c>
      <c r="E18" s="276" t="s">
        <v>1019</v>
      </c>
      <c r="F18" s="1032"/>
      <c r="G18" s="1032">
        <v>12</v>
      </c>
      <c r="H18" s="130">
        <f>Data_Vulnerability_t[[#This Row],[Male]]+Data_Vulnerability_t[[#This Row],[Female]]</f>
        <v>12</v>
      </c>
      <c r="I18" s="271" t="s">
        <v>575</v>
      </c>
      <c r="J18" s="697">
        <v>43190</v>
      </c>
      <c r="K18" s="1029"/>
      <c r="M18"/>
      <c r="N18"/>
      <c r="O18"/>
    </row>
    <row r="19" spans="1:15" ht="12.75" customHeight="1" x14ac:dyDescent="0.25">
      <c r="A19" s="274" t="s">
        <v>7</v>
      </c>
      <c r="B19" s="290" t="s">
        <v>17</v>
      </c>
      <c r="C19" s="275" t="s">
        <v>59</v>
      </c>
      <c r="D19" s="323" t="str">
        <f ca="1">IFERROR(OFFSET(Camp_List[P_Code],MATCH(Data_Vulnerability_t[[#This Row],[Camp Name]],Camp_List[Camp Name],0)-1,0,1,1),"")</f>
        <v>MMR012CMP039</v>
      </c>
      <c r="E19" s="276" t="s">
        <v>777</v>
      </c>
      <c r="F19" s="1032"/>
      <c r="G19" s="1032">
        <v>85</v>
      </c>
      <c r="H19" s="130">
        <f>Data_Vulnerability_t[[#This Row],[Male]]+Data_Vulnerability_t[[#This Row],[Female]]</f>
        <v>85</v>
      </c>
      <c r="I19" s="271" t="s">
        <v>575</v>
      </c>
      <c r="J19" s="697">
        <v>43190</v>
      </c>
      <c r="K19" s="1029"/>
      <c r="M19" s="669"/>
      <c r="N19" s="669"/>
      <c r="O19" s="669"/>
    </row>
    <row r="20" spans="1:15" ht="12.75" customHeight="1" x14ac:dyDescent="0.25">
      <c r="A20" s="274" t="s">
        <v>7</v>
      </c>
      <c r="B20" s="290" t="s">
        <v>17</v>
      </c>
      <c r="C20" s="275" t="s">
        <v>581</v>
      </c>
      <c r="D20" s="275" t="str">
        <f ca="1">IFERROR(OFFSET(Camp_List[P_Code],MATCH(Data_Vulnerability_t[[#This Row],[Camp Name]],Camp_List[Camp Name],0)-1,0,1,1),"")</f>
        <v>MMR012CMP113</v>
      </c>
      <c r="E20" s="276" t="s">
        <v>1012</v>
      </c>
      <c r="F20" s="1032">
        <v>38</v>
      </c>
      <c r="G20" s="1032">
        <v>61</v>
      </c>
      <c r="H20" s="130">
        <f>Data_Vulnerability_t[[#This Row],[Male]]+Data_Vulnerability_t[[#This Row],[Female]]</f>
        <v>99</v>
      </c>
      <c r="I20" s="271" t="s">
        <v>273</v>
      </c>
      <c r="J20" s="697">
        <v>43190</v>
      </c>
      <c r="K20" s="1029"/>
      <c r="M20"/>
      <c r="N20"/>
      <c r="O20"/>
    </row>
    <row r="21" spans="1:15" ht="12.75" customHeight="1" x14ac:dyDescent="0.25">
      <c r="A21" s="274" t="s">
        <v>7</v>
      </c>
      <c r="B21" s="290" t="s">
        <v>17</v>
      </c>
      <c r="C21" s="275" t="s">
        <v>581</v>
      </c>
      <c r="D21" s="275" t="str">
        <f ca="1">IFERROR(OFFSET(Camp_List[P_Code],MATCH(Data_Vulnerability_t[[#This Row],[Camp Name]],Camp_List[Camp Name],0)-1,0,1,1),"")</f>
        <v>MMR012CMP113</v>
      </c>
      <c r="E21" s="276" t="s">
        <v>1013</v>
      </c>
      <c r="F21" s="1032"/>
      <c r="G21" s="1032"/>
      <c r="H21" s="130">
        <f>Data_Vulnerability_t[[#This Row],[Male]]+Data_Vulnerability_t[[#This Row],[Female]]</f>
        <v>0</v>
      </c>
      <c r="I21" s="271" t="s">
        <v>273</v>
      </c>
      <c r="J21" s="697"/>
      <c r="K21" s="1029"/>
      <c r="M21"/>
      <c r="N21"/>
      <c r="O21"/>
    </row>
    <row r="22" spans="1:15" ht="12.75" customHeight="1" x14ac:dyDescent="0.25">
      <c r="A22" s="274" t="s">
        <v>7</v>
      </c>
      <c r="B22" s="290" t="s">
        <v>17</v>
      </c>
      <c r="C22" s="275" t="s">
        <v>581</v>
      </c>
      <c r="D22" s="275" t="str">
        <f ca="1">IFERROR(OFFSET(Camp_List[P_Code],MATCH(Data_Vulnerability_t[[#This Row],[Camp Name]],Camp_List[Camp Name],0)-1,0,1,1),"")</f>
        <v>MMR012CMP113</v>
      </c>
      <c r="E22" s="276" t="s">
        <v>1014</v>
      </c>
      <c r="F22" s="1032">
        <v>7</v>
      </c>
      <c r="G22" s="1032"/>
      <c r="H22" s="130">
        <f>Data_Vulnerability_t[[#This Row],[Male]]+Data_Vulnerability_t[[#This Row],[Female]]</f>
        <v>7</v>
      </c>
      <c r="I22" s="271" t="s">
        <v>273</v>
      </c>
      <c r="J22" s="697">
        <v>43190</v>
      </c>
      <c r="K22" s="1029"/>
      <c r="M22"/>
      <c r="N22"/>
      <c r="O22"/>
    </row>
    <row r="23" spans="1:15" ht="15" x14ac:dyDescent="0.25">
      <c r="A23" s="274" t="s">
        <v>7</v>
      </c>
      <c r="B23" s="290" t="s">
        <v>17</v>
      </c>
      <c r="C23" s="275" t="s">
        <v>581</v>
      </c>
      <c r="D23" s="275" t="str">
        <f ca="1">IFERROR(OFFSET(Camp_List[P_Code],MATCH(Data_Vulnerability_t[[#This Row],[Camp Name]],Camp_List[Camp Name],0)-1,0,1,1),"")</f>
        <v>MMR012CMP113</v>
      </c>
      <c r="E23" s="276" t="s">
        <v>1015</v>
      </c>
      <c r="F23" s="1032"/>
      <c r="G23" s="1032"/>
      <c r="H23" s="130">
        <f>Data_Vulnerability_t[[#This Row],[Male]]+Data_Vulnerability_t[[#This Row],[Female]]</f>
        <v>0</v>
      </c>
      <c r="I23" s="271" t="s">
        <v>273</v>
      </c>
      <c r="J23" s="697"/>
      <c r="K23" s="1029"/>
      <c r="N23"/>
      <c r="O23"/>
    </row>
    <row r="24" spans="1:15" ht="15" x14ac:dyDescent="0.25">
      <c r="A24" s="274" t="s">
        <v>7</v>
      </c>
      <c r="B24" s="290" t="s">
        <v>17</v>
      </c>
      <c r="C24" s="275" t="s">
        <v>581</v>
      </c>
      <c r="D24" s="275" t="str">
        <f ca="1">IFERROR(OFFSET(Camp_List[P_Code],MATCH(Data_Vulnerability_t[[#This Row],[Camp Name]],Camp_List[Camp Name],0)-1,0,1,1),"")</f>
        <v>MMR012CMP113</v>
      </c>
      <c r="E24" s="276" t="s">
        <v>1016</v>
      </c>
      <c r="F24" s="1032"/>
      <c r="G24" s="1032"/>
      <c r="H24" s="130">
        <f>Data_Vulnerability_t[[#This Row],[Male]]+Data_Vulnerability_t[[#This Row],[Female]]</f>
        <v>0</v>
      </c>
      <c r="I24" s="271" t="s">
        <v>273</v>
      </c>
      <c r="J24" s="697"/>
      <c r="K24" s="1029"/>
      <c r="N24"/>
      <c r="O24"/>
    </row>
    <row r="25" spans="1:15" ht="15" x14ac:dyDescent="0.25">
      <c r="A25" s="274" t="s">
        <v>7</v>
      </c>
      <c r="B25" s="290" t="s">
        <v>17</v>
      </c>
      <c r="C25" s="275" t="s">
        <v>581</v>
      </c>
      <c r="D25" s="275" t="str">
        <f ca="1">IFERROR(OFFSET(Camp_List[P_Code],MATCH(Data_Vulnerability_t[[#This Row],[Camp Name]],Camp_List[Camp Name],0)-1,0,1,1),"")</f>
        <v>MMR012CMP113</v>
      </c>
      <c r="E25" s="276" t="s">
        <v>1017</v>
      </c>
      <c r="F25" s="1032">
        <v>79</v>
      </c>
      <c r="G25" s="1032"/>
      <c r="H25" s="130">
        <f>Data_Vulnerability_t[[#This Row],[Male]]+Data_Vulnerability_t[[#This Row],[Female]]</f>
        <v>79</v>
      </c>
      <c r="I25" s="271" t="s">
        <v>273</v>
      </c>
      <c r="J25" s="697">
        <v>43190</v>
      </c>
      <c r="K25" s="1029"/>
      <c r="N25"/>
      <c r="O25"/>
    </row>
    <row r="26" spans="1:15" ht="15" x14ac:dyDescent="0.25">
      <c r="A26" s="274" t="s">
        <v>7</v>
      </c>
      <c r="B26" s="290" t="s">
        <v>17</v>
      </c>
      <c r="C26" s="275" t="s">
        <v>581</v>
      </c>
      <c r="D26" s="275" t="str">
        <f ca="1">IFERROR(OFFSET(Camp_List[P_Code],MATCH(Data_Vulnerability_t[[#This Row],[Camp Name]],Camp_List[Camp Name],0)-1,0,1,1),"")</f>
        <v>MMR012CMP113</v>
      </c>
      <c r="E26" s="276" t="s">
        <v>1018</v>
      </c>
      <c r="F26" s="1032"/>
      <c r="G26" s="1032"/>
      <c r="H26" s="130">
        <f>Data_Vulnerability_t[[#This Row],[Male]]+Data_Vulnerability_t[[#This Row],[Female]]</f>
        <v>0</v>
      </c>
      <c r="I26" s="271" t="s">
        <v>273</v>
      </c>
      <c r="J26" s="697"/>
      <c r="K26" s="1029"/>
      <c r="N26"/>
      <c r="O26"/>
    </row>
    <row r="27" spans="1:15" ht="15" x14ac:dyDescent="0.25">
      <c r="A27" s="274" t="s">
        <v>7</v>
      </c>
      <c r="B27" s="290" t="s">
        <v>17</v>
      </c>
      <c r="C27" s="275" t="s">
        <v>581</v>
      </c>
      <c r="D27" s="275" t="str">
        <f ca="1">IFERROR(OFFSET(Camp_List[P_Code],MATCH(Data_Vulnerability_t[[#This Row],[Camp Name]],Camp_List[Camp Name],0)-1,0,1,1),"")</f>
        <v>MMR012CMP113</v>
      </c>
      <c r="E27" s="276" t="s">
        <v>1019</v>
      </c>
      <c r="F27" s="1032"/>
      <c r="G27" s="1032">
        <v>76</v>
      </c>
      <c r="H27" s="130">
        <f>Data_Vulnerability_t[[#This Row],[Male]]+Data_Vulnerability_t[[#This Row],[Female]]</f>
        <v>76</v>
      </c>
      <c r="I27" s="271" t="s">
        <v>273</v>
      </c>
      <c r="J27" s="697"/>
      <c r="K27" s="1029"/>
      <c r="N27"/>
      <c r="O27"/>
    </row>
    <row r="28" spans="1:15" ht="15" x14ac:dyDescent="0.25">
      <c r="A28" s="274" t="s">
        <v>7</v>
      </c>
      <c r="B28" s="290" t="s">
        <v>17</v>
      </c>
      <c r="C28" s="275" t="s">
        <v>581</v>
      </c>
      <c r="D28" s="323" t="str">
        <f ca="1">IFERROR(OFFSET(Camp_List[P_Code],MATCH(Data_Vulnerability_t[[#This Row],[Camp Name]],Camp_List[Camp Name],0)-1,0,1,1),"")</f>
        <v>MMR012CMP113</v>
      </c>
      <c r="E28" s="276" t="s">
        <v>777</v>
      </c>
      <c r="F28" s="1032"/>
      <c r="G28" s="1032">
        <v>254</v>
      </c>
      <c r="H28" s="130">
        <f>Data_Vulnerability_t[[#This Row],[Male]]+Data_Vulnerability_t[[#This Row],[Female]]</f>
        <v>254</v>
      </c>
      <c r="I28" s="271" t="s">
        <v>273</v>
      </c>
      <c r="J28" s="697"/>
      <c r="K28" s="1029"/>
      <c r="N28" s="669"/>
      <c r="O28" s="669"/>
    </row>
    <row r="29" spans="1:15" ht="15" x14ac:dyDescent="0.25">
      <c r="A29" s="274" t="s">
        <v>7</v>
      </c>
      <c r="B29" s="290" t="s">
        <v>17</v>
      </c>
      <c r="C29" s="311" t="s">
        <v>582</v>
      </c>
      <c r="D29" s="275" t="str">
        <f ca="1">IFERROR(OFFSET(Camp_List[P_Code],MATCH(Data_Vulnerability_t[[#This Row],[Camp Name]],Camp_List[Camp Name],0)-1,0,1,1),"")</f>
        <v>MMR012CMP114</v>
      </c>
      <c r="E29" s="276" t="s">
        <v>1012</v>
      </c>
      <c r="F29" s="1032">
        <v>63</v>
      </c>
      <c r="G29" s="1032">
        <v>67</v>
      </c>
      <c r="H29" s="130">
        <f>Data_Vulnerability_t[[#This Row],[Male]]+Data_Vulnerability_t[[#This Row],[Female]]</f>
        <v>130</v>
      </c>
      <c r="I29" s="271" t="s">
        <v>273</v>
      </c>
      <c r="J29" s="697">
        <v>43190</v>
      </c>
      <c r="K29" s="1029"/>
      <c r="N29"/>
      <c r="O29"/>
    </row>
    <row r="30" spans="1:15" ht="15" x14ac:dyDescent="0.25">
      <c r="A30" s="274" t="s">
        <v>7</v>
      </c>
      <c r="B30" s="290" t="s">
        <v>17</v>
      </c>
      <c r="C30" s="311" t="s">
        <v>582</v>
      </c>
      <c r="D30" s="275" t="str">
        <f ca="1">IFERROR(OFFSET(Camp_List[P_Code],MATCH(Data_Vulnerability_t[[#This Row],[Camp Name]],Camp_List[Camp Name],0)-1,0,1,1),"")</f>
        <v>MMR012CMP114</v>
      </c>
      <c r="E30" s="276" t="s">
        <v>1013</v>
      </c>
      <c r="F30" s="1032"/>
      <c r="G30" s="1032"/>
      <c r="H30" s="130">
        <f>Data_Vulnerability_t[[#This Row],[Male]]+Data_Vulnerability_t[[#This Row],[Female]]</f>
        <v>0</v>
      </c>
      <c r="I30" s="271" t="s">
        <v>273</v>
      </c>
      <c r="J30" s="1061"/>
      <c r="K30" s="1029"/>
      <c r="N30"/>
      <c r="O30"/>
    </row>
    <row r="31" spans="1:15" ht="15" x14ac:dyDescent="0.25">
      <c r="A31" s="274" t="s">
        <v>7</v>
      </c>
      <c r="B31" s="290" t="s">
        <v>17</v>
      </c>
      <c r="C31" s="311" t="s">
        <v>582</v>
      </c>
      <c r="D31" s="275" t="str">
        <f ca="1">IFERROR(OFFSET(Camp_List[P_Code],MATCH(Data_Vulnerability_t[[#This Row],[Camp Name]],Camp_List[Camp Name],0)-1,0,1,1),"")</f>
        <v>MMR012CMP114</v>
      </c>
      <c r="E31" s="276" t="s">
        <v>1014</v>
      </c>
      <c r="F31" s="1032">
        <v>2</v>
      </c>
      <c r="G31" s="1032"/>
      <c r="H31" s="130">
        <f>Data_Vulnerability_t[[#This Row],[Male]]+Data_Vulnerability_t[[#This Row],[Female]]</f>
        <v>2</v>
      </c>
      <c r="I31" s="271" t="s">
        <v>273</v>
      </c>
      <c r="J31" s="697">
        <v>43190</v>
      </c>
      <c r="K31" s="1029"/>
      <c r="N31"/>
      <c r="O31"/>
    </row>
    <row r="32" spans="1:15" ht="15" x14ac:dyDescent="0.25">
      <c r="A32" s="274" t="s">
        <v>7</v>
      </c>
      <c r="B32" s="290" t="s">
        <v>17</v>
      </c>
      <c r="C32" s="311" t="s">
        <v>582</v>
      </c>
      <c r="D32" s="275" t="str">
        <f ca="1">IFERROR(OFFSET(Camp_List[P_Code],MATCH(Data_Vulnerability_t[[#This Row],[Camp Name]],Camp_List[Camp Name],0)-1,0,1,1),"")</f>
        <v>MMR012CMP114</v>
      </c>
      <c r="E32" s="276" t="s">
        <v>1015</v>
      </c>
      <c r="F32" s="1032"/>
      <c r="G32" s="1032"/>
      <c r="H32" s="130">
        <f>Data_Vulnerability_t[[#This Row],[Male]]+Data_Vulnerability_t[[#This Row],[Female]]</f>
        <v>0</v>
      </c>
      <c r="I32" s="271" t="s">
        <v>273</v>
      </c>
      <c r="J32" s="697"/>
      <c r="K32" s="1029"/>
      <c r="N32"/>
      <c r="O32"/>
    </row>
    <row r="33" spans="1:17" ht="15" x14ac:dyDescent="0.25">
      <c r="A33" s="274" t="s">
        <v>7</v>
      </c>
      <c r="B33" s="290" t="s">
        <v>17</v>
      </c>
      <c r="C33" s="311" t="s">
        <v>582</v>
      </c>
      <c r="D33" s="275" t="str">
        <f ca="1">IFERROR(OFFSET(Camp_List[P_Code],MATCH(Data_Vulnerability_t[[#This Row],[Camp Name]],Camp_List[Camp Name],0)-1,0,1,1),"")</f>
        <v>MMR012CMP114</v>
      </c>
      <c r="E33" s="276" t="s">
        <v>1016</v>
      </c>
      <c r="F33" s="1032"/>
      <c r="G33" s="1032"/>
      <c r="H33" s="130">
        <f>Data_Vulnerability_t[[#This Row],[Male]]+Data_Vulnerability_t[[#This Row],[Female]]</f>
        <v>0</v>
      </c>
      <c r="I33" s="271" t="s">
        <v>273</v>
      </c>
      <c r="J33" s="697"/>
      <c r="K33" s="1029"/>
      <c r="N33"/>
      <c r="O33"/>
    </row>
    <row r="34" spans="1:17" ht="15" x14ac:dyDescent="0.25">
      <c r="A34" s="274" t="s">
        <v>7</v>
      </c>
      <c r="B34" s="290" t="s">
        <v>17</v>
      </c>
      <c r="C34" s="311" t="s">
        <v>582</v>
      </c>
      <c r="D34" s="275" t="str">
        <f ca="1">IFERROR(OFFSET(Camp_List[P_Code],MATCH(Data_Vulnerability_t[[#This Row],[Camp Name]],Camp_List[Camp Name],0)-1,0,1,1),"")</f>
        <v>MMR012CMP114</v>
      </c>
      <c r="E34" s="276" t="s">
        <v>1017</v>
      </c>
      <c r="F34" s="1032">
        <v>104</v>
      </c>
      <c r="G34" s="1032"/>
      <c r="H34" s="130">
        <f>Data_Vulnerability_t[[#This Row],[Male]]+Data_Vulnerability_t[[#This Row],[Female]]</f>
        <v>104</v>
      </c>
      <c r="I34" s="271" t="s">
        <v>273</v>
      </c>
      <c r="J34" s="697">
        <v>43190</v>
      </c>
      <c r="K34" s="1029"/>
      <c r="N34"/>
      <c r="O34"/>
    </row>
    <row r="35" spans="1:17" ht="15" x14ac:dyDescent="0.25">
      <c r="A35" s="274" t="s">
        <v>7</v>
      </c>
      <c r="B35" s="290" t="s">
        <v>17</v>
      </c>
      <c r="C35" s="311" t="s">
        <v>582</v>
      </c>
      <c r="D35" s="275" t="str">
        <f ca="1">IFERROR(OFFSET(Camp_List[P_Code],MATCH(Data_Vulnerability_t[[#This Row],[Camp Name]],Camp_List[Camp Name],0)-1,0,1,1),"")</f>
        <v>MMR012CMP114</v>
      </c>
      <c r="E35" s="276" t="s">
        <v>1018</v>
      </c>
      <c r="F35" s="1032"/>
      <c r="G35" s="1032"/>
      <c r="H35" s="130">
        <f>Data_Vulnerability_t[[#This Row],[Male]]+Data_Vulnerability_t[[#This Row],[Female]]</f>
        <v>0</v>
      </c>
      <c r="I35" s="271" t="s">
        <v>273</v>
      </c>
      <c r="J35" s="697"/>
      <c r="K35" s="1029"/>
      <c r="N35"/>
      <c r="O35"/>
    </row>
    <row r="36" spans="1:17" ht="15" x14ac:dyDescent="0.25">
      <c r="A36" s="274" t="s">
        <v>7</v>
      </c>
      <c r="B36" s="290" t="s">
        <v>17</v>
      </c>
      <c r="C36" s="311" t="s">
        <v>582</v>
      </c>
      <c r="D36" s="275" t="str">
        <f ca="1">IFERROR(OFFSET(Camp_List[P_Code],MATCH(Data_Vulnerability_t[[#This Row],[Camp Name]],Camp_List[Camp Name],0)-1,0,1,1),"")</f>
        <v>MMR012CMP114</v>
      </c>
      <c r="E36" s="276" t="s">
        <v>1019</v>
      </c>
      <c r="F36" s="1032"/>
      <c r="G36" s="1032">
        <v>102</v>
      </c>
      <c r="H36" s="130">
        <f>Data_Vulnerability_t[[#This Row],[Male]]+Data_Vulnerability_t[[#This Row],[Female]]</f>
        <v>102</v>
      </c>
      <c r="I36" s="271" t="s">
        <v>273</v>
      </c>
      <c r="J36" s="697">
        <v>43190</v>
      </c>
      <c r="K36" s="1029"/>
      <c r="N36" s="78"/>
      <c r="O36" s="78"/>
    </row>
    <row r="37" spans="1:17" ht="15" x14ac:dyDescent="0.25">
      <c r="A37" s="274" t="s">
        <v>7</v>
      </c>
      <c r="B37" s="290" t="s">
        <v>17</v>
      </c>
      <c r="C37" s="311" t="s">
        <v>582</v>
      </c>
      <c r="D37" s="323" t="str">
        <f ca="1">IFERROR(OFFSET(Camp_List[P_Code],MATCH(Data_Vulnerability_t[[#This Row],[Camp Name]],Camp_List[Camp Name],0)-1,0,1,1),"")</f>
        <v>MMR012CMP114</v>
      </c>
      <c r="E37" s="276" t="s">
        <v>777</v>
      </c>
      <c r="F37" s="1032"/>
      <c r="G37" s="1032">
        <v>271</v>
      </c>
      <c r="H37" s="130">
        <f>Data_Vulnerability_t[[#This Row],[Male]]+Data_Vulnerability_t[[#This Row],[Female]]</f>
        <v>271</v>
      </c>
      <c r="I37" s="271" t="s">
        <v>273</v>
      </c>
      <c r="J37" s="697">
        <v>43190</v>
      </c>
      <c r="K37" s="1029"/>
      <c r="N37" s="669"/>
      <c r="O37" s="669"/>
    </row>
    <row r="38" spans="1:17" ht="15" x14ac:dyDescent="0.25">
      <c r="A38" s="274" t="s">
        <v>7</v>
      </c>
      <c r="B38" s="290" t="s">
        <v>17</v>
      </c>
      <c r="C38" s="275" t="s">
        <v>61</v>
      </c>
      <c r="D38" s="275" t="str">
        <f ca="1">IFERROR(OFFSET(Camp_List[P_Code],MATCH(Data_Vulnerability_t[[#This Row],[Camp Name]],Camp_List[Camp Name],0)-1,0,1,1),"")</f>
        <v>MMR012CMP041</v>
      </c>
      <c r="E38" s="276" t="s">
        <v>1012</v>
      </c>
      <c r="F38" s="1032">
        <v>100</v>
      </c>
      <c r="G38" s="1032">
        <v>135</v>
      </c>
      <c r="H38" s="130">
        <f>Data_Vulnerability_t[[#This Row],[Male]]+Data_Vulnerability_t[[#This Row],[Female]]</f>
        <v>235</v>
      </c>
      <c r="I38" s="271" t="s">
        <v>273</v>
      </c>
      <c r="J38" s="697">
        <v>43190</v>
      </c>
      <c r="K38" s="1029"/>
      <c r="N38" s="78"/>
      <c r="O38" s="78"/>
    </row>
    <row r="39" spans="1:17" ht="15" x14ac:dyDescent="0.25">
      <c r="A39" s="274" t="s">
        <v>7</v>
      </c>
      <c r="B39" s="290" t="s">
        <v>17</v>
      </c>
      <c r="C39" s="275" t="s">
        <v>61</v>
      </c>
      <c r="D39" s="275" t="str">
        <f ca="1">IFERROR(OFFSET(Camp_List[P_Code],MATCH(Data_Vulnerability_t[[#This Row],[Camp Name]],Camp_List[Camp Name],0)-1,0,1,1),"")</f>
        <v>MMR012CMP041</v>
      </c>
      <c r="E39" s="276" t="s">
        <v>1013</v>
      </c>
      <c r="F39" s="1032"/>
      <c r="G39" s="1032"/>
      <c r="H39" s="130">
        <f>Data_Vulnerability_t[[#This Row],[Male]]+Data_Vulnerability_t[[#This Row],[Female]]</f>
        <v>0</v>
      </c>
      <c r="I39" s="271" t="s">
        <v>273</v>
      </c>
      <c r="J39" s="697"/>
      <c r="K39" s="1029"/>
      <c r="M39" s="170" t="s">
        <v>491</v>
      </c>
      <c r="N39" s="170" t="s">
        <v>616</v>
      </c>
      <c r="O39"/>
      <c r="P39"/>
      <c r="Q39"/>
    </row>
    <row r="40" spans="1:17" ht="15" x14ac:dyDescent="0.25">
      <c r="A40" s="274" t="s">
        <v>7</v>
      </c>
      <c r="B40" s="290" t="s">
        <v>17</v>
      </c>
      <c r="C40" s="275" t="s">
        <v>61</v>
      </c>
      <c r="D40" s="275" t="str">
        <f ca="1">IFERROR(OFFSET(Camp_List[P_Code],MATCH(Data_Vulnerability_t[[#This Row],[Camp Name]],Camp_List[Camp Name],0)-1,0,1,1),"")</f>
        <v>MMR012CMP041</v>
      </c>
      <c r="E40" s="276" t="s">
        <v>1014</v>
      </c>
      <c r="F40" s="1032">
        <v>62</v>
      </c>
      <c r="G40" s="1032"/>
      <c r="H40" s="130">
        <f>Data_Vulnerability_t[[#This Row],[Male]]+Data_Vulnerability_t[[#This Row],[Female]]</f>
        <v>62</v>
      </c>
      <c r="I40" s="271" t="s">
        <v>273</v>
      </c>
      <c r="J40" s="697">
        <v>43190</v>
      </c>
      <c r="K40" s="1029"/>
      <c r="M40" s="170" t="s">
        <v>203</v>
      </c>
      <c r="N40" s="172" t="s">
        <v>17</v>
      </c>
      <c r="O40" s="172" t="s">
        <v>13</v>
      </c>
      <c r="P40" s="173" t="s">
        <v>817</v>
      </c>
      <c r="Q40" s="173" t="s">
        <v>204</v>
      </c>
    </row>
    <row r="41" spans="1:17" ht="15" x14ac:dyDescent="0.25">
      <c r="A41" s="274" t="s">
        <v>7</v>
      </c>
      <c r="B41" s="290" t="s">
        <v>17</v>
      </c>
      <c r="C41" s="275" t="s">
        <v>61</v>
      </c>
      <c r="D41" s="275" t="str">
        <f ca="1">IFERROR(OFFSET(Camp_List[P_Code],MATCH(Data_Vulnerability_t[[#This Row],[Camp Name]],Camp_List[Camp Name],0)-1,0,1,1),"")</f>
        <v>MMR012CMP041</v>
      </c>
      <c r="E41" s="276" t="s">
        <v>1015</v>
      </c>
      <c r="F41" s="1032"/>
      <c r="G41" s="1032"/>
      <c r="H41" s="130">
        <f>Data_Vulnerability_t[[#This Row],[Male]]+Data_Vulnerability_t[[#This Row],[Female]]</f>
        <v>0</v>
      </c>
      <c r="I41" s="271" t="s">
        <v>273</v>
      </c>
      <c r="J41" s="697"/>
      <c r="K41" s="1029"/>
      <c r="M41" s="554" t="s">
        <v>1019</v>
      </c>
      <c r="N41" s="552">
        <v>1375</v>
      </c>
      <c r="O41" s="552">
        <v>389</v>
      </c>
      <c r="P41" s="552">
        <v>40</v>
      </c>
      <c r="Q41" s="553">
        <v>1804</v>
      </c>
    </row>
    <row r="42" spans="1:17" ht="15" x14ac:dyDescent="0.25">
      <c r="A42" s="274" t="s">
        <v>7</v>
      </c>
      <c r="B42" s="290" t="s">
        <v>17</v>
      </c>
      <c r="C42" s="275" t="s">
        <v>61</v>
      </c>
      <c r="D42" s="275" t="str">
        <f ca="1">IFERROR(OFFSET(Camp_List[P_Code],MATCH(Data_Vulnerability_t[[#This Row],[Camp Name]],Camp_List[Camp Name],0)-1,0,1,1),"")</f>
        <v>MMR012CMP041</v>
      </c>
      <c r="E42" s="276" t="s">
        <v>1016</v>
      </c>
      <c r="F42" s="1032"/>
      <c r="G42" s="1032"/>
      <c r="H42" s="130">
        <f>Data_Vulnerability_t[[#This Row],[Male]]+Data_Vulnerability_t[[#This Row],[Female]]</f>
        <v>0</v>
      </c>
      <c r="I42" s="271" t="s">
        <v>273</v>
      </c>
      <c r="J42" s="697"/>
      <c r="K42" s="1029"/>
      <c r="M42" s="1057" t="s">
        <v>777</v>
      </c>
      <c r="N42" s="517">
        <v>4392</v>
      </c>
      <c r="O42" s="517">
        <v>1503</v>
      </c>
      <c r="P42" s="517">
        <v>95</v>
      </c>
      <c r="Q42" s="551">
        <v>5990</v>
      </c>
    </row>
    <row r="43" spans="1:17" ht="15" x14ac:dyDescent="0.25">
      <c r="A43" s="274" t="s">
        <v>7</v>
      </c>
      <c r="B43" s="290" t="s">
        <v>17</v>
      </c>
      <c r="C43" s="275" t="s">
        <v>61</v>
      </c>
      <c r="D43" s="275" t="str">
        <f ca="1">IFERROR(OFFSET(Camp_List[P_Code],MATCH(Data_Vulnerability_t[[#This Row],[Camp Name]],Camp_List[Camp Name],0)-1,0,1,1),"")</f>
        <v>MMR012CMP041</v>
      </c>
      <c r="E43" s="276" t="s">
        <v>1017</v>
      </c>
      <c r="F43" s="1032">
        <v>214</v>
      </c>
      <c r="G43" s="1032"/>
      <c r="H43" s="130">
        <f>Data_Vulnerability_t[[#This Row],[Male]]+Data_Vulnerability_t[[#This Row],[Female]]</f>
        <v>214</v>
      </c>
      <c r="I43" s="271" t="s">
        <v>273</v>
      </c>
      <c r="J43" s="697">
        <v>43190</v>
      </c>
      <c r="K43" s="1029"/>
      <c r="M43" s="1057" t="s">
        <v>1012</v>
      </c>
      <c r="N43" s="517">
        <v>1480</v>
      </c>
      <c r="O43" s="517">
        <v>115</v>
      </c>
      <c r="P43" s="517">
        <v>9</v>
      </c>
      <c r="Q43" s="551">
        <v>1604</v>
      </c>
    </row>
    <row r="44" spans="1:17" ht="15" x14ac:dyDescent="0.25">
      <c r="A44" s="274" t="s">
        <v>7</v>
      </c>
      <c r="B44" s="290" t="s">
        <v>17</v>
      </c>
      <c r="C44" s="275" t="s">
        <v>61</v>
      </c>
      <c r="D44" s="275" t="str">
        <f ca="1">IFERROR(OFFSET(Camp_List[P_Code],MATCH(Data_Vulnerability_t[[#This Row],[Camp Name]],Camp_List[Camp Name],0)-1,0,1,1),"")</f>
        <v>MMR012CMP041</v>
      </c>
      <c r="E44" s="276" t="s">
        <v>1018</v>
      </c>
      <c r="F44" s="1032"/>
      <c r="G44" s="1032"/>
      <c r="H44" s="130">
        <f>Data_Vulnerability_t[[#This Row],[Male]]+Data_Vulnerability_t[[#This Row],[Female]]</f>
        <v>0</v>
      </c>
      <c r="I44" s="271" t="s">
        <v>273</v>
      </c>
      <c r="J44" s="697"/>
      <c r="K44" s="1029"/>
      <c r="M44" s="1057" t="s">
        <v>1013</v>
      </c>
      <c r="N44" s="517">
        <v>146</v>
      </c>
      <c r="O44" s="517">
        <v>31</v>
      </c>
      <c r="P44" s="517">
        <v>2</v>
      </c>
      <c r="Q44" s="551">
        <v>179</v>
      </c>
    </row>
    <row r="45" spans="1:17" ht="15" x14ac:dyDescent="0.25">
      <c r="A45" s="274" t="s">
        <v>7</v>
      </c>
      <c r="B45" s="290" t="s">
        <v>17</v>
      </c>
      <c r="C45" s="275" t="s">
        <v>61</v>
      </c>
      <c r="D45" s="275" t="str">
        <f ca="1">IFERROR(OFFSET(Camp_List[P_Code],MATCH(Data_Vulnerability_t[[#This Row],[Camp Name]],Camp_List[Camp Name],0)-1,0,1,1),"")</f>
        <v>MMR012CMP041</v>
      </c>
      <c r="E45" s="276" t="s">
        <v>1019</v>
      </c>
      <c r="F45" s="1032"/>
      <c r="G45" s="1032">
        <v>142</v>
      </c>
      <c r="H45" s="130">
        <f>Data_Vulnerability_t[[#This Row],[Male]]+Data_Vulnerability_t[[#This Row],[Female]]</f>
        <v>142</v>
      </c>
      <c r="I45" s="271" t="s">
        <v>273</v>
      </c>
      <c r="J45" s="697">
        <v>43190</v>
      </c>
      <c r="K45" s="1029"/>
      <c r="M45" s="1057" t="s">
        <v>1014</v>
      </c>
      <c r="N45" s="517">
        <v>503</v>
      </c>
      <c r="O45" s="517">
        <v>42</v>
      </c>
      <c r="P45" s="517">
        <v>85</v>
      </c>
      <c r="Q45" s="551">
        <v>630</v>
      </c>
    </row>
    <row r="46" spans="1:17" ht="15" x14ac:dyDescent="0.25">
      <c r="A46" s="274" t="s">
        <v>7</v>
      </c>
      <c r="B46" s="290" t="s">
        <v>17</v>
      </c>
      <c r="C46" s="275" t="s">
        <v>61</v>
      </c>
      <c r="D46" s="323" t="str">
        <f ca="1">IFERROR(OFFSET(Camp_List[P_Code],MATCH(Data_Vulnerability_t[[#This Row],[Camp Name]],Camp_List[Camp Name],0)-1,0,1,1),"")</f>
        <v>MMR012CMP041</v>
      </c>
      <c r="E46" s="276" t="s">
        <v>777</v>
      </c>
      <c r="F46" s="1032"/>
      <c r="G46" s="1032">
        <v>442</v>
      </c>
      <c r="H46" s="130">
        <f>Data_Vulnerability_t[[#This Row],[Male]]+Data_Vulnerability_t[[#This Row],[Female]]</f>
        <v>442</v>
      </c>
      <c r="I46" s="271" t="s">
        <v>273</v>
      </c>
      <c r="J46" s="697">
        <v>43190</v>
      </c>
      <c r="K46" s="1029"/>
      <c r="M46" s="1057" t="s">
        <v>1015</v>
      </c>
      <c r="N46" s="517">
        <v>39</v>
      </c>
      <c r="O46" s="517">
        <v>17</v>
      </c>
      <c r="P46" s="517">
        <v>0</v>
      </c>
      <c r="Q46" s="551">
        <v>56</v>
      </c>
    </row>
    <row r="47" spans="1:17" ht="15" x14ac:dyDescent="0.25">
      <c r="A47" s="274" t="s">
        <v>7</v>
      </c>
      <c r="B47" s="290" t="s">
        <v>17</v>
      </c>
      <c r="C47" s="275" t="s">
        <v>62</v>
      </c>
      <c r="D47" s="275" t="str">
        <f ca="1">IFERROR(OFFSET(Camp_List[P_Code],MATCH(Data_Vulnerability_t[[#This Row],[Camp Name]],Camp_List[Camp Name],0)-1,0,1,1),"")</f>
        <v>MMR012CMP042</v>
      </c>
      <c r="E47" s="276" t="s">
        <v>1012</v>
      </c>
      <c r="F47" s="1032">
        <v>37</v>
      </c>
      <c r="G47" s="1032">
        <v>48</v>
      </c>
      <c r="H47" s="130">
        <f>Data_Vulnerability_t[[#This Row],[Male]]+Data_Vulnerability_t[[#This Row],[Female]]</f>
        <v>85</v>
      </c>
      <c r="I47" s="271" t="s">
        <v>575</v>
      </c>
      <c r="J47" s="697">
        <v>43190</v>
      </c>
      <c r="K47" s="1029"/>
      <c r="M47" s="1057" t="s">
        <v>1016</v>
      </c>
      <c r="N47" s="517">
        <v>175</v>
      </c>
      <c r="O47" s="517">
        <v>22</v>
      </c>
      <c r="P47" s="517">
        <v>0</v>
      </c>
      <c r="Q47" s="551">
        <v>197</v>
      </c>
    </row>
    <row r="48" spans="1:17" ht="15" x14ac:dyDescent="0.25">
      <c r="A48" s="274" t="s">
        <v>7</v>
      </c>
      <c r="B48" s="290" t="s">
        <v>17</v>
      </c>
      <c r="C48" s="275" t="s">
        <v>62</v>
      </c>
      <c r="D48" s="275" t="str">
        <f ca="1">IFERROR(OFFSET(Camp_List[P_Code],MATCH(Data_Vulnerability_t[[#This Row],[Camp Name]],Camp_List[Camp Name],0)-1,0,1,1),"")</f>
        <v>MMR012CMP042</v>
      </c>
      <c r="E48" s="276" t="s">
        <v>1013</v>
      </c>
      <c r="F48" s="1032">
        <v>6</v>
      </c>
      <c r="G48" s="1032">
        <v>10</v>
      </c>
      <c r="H48" s="130">
        <f>Data_Vulnerability_t[[#This Row],[Male]]+Data_Vulnerability_t[[#This Row],[Female]]</f>
        <v>16</v>
      </c>
      <c r="I48" s="271" t="s">
        <v>575</v>
      </c>
      <c r="J48" s="697">
        <v>43190</v>
      </c>
      <c r="K48" s="1029"/>
      <c r="M48" s="1057" t="s">
        <v>1017</v>
      </c>
      <c r="N48" s="517">
        <v>1477</v>
      </c>
      <c r="O48" s="517">
        <v>230</v>
      </c>
      <c r="P48" s="517">
        <v>2</v>
      </c>
      <c r="Q48" s="551">
        <v>1709</v>
      </c>
    </row>
    <row r="49" spans="1:17" ht="15" x14ac:dyDescent="0.25">
      <c r="A49" s="274" t="s">
        <v>7</v>
      </c>
      <c r="B49" s="290" t="s">
        <v>17</v>
      </c>
      <c r="C49" s="275" t="s">
        <v>62</v>
      </c>
      <c r="D49" s="275" t="str">
        <f ca="1">IFERROR(OFFSET(Camp_List[P_Code],MATCH(Data_Vulnerability_t[[#This Row],[Camp Name]],Camp_List[Camp Name],0)-1,0,1,1),"")</f>
        <v>MMR012CMP042</v>
      </c>
      <c r="E49" s="276" t="s">
        <v>1014</v>
      </c>
      <c r="F49" s="1032">
        <v>0</v>
      </c>
      <c r="G49" s="1032">
        <v>0</v>
      </c>
      <c r="H49" s="130">
        <f>Data_Vulnerability_t[[#This Row],[Male]]+Data_Vulnerability_t[[#This Row],[Female]]</f>
        <v>0</v>
      </c>
      <c r="I49" s="271" t="s">
        <v>575</v>
      </c>
      <c r="J49" s="697">
        <v>43190</v>
      </c>
      <c r="K49" s="1029"/>
      <c r="M49" s="1058" t="s">
        <v>1018</v>
      </c>
      <c r="N49" s="413">
        <v>583</v>
      </c>
      <c r="O49" s="413">
        <v>489</v>
      </c>
      <c r="P49" s="413">
        <v>139</v>
      </c>
      <c r="Q49" s="246">
        <v>1211</v>
      </c>
    </row>
    <row r="50" spans="1:17" ht="15" x14ac:dyDescent="0.25">
      <c r="A50" s="274" t="s">
        <v>7</v>
      </c>
      <c r="B50" s="290" t="s">
        <v>17</v>
      </c>
      <c r="C50" s="275" t="s">
        <v>62</v>
      </c>
      <c r="D50" s="275" t="str">
        <f ca="1">IFERROR(OFFSET(Camp_List[P_Code],MATCH(Data_Vulnerability_t[[#This Row],[Camp Name]],Camp_List[Camp Name],0)-1,0,1,1),"")</f>
        <v>MMR012CMP042</v>
      </c>
      <c r="E50" s="276" t="s">
        <v>1015</v>
      </c>
      <c r="F50" s="1032">
        <v>0</v>
      </c>
      <c r="G50" s="1032">
        <v>0</v>
      </c>
      <c r="H50" s="130">
        <f>Data_Vulnerability_t[[#This Row],[Male]]+Data_Vulnerability_t[[#This Row],[Female]]</f>
        <v>0</v>
      </c>
      <c r="I50" s="271" t="s">
        <v>575</v>
      </c>
      <c r="J50" s="697">
        <v>43190</v>
      </c>
      <c r="K50" s="1029"/>
      <c r="M50" s="1058" t="s">
        <v>204</v>
      </c>
      <c r="N50" s="477">
        <v>10170</v>
      </c>
      <c r="O50" s="413">
        <v>2838</v>
      </c>
      <c r="P50" s="413">
        <v>372</v>
      </c>
      <c r="Q50" s="246">
        <v>13380</v>
      </c>
    </row>
    <row r="51" spans="1:17" x14ac:dyDescent="0.2">
      <c r="A51" s="274" t="s">
        <v>7</v>
      </c>
      <c r="B51" s="290" t="s">
        <v>17</v>
      </c>
      <c r="C51" s="275" t="s">
        <v>62</v>
      </c>
      <c r="D51" s="275" t="str">
        <f ca="1">IFERROR(OFFSET(Camp_List[P_Code],MATCH(Data_Vulnerability_t[[#This Row],[Camp Name]],Camp_List[Camp Name],0)-1,0,1,1),"")</f>
        <v>MMR012CMP042</v>
      </c>
      <c r="E51" s="276" t="s">
        <v>1016</v>
      </c>
      <c r="F51" s="1032">
        <v>0</v>
      </c>
      <c r="G51" s="1032">
        <v>0</v>
      </c>
      <c r="H51" s="130">
        <f>Data_Vulnerability_t[[#This Row],[Male]]+Data_Vulnerability_t[[#This Row],[Female]]</f>
        <v>0</v>
      </c>
      <c r="I51" s="271" t="s">
        <v>575</v>
      </c>
      <c r="J51" s="697">
        <v>43190</v>
      </c>
      <c r="K51" s="1029"/>
    </row>
    <row r="52" spans="1:17" x14ac:dyDescent="0.2">
      <c r="A52" s="274" t="s">
        <v>7</v>
      </c>
      <c r="B52" s="290" t="s">
        <v>17</v>
      </c>
      <c r="C52" s="275" t="s">
        <v>62</v>
      </c>
      <c r="D52" s="275" t="str">
        <f ca="1">IFERROR(OFFSET(Camp_List[P_Code],MATCH(Data_Vulnerability_t[[#This Row],[Camp Name]],Camp_List[Camp Name],0)-1,0,1,1),"")</f>
        <v>MMR012CMP042</v>
      </c>
      <c r="E52" s="276" t="s">
        <v>1017</v>
      </c>
      <c r="F52" s="1032">
        <v>43</v>
      </c>
      <c r="G52" s="1032">
        <v>54</v>
      </c>
      <c r="H52" s="130">
        <f>Data_Vulnerability_t[[#This Row],[Male]]+Data_Vulnerability_t[[#This Row],[Female]]</f>
        <v>97</v>
      </c>
      <c r="I52" s="271" t="s">
        <v>575</v>
      </c>
      <c r="J52" s="697">
        <v>43190</v>
      </c>
      <c r="K52" s="1029"/>
    </row>
    <row r="53" spans="1:17" x14ac:dyDescent="0.2">
      <c r="A53" s="274" t="s">
        <v>7</v>
      </c>
      <c r="B53" s="290" t="s">
        <v>17</v>
      </c>
      <c r="C53" s="275" t="s">
        <v>62</v>
      </c>
      <c r="D53" s="275" t="str">
        <f ca="1">IFERROR(OFFSET(Camp_List[P_Code],MATCH(Data_Vulnerability_t[[#This Row],[Camp Name]],Camp_List[Camp Name],0)-1,0,1,1),"")</f>
        <v>MMR012CMP042</v>
      </c>
      <c r="E53" s="276" t="s">
        <v>1018</v>
      </c>
      <c r="F53" s="1032">
        <v>1</v>
      </c>
      <c r="G53" s="1032">
        <v>127</v>
      </c>
      <c r="H53" s="130">
        <f>Data_Vulnerability_t[[#This Row],[Male]]+Data_Vulnerability_t[[#This Row],[Female]]</f>
        <v>128</v>
      </c>
      <c r="I53" s="271" t="s">
        <v>575</v>
      </c>
      <c r="J53" s="697">
        <v>43190</v>
      </c>
      <c r="K53" s="1029"/>
    </row>
    <row r="54" spans="1:17" x14ac:dyDescent="0.2">
      <c r="A54" s="274" t="s">
        <v>7</v>
      </c>
      <c r="B54" s="290" t="s">
        <v>17</v>
      </c>
      <c r="C54" s="275" t="s">
        <v>62</v>
      </c>
      <c r="D54" s="275" t="str">
        <f ca="1">IFERROR(OFFSET(Camp_List[P_Code],MATCH(Data_Vulnerability_t[[#This Row],[Camp Name]],Camp_List[Camp Name],0)-1,0,1,1),"")</f>
        <v>MMR012CMP042</v>
      </c>
      <c r="E54" s="276" t="s">
        <v>1019</v>
      </c>
      <c r="F54" s="1032"/>
      <c r="G54" s="1032">
        <v>29</v>
      </c>
      <c r="H54" s="130">
        <f>Data_Vulnerability_t[[#This Row],[Male]]+Data_Vulnerability_t[[#This Row],[Female]]</f>
        <v>29</v>
      </c>
      <c r="I54" s="271" t="s">
        <v>575</v>
      </c>
      <c r="J54" s="697">
        <v>43190</v>
      </c>
      <c r="K54" s="1029"/>
    </row>
    <row r="55" spans="1:17" x14ac:dyDescent="0.2">
      <c r="A55" s="274" t="s">
        <v>7</v>
      </c>
      <c r="B55" s="290" t="s">
        <v>17</v>
      </c>
      <c r="C55" s="275" t="s">
        <v>62</v>
      </c>
      <c r="D55" s="323" t="str">
        <f ca="1">IFERROR(OFFSET(Camp_List[P_Code],MATCH(Data_Vulnerability_t[[#This Row],[Camp Name]],Camp_List[Camp Name],0)-1,0,1,1),"")</f>
        <v>MMR012CMP042</v>
      </c>
      <c r="E55" s="276" t="s">
        <v>777</v>
      </c>
      <c r="F55" s="1032"/>
      <c r="G55" s="1032">
        <v>270</v>
      </c>
      <c r="H55" s="130">
        <f>Data_Vulnerability_t[[#This Row],[Male]]+Data_Vulnerability_t[[#This Row],[Female]]</f>
        <v>270</v>
      </c>
      <c r="I55" s="271" t="s">
        <v>575</v>
      </c>
      <c r="J55" s="697">
        <v>43190</v>
      </c>
      <c r="K55" s="1029"/>
    </row>
    <row r="56" spans="1:17" x14ac:dyDescent="0.2">
      <c r="A56" s="274" t="s">
        <v>7</v>
      </c>
      <c r="B56" s="290" t="s">
        <v>13</v>
      </c>
      <c r="C56" s="275" t="s">
        <v>40</v>
      </c>
      <c r="D56" s="275" t="str">
        <f ca="1">IFERROR(OFFSET(Camp_List[P_Code],MATCH(Data_Vulnerability_t[[#This Row],[Camp Name]],Camp_List[Camp Name],0)-1,0,1,1),"")</f>
        <v>MMR012CMP018</v>
      </c>
      <c r="E56" s="276" t="s">
        <v>1012</v>
      </c>
      <c r="F56" s="1032"/>
      <c r="G56" s="1032"/>
      <c r="H56" s="130">
        <f>Data_Vulnerability_t[[#This Row],[Male]]+Data_Vulnerability_t[[#This Row],[Female]]</f>
        <v>0</v>
      </c>
      <c r="I56" s="271" t="s">
        <v>273</v>
      </c>
      <c r="J56" s="697"/>
      <c r="K56" s="1029"/>
    </row>
    <row r="57" spans="1:17" x14ac:dyDescent="0.2">
      <c r="A57" s="274" t="s">
        <v>7</v>
      </c>
      <c r="B57" s="290" t="s">
        <v>13</v>
      </c>
      <c r="C57" s="275" t="s">
        <v>40</v>
      </c>
      <c r="D57" s="275" t="str">
        <f ca="1">IFERROR(OFFSET(Camp_List[P_Code],MATCH(Data_Vulnerability_t[[#This Row],[Camp Name]],Camp_List[Camp Name],0)-1,0,1,1),"")</f>
        <v>MMR012CMP018</v>
      </c>
      <c r="E57" s="276" t="s">
        <v>1013</v>
      </c>
      <c r="F57" s="1032"/>
      <c r="G57" s="1032"/>
      <c r="H57" s="130">
        <f>Data_Vulnerability_t[[#This Row],[Male]]+Data_Vulnerability_t[[#This Row],[Female]]</f>
        <v>0</v>
      </c>
      <c r="I57" s="271" t="s">
        <v>273</v>
      </c>
      <c r="J57" s="697"/>
      <c r="K57" s="1029"/>
    </row>
    <row r="58" spans="1:17" x14ac:dyDescent="0.2">
      <c r="A58" s="274" t="s">
        <v>7</v>
      </c>
      <c r="B58" s="290" t="s">
        <v>13</v>
      </c>
      <c r="C58" s="275" t="s">
        <v>40</v>
      </c>
      <c r="D58" s="275" t="str">
        <f ca="1">IFERROR(OFFSET(Camp_List[P_Code],MATCH(Data_Vulnerability_t[[#This Row],[Camp Name]],Camp_List[Camp Name],0)-1,0,1,1),"")</f>
        <v>MMR012CMP018</v>
      </c>
      <c r="E58" s="276" t="s">
        <v>1014</v>
      </c>
      <c r="F58" s="1032"/>
      <c r="G58" s="1032">
        <v>28</v>
      </c>
      <c r="H58" s="130">
        <f>Data_Vulnerability_t[[#This Row],[Male]]+Data_Vulnerability_t[[#This Row],[Female]]</f>
        <v>28</v>
      </c>
      <c r="I58" s="271" t="s">
        <v>273</v>
      </c>
      <c r="J58" s="697">
        <v>43190</v>
      </c>
      <c r="K58" s="1029"/>
    </row>
    <row r="59" spans="1:17" x14ac:dyDescent="0.2">
      <c r="A59" s="274" t="s">
        <v>7</v>
      </c>
      <c r="B59" s="290" t="s">
        <v>13</v>
      </c>
      <c r="C59" s="275" t="s">
        <v>40</v>
      </c>
      <c r="D59" s="275" t="str">
        <f ca="1">IFERROR(OFFSET(Camp_List[P_Code],MATCH(Data_Vulnerability_t[[#This Row],[Camp Name]],Camp_List[Camp Name],0)-1,0,1,1),"")</f>
        <v>MMR012CMP018</v>
      </c>
      <c r="E59" s="276" t="s">
        <v>1015</v>
      </c>
      <c r="F59" s="1032"/>
      <c r="G59" s="1032"/>
      <c r="H59" s="130">
        <f>Data_Vulnerability_t[[#This Row],[Male]]+Data_Vulnerability_t[[#This Row],[Female]]</f>
        <v>0</v>
      </c>
      <c r="I59" s="271" t="s">
        <v>273</v>
      </c>
      <c r="J59" s="697"/>
      <c r="K59" s="1029"/>
    </row>
    <row r="60" spans="1:17" x14ac:dyDescent="0.2">
      <c r="A60" s="274" t="s">
        <v>7</v>
      </c>
      <c r="B60" s="290" t="s">
        <v>13</v>
      </c>
      <c r="C60" s="275" t="s">
        <v>40</v>
      </c>
      <c r="D60" s="275" t="str">
        <f ca="1">IFERROR(OFFSET(Camp_List[P_Code],MATCH(Data_Vulnerability_t[[#This Row],[Camp Name]],Camp_List[Camp Name],0)-1,0,1,1),"")</f>
        <v>MMR012CMP018</v>
      </c>
      <c r="E60" s="276" t="s">
        <v>1016</v>
      </c>
      <c r="F60" s="1032"/>
      <c r="G60" s="1032"/>
      <c r="H60" s="130">
        <f>Data_Vulnerability_t[[#This Row],[Male]]+Data_Vulnerability_t[[#This Row],[Female]]</f>
        <v>0</v>
      </c>
      <c r="I60" s="271" t="s">
        <v>273</v>
      </c>
      <c r="J60" s="697"/>
      <c r="K60" s="1029"/>
    </row>
    <row r="61" spans="1:17" x14ac:dyDescent="0.2">
      <c r="A61" s="274" t="s">
        <v>7</v>
      </c>
      <c r="B61" s="290" t="s">
        <v>13</v>
      </c>
      <c r="C61" s="275" t="s">
        <v>40</v>
      </c>
      <c r="D61" s="275" t="str">
        <f ca="1">IFERROR(OFFSET(Camp_List[P_Code],MATCH(Data_Vulnerability_t[[#This Row],[Camp Name]],Camp_List[Camp Name],0)-1,0,1,1),"")</f>
        <v>MMR012CMP018</v>
      </c>
      <c r="E61" s="276" t="s">
        <v>1017</v>
      </c>
      <c r="F61" s="1032">
        <v>25</v>
      </c>
      <c r="G61" s="1032"/>
      <c r="H61" s="130">
        <f>Data_Vulnerability_t[[#This Row],[Male]]+Data_Vulnerability_t[[#This Row],[Female]]</f>
        <v>25</v>
      </c>
      <c r="I61" s="271" t="s">
        <v>273</v>
      </c>
      <c r="J61" s="697">
        <v>43190</v>
      </c>
      <c r="K61" s="1029"/>
    </row>
    <row r="62" spans="1:17" x14ac:dyDescent="0.2">
      <c r="A62" s="274" t="s">
        <v>7</v>
      </c>
      <c r="B62" s="290" t="s">
        <v>13</v>
      </c>
      <c r="C62" s="275" t="s">
        <v>40</v>
      </c>
      <c r="D62" s="275" t="str">
        <f ca="1">IFERROR(OFFSET(Camp_List[P_Code],MATCH(Data_Vulnerability_t[[#This Row],[Camp Name]],Camp_List[Camp Name],0)-1,0,1,1),"")</f>
        <v>MMR012CMP018</v>
      </c>
      <c r="E62" s="276" t="s">
        <v>1018</v>
      </c>
      <c r="F62" s="1032"/>
      <c r="G62" s="1032"/>
      <c r="H62" s="130">
        <f>Data_Vulnerability_t[[#This Row],[Male]]+Data_Vulnerability_t[[#This Row],[Female]]</f>
        <v>0</v>
      </c>
      <c r="I62" s="271" t="s">
        <v>273</v>
      </c>
      <c r="J62" s="697"/>
      <c r="K62" s="1029"/>
    </row>
    <row r="63" spans="1:17" x14ac:dyDescent="0.2">
      <c r="A63" s="274" t="s">
        <v>7</v>
      </c>
      <c r="B63" s="290" t="s">
        <v>13</v>
      </c>
      <c r="C63" s="275" t="s">
        <v>40</v>
      </c>
      <c r="D63" s="275" t="str">
        <f ca="1">IFERROR(OFFSET(Camp_List[P_Code],MATCH(Data_Vulnerability_t[[#This Row],[Camp Name]],Camp_List[Camp Name],0)-1,0,1,1),"")</f>
        <v>MMR012CMP018</v>
      </c>
      <c r="E63" s="276" t="s">
        <v>1019</v>
      </c>
      <c r="F63" s="1032"/>
      <c r="G63" s="1032">
        <v>174</v>
      </c>
      <c r="H63" s="130">
        <f>Data_Vulnerability_t[[#This Row],[Male]]+Data_Vulnerability_t[[#This Row],[Female]]</f>
        <v>174</v>
      </c>
      <c r="I63" s="271" t="s">
        <v>273</v>
      </c>
      <c r="J63" s="697">
        <v>43190</v>
      </c>
      <c r="K63" s="1029"/>
    </row>
    <row r="64" spans="1:17" ht="15" x14ac:dyDescent="0.25">
      <c r="A64" s="274" t="s">
        <v>7</v>
      </c>
      <c r="B64" s="290" t="s">
        <v>13</v>
      </c>
      <c r="C64" s="275" t="s">
        <v>40</v>
      </c>
      <c r="D64" s="323" t="str">
        <f ca="1">IFERROR(OFFSET(Camp_List[P_Code],MATCH(Data_Vulnerability_t[[#This Row],[Camp Name]],Camp_List[Camp Name],0)-1,0,1,1),"")</f>
        <v>MMR012CMP018</v>
      </c>
      <c r="E64" s="276" t="s">
        <v>777</v>
      </c>
      <c r="F64" s="1032"/>
      <c r="G64" s="1032">
        <v>458</v>
      </c>
      <c r="H64" s="130">
        <f>Data_Vulnerability_t[[#This Row],[Male]]+Data_Vulnerability_t[[#This Row],[Female]]</f>
        <v>458</v>
      </c>
      <c r="I64" s="271" t="s">
        <v>273</v>
      </c>
      <c r="J64" s="697">
        <v>43190</v>
      </c>
      <c r="K64" s="1029"/>
      <c r="N64" s="669"/>
      <c r="O64" s="669"/>
    </row>
    <row r="65" spans="1:15" ht="15" x14ac:dyDescent="0.25">
      <c r="A65" s="274" t="s">
        <v>7</v>
      </c>
      <c r="B65" s="290" t="s">
        <v>17</v>
      </c>
      <c r="C65" s="275" t="s">
        <v>580</v>
      </c>
      <c r="D65" s="275" t="str">
        <f ca="1">IFERROR(OFFSET(Camp_List[P_Code],MATCH(Data_Vulnerability_t[[#This Row],[Camp Name]],Camp_List[Camp Name],0)-1,0,1,1),"")</f>
        <v>MMR012CMP092</v>
      </c>
      <c r="E65" s="276" t="s">
        <v>1012</v>
      </c>
      <c r="F65" s="1032">
        <v>10</v>
      </c>
      <c r="G65" s="1032">
        <v>10</v>
      </c>
      <c r="H65" s="130">
        <f>Data_Vulnerability_t[[#This Row],[Male]]+Data_Vulnerability_t[[#This Row],[Female]]</f>
        <v>20</v>
      </c>
      <c r="I65" s="271" t="s">
        <v>913</v>
      </c>
      <c r="J65" s="697">
        <v>43190</v>
      </c>
      <c r="K65" s="1029"/>
      <c r="N65"/>
      <c r="O65"/>
    </row>
    <row r="66" spans="1:15" ht="15" x14ac:dyDescent="0.25">
      <c r="A66" s="274" t="s">
        <v>7</v>
      </c>
      <c r="B66" s="290" t="s">
        <v>17</v>
      </c>
      <c r="C66" s="271" t="s">
        <v>580</v>
      </c>
      <c r="D66" s="275" t="str">
        <f ca="1">IFERROR(OFFSET(Camp_List[P_Code],MATCH(Data_Vulnerability_t[[#This Row],[Camp Name]],Camp_List[Camp Name],0)-1,0,1,1),"")</f>
        <v>MMR012CMP092</v>
      </c>
      <c r="E66" s="276" t="s">
        <v>1013</v>
      </c>
      <c r="F66" s="1032">
        <v>6</v>
      </c>
      <c r="G66" s="1032">
        <v>3</v>
      </c>
      <c r="H66" s="130">
        <f>Data_Vulnerability_t[[#This Row],[Male]]+Data_Vulnerability_t[[#This Row],[Female]]</f>
        <v>9</v>
      </c>
      <c r="I66" s="271" t="s">
        <v>913</v>
      </c>
      <c r="J66" s="697">
        <v>43190</v>
      </c>
      <c r="K66" s="1029"/>
      <c r="N66"/>
      <c r="O66"/>
    </row>
    <row r="67" spans="1:15" ht="15" x14ac:dyDescent="0.25">
      <c r="A67" s="274" t="s">
        <v>7</v>
      </c>
      <c r="B67" s="290" t="s">
        <v>17</v>
      </c>
      <c r="C67" s="271" t="s">
        <v>580</v>
      </c>
      <c r="D67" s="275" t="str">
        <f ca="1">IFERROR(OFFSET(Camp_List[P_Code],MATCH(Data_Vulnerability_t[[#This Row],[Camp Name]],Camp_List[Camp Name],0)-1,0,1,1),"")</f>
        <v>MMR012CMP092</v>
      </c>
      <c r="E67" s="276" t="s">
        <v>1014</v>
      </c>
      <c r="F67" s="1032">
        <v>54</v>
      </c>
      <c r="G67" s="1032">
        <v>81</v>
      </c>
      <c r="H67" s="130">
        <f>Data_Vulnerability_t[[#This Row],[Male]]+Data_Vulnerability_t[[#This Row],[Female]]</f>
        <v>135</v>
      </c>
      <c r="I67" s="271" t="s">
        <v>913</v>
      </c>
      <c r="J67" s="697">
        <v>43190</v>
      </c>
      <c r="K67" s="1029"/>
      <c r="N67"/>
      <c r="O67"/>
    </row>
    <row r="68" spans="1:15" ht="15" x14ac:dyDescent="0.25">
      <c r="A68" s="274" t="s">
        <v>7</v>
      </c>
      <c r="B68" s="290" t="s">
        <v>17</v>
      </c>
      <c r="C68" s="271" t="s">
        <v>580</v>
      </c>
      <c r="D68" s="275" t="str">
        <f ca="1">IFERROR(OFFSET(Camp_List[P_Code],MATCH(Data_Vulnerability_t[[#This Row],[Camp Name]],Camp_List[Camp Name],0)-1,0,1,1),"")</f>
        <v>MMR012CMP092</v>
      </c>
      <c r="E68" s="276" t="s">
        <v>1015</v>
      </c>
      <c r="F68" s="1032">
        <v>3</v>
      </c>
      <c r="G68" s="1032">
        <v>6</v>
      </c>
      <c r="H68" s="130">
        <f>Data_Vulnerability_t[[#This Row],[Male]]+Data_Vulnerability_t[[#This Row],[Female]]</f>
        <v>9</v>
      </c>
      <c r="I68" s="271" t="s">
        <v>913</v>
      </c>
      <c r="J68" s="697">
        <v>43190</v>
      </c>
      <c r="K68" s="1029"/>
      <c r="N68"/>
      <c r="O68"/>
    </row>
    <row r="69" spans="1:15" ht="15" x14ac:dyDescent="0.25">
      <c r="A69" s="274" t="s">
        <v>7</v>
      </c>
      <c r="B69" s="290" t="s">
        <v>17</v>
      </c>
      <c r="C69" s="271" t="s">
        <v>580</v>
      </c>
      <c r="D69" s="275" t="str">
        <f ca="1">IFERROR(OFFSET(Camp_List[P_Code],MATCH(Data_Vulnerability_t[[#This Row],[Camp Name]],Camp_List[Camp Name],0)-1,0,1,1),"")</f>
        <v>MMR012CMP092</v>
      </c>
      <c r="E69" s="276" t="s">
        <v>1016</v>
      </c>
      <c r="F69" s="1032">
        <v>0</v>
      </c>
      <c r="G69" s="1032">
        <v>0</v>
      </c>
      <c r="H69" s="130">
        <f>Data_Vulnerability_t[[#This Row],[Male]]+Data_Vulnerability_t[[#This Row],[Female]]</f>
        <v>0</v>
      </c>
      <c r="I69" s="271" t="s">
        <v>913</v>
      </c>
      <c r="J69" s="697">
        <v>43190</v>
      </c>
      <c r="K69" s="1029"/>
      <c r="N69"/>
      <c r="O69"/>
    </row>
    <row r="70" spans="1:15" ht="15" x14ac:dyDescent="0.25">
      <c r="A70" s="274" t="s">
        <v>7</v>
      </c>
      <c r="B70" s="290" t="s">
        <v>17</v>
      </c>
      <c r="C70" s="271" t="s">
        <v>580</v>
      </c>
      <c r="D70" s="275" t="str">
        <f ca="1">IFERROR(OFFSET(Camp_List[P_Code],MATCH(Data_Vulnerability_t[[#This Row],[Camp Name]],Camp_List[Camp Name],0)-1,0,1,1),"")</f>
        <v>MMR012CMP092</v>
      </c>
      <c r="E70" s="276" t="s">
        <v>1017</v>
      </c>
      <c r="F70" s="1032">
        <v>21</v>
      </c>
      <c r="G70" s="1032">
        <v>26</v>
      </c>
      <c r="H70" s="130">
        <f>Data_Vulnerability_t[[#This Row],[Male]]+Data_Vulnerability_t[[#This Row],[Female]]</f>
        <v>47</v>
      </c>
      <c r="I70" s="271" t="s">
        <v>913</v>
      </c>
      <c r="J70" s="697">
        <v>43190</v>
      </c>
      <c r="K70" s="1029"/>
      <c r="N70"/>
      <c r="O70"/>
    </row>
    <row r="71" spans="1:15" ht="15" x14ac:dyDescent="0.25">
      <c r="A71" s="274" t="s">
        <v>7</v>
      </c>
      <c r="B71" s="290" t="s">
        <v>17</v>
      </c>
      <c r="C71" s="271" t="s">
        <v>580</v>
      </c>
      <c r="D71" s="275" t="str">
        <f ca="1">IFERROR(OFFSET(Camp_List[P_Code],MATCH(Data_Vulnerability_t[[#This Row],[Camp Name]],Camp_List[Camp Name],0)-1,0,1,1),"")</f>
        <v>MMR012CMP092</v>
      </c>
      <c r="E71" s="276" t="s">
        <v>1018</v>
      </c>
      <c r="F71" s="1032">
        <v>4</v>
      </c>
      <c r="G71" s="1032">
        <v>79</v>
      </c>
      <c r="H71" s="130">
        <f>Data_Vulnerability_t[[#This Row],[Male]]+Data_Vulnerability_t[[#This Row],[Female]]</f>
        <v>83</v>
      </c>
      <c r="I71" s="271" t="s">
        <v>913</v>
      </c>
      <c r="J71" s="697">
        <v>43190</v>
      </c>
      <c r="K71" s="1029"/>
      <c r="N71"/>
      <c r="O71"/>
    </row>
    <row r="72" spans="1:15" ht="15" x14ac:dyDescent="0.25">
      <c r="A72" s="274" t="s">
        <v>7</v>
      </c>
      <c r="B72" s="290" t="s">
        <v>17</v>
      </c>
      <c r="C72" s="271" t="s">
        <v>580</v>
      </c>
      <c r="D72" s="275" t="str">
        <f ca="1">IFERROR(OFFSET(Camp_List[P_Code],MATCH(Data_Vulnerability_t[[#This Row],[Camp Name]],Camp_List[Camp Name],0)-1,0,1,1),"")</f>
        <v>MMR012CMP092</v>
      </c>
      <c r="E72" s="276" t="s">
        <v>1019</v>
      </c>
      <c r="F72" s="1032"/>
      <c r="G72" s="1032">
        <v>50</v>
      </c>
      <c r="H72" s="130">
        <f>Data_Vulnerability_t[[#This Row],[Male]]+Data_Vulnerability_t[[#This Row],[Female]]</f>
        <v>50</v>
      </c>
      <c r="I72" s="271" t="s">
        <v>913</v>
      </c>
      <c r="J72" s="697">
        <v>43190</v>
      </c>
      <c r="K72" s="1029"/>
      <c r="N72"/>
      <c r="O72"/>
    </row>
    <row r="73" spans="1:15" ht="15" x14ac:dyDescent="0.25">
      <c r="A73" s="274" t="s">
        <v>7</v>
      </c>
      <c r="B73" s="290" t="s">
        <v>17</v>
      </c>
      <c r="C73" s="275" t="s">
        <v>580</v>
      </c>
      <c r="D73" s="323" t="str">
        <f ca="1">IFERROR(OFFSET(Camp_List[P_Code],MATCH(Data_Vulnerability_t[[#This Row],[Camp Name]],Camp_List[Camp Name],0)-1,0,1,1),"")</f>
        <v>MMR012CMP092</v>
      </c>
      <c r="E73" s="276" t="s">
        <v>777</v>
      </c>
      <c r="F73" s="1032"/>
      <c r="G73" s="1032">
        <v>165</v>
      </c>
      <c r="H73" s="130">
        <f>Data_Vulnerability_t[[#This Row],[Male]]+Data_Vulnerability_t[[#This Row],[Female]]</f>
        <v>165</v>
      </c>
      <c r="I73" s="271" t="s">
        <v>913</v>
      </c>
      <c r="J73" s="697">
        <v>43190</v>
      </c>
      <c r="K73" s="1029"/>
      <c r="N73" s="669"/>
      <c r="O73" s="669"/>
    </row>
    <row r="74" spans="1:15" ht="15" x14ac:dyDescent="0.25">
      <c r="A74" s="274" t="s">
        <v>7</v>
      </c>
      <c r="B74" s="290" t="s">
        <v>13</v>
      </c>
      <c r="C74" s="271" t="s">
        <v>991</v>
      </c>
      <c r="D74" s="275" t="str">
        <f ca="1">IFERROR(OFFSET(Camp_List[P_Code],MATCH(Data_Vulnerability_t[[#This Row],[Camp Name]],Camp_List[Camp Name],0)-1,0,1,1),"")</f>
        <v>MMR012CMP017</v>
      </c>
      <c r="E74" s="276" t="s">
        <v>1012</v>
      </c>
      <c r="F74" s="1032">
        <v>15</v>
      </c>
      <c r="G74" s="1032">
        <v>23</v>
      </c>
      <c r="H74" s="130">
        <f>Data_Vulnerability_t[[#This Row],[Male]]+Data_Vulnerability_t[[#This Row],[Female]]</f>
        <v>38</v>
      </c>
      <c r="I74" s="271" t="s">
        <v>575</v>
      </c>
      <c r="J74" s="697">
        <v>43190</v>
      </c>
      <c r="K74" s="1029"/>
      <c r="N74"/>
      <c r="O74"/>
    </row>
    <row r="75" spans="1:15" ht="15" x14ac:dyDescent="0.25">
      <c r="A75" s="274" t="s">
        <v>7</v>
      </c>
      <c r="B75" s="290" t="s">
        <v>13</v>
      </c>
      <c r="C75" s="271" t="s">
        <v>991</v>
      </c>
      <c r="D75" s="275" t="str">
        <f ca="1">IFERROR(OFFSET(Camp_List[P_Code],MATCH(Data_Vulnerability_t[[#This Row],[Camp Name]],Camp_List[Camp Name],0)-1,0,1,1),"")</f>
        <v>MMR012CMP017</v>
      </c>
      <c r="E75" s="276" t="s">
        <v>1013</v>
      </c>
      <c r="F75" s="1032">
        <v>3</v>
      </c>
      <c r="G75" s="1032">
        <v>4</v>
      </c>
      <c r="H75" s="130">
        <f>Data_Vulnerability_t[[#This Row],[Male]]+Data_Vulnerability_t[[#This Row],[Female]]</f>
        <v>7</v>
      </c>
      <c r="I75" s="271" t="s">
        <v>575</v>
      </c>
      <c r="J75" s="697">
        <v>43190</v>
      </c>
      <c r="K75" s="1029"/>
      <c r="N75"/>
      <c r="O75"/>
    </row>
    <row r="76" spans="1:15" ht="15" x14ac:dyDescent="0.25">
      <c r="A76" s="274" t="s">
        <v>7</v>
      </c>
      <c r="B76" s="290" t="s">
        <v>13</v>
      </c>
      <c r="C76" s="271" t="s">
        <v>991</v>
      </c>
      <c r="D76" s="275" t="str">
        <f ca="1">IFERROR(OFFSET(Camp_List[P_Code],MATCH(Data_Vulnerability_t[[#This Row],[Camp Name]],Camp_List[Camp Name],0)-1,0,1,1),"")</f>
        <v>MMR012CMP017</v>
      </c>
      <c r="E76" s="276" t="s">
        <v>1014</v>
      </c>
      <c r="F76" s="1032">
        <v>0</v>
      </c>
      <c r="G76" s="1032">
        <v>0</v>
      </c>
      <c r="H76" s="130">
        <f>Data_Vulnerability_t[[#This Row],[Male]]+Data_Vulnerability_t[[#This Row],[Female]]</f>
        <v>0</v>
      </c>
      <c r="I76" s="271" t="s">
        <v>575</v>
      </c>
      <c r="J76" s="697">
        <v>43190</v>
      </c>
      <c r="K76" s="1029"/>
      <c r="N76"/>
      <c r="O76"/>
    </row>
    <row r="77" spans="1:15" ht="15" x14ac:dyDescent="0.25">
      <c r="A77" s="274" t="s">
        <v>7</v>
      </c>
      <c r="B77" s="290" t="s">
        <v>13</v>
      </c>
      <c r="C77" s="271" t="s">
        <v>991</v>
      </c>
      <c r="D77" s="275" t="str">
        <f ca="1">IFERROR(OFFSET(Camp_List[P_Code],MATCH(Data_Vulnerability_t[[#This Row],[Camp Name]],Camp_List[Camp Name],0)-1,0,1,1),"")</f>
        <v>MMR012CMP017</v>
      </c>
      <c r="E77" s="276" t="s">
        <v>1015</v>
      </c>
      <c r="F77" s="1032">
        <v>3</v>
      </c>
      <c r="G77" s="1032">
        <v>5</v>
      </c>
      <c r="H77" s="130">
        <f>Data_Vulnerability_t[[#This Row],[Male]]+Data_Vulnerability_t[[#This Row],[Female]]</f>
        <v>8</v>
      </c>
      <c r="I77" s="271" t="s">
        <v>575</v>
      </c>
      <c r="J77" s="697">
        <v>43190</v>
      </c>
      <c r="K77" s="1029"/>
      <c r="N77"/>
      <c r="O77"/>
    </row>
    <row r="78" spans="1:15" ht="15" x14ac:dyDescent="0.25">
      <c r="A78" s="274" t="s">
        <v>7</v>
      </c>
      <c r="B78" s="290" t="s">
        <v>13</v>
      </c>
      <c r="C78" s="271" t="s">
        <v>991</v>
      </c>
      <c r="D78" s="275" t="str">
        <f ca="1">IFERROR(OFFSET(Camp_List[P_Code],MATCH(Data_Vulnerability_t[[#This Row],[Camp Name]],Camp_List[Camp Name],0)-1,0,1,1),"")</f>
        <v>MMR012CMP017</v>
      </c>
      <c r="E78" s="276" t="s">
        <v>1016</v>
      </c>
      <c r="F78" s="1032">
        <v>6</v>
      </c>
      <c r="G78" s="1032">
        <v>8</v>
      </c>
      <c r="H78" s="130">
        <f>Data_Vulnerability_t[[#This Row],[Male]]+Data_Vulnerability_t[[#This Row],[Female]]</f>
        <v>14</v>
      </c>
      <c r="I78" s="271" t="s">
        <v>575</v>
      </c>
      <c r="J78" s="697">
        <v>43190</v>
      </c>
      <c r="K78" s="1029"/>
      <c r="N78"/>
      <c r="O78"/>
    </row>
    <row r="79" spans="1:15" ht="15" x14ac:dyDescent="0.25">
      <c r="A79" s="274" t="s">
        <v>7</v>
      </c>
      <c r="B79" s="290" t="s">
        <v>13</v>
      </c>
      <c r="C79" s="271" t="s">
        <v>991</v>
      </c>
      <c r="D79" s="275" t="str">
        <f ca="1">IFERROR(OFFSET(Camp_List[P_Code],MATCH(Data_Vulnerability_t[[#This Row],[Camp Name]],Camp_List[Camp Name],0)-1,0,1,1),"")</f>
        <v>MMR012CMP017</v>
      </c>
      <c r="E79" s="276" t="s">
        <v>1017</v>
      </c>
      <c r="F79" s="1032">
        <v>27</v>
      </c>
      <c r="G79" s="1032">
        <v>21</v>
      </c>
      <c r="H79" s="130">
        <f>Data_Vulnerability_t[[#This Row],[Male]]+Data_Vulnerability_t[[#This Row],[Female]]</f>
        <v>48</v>
      </c>
      <c r="I79" s="271" t="s">
        <v>575</v>
      </c>
      <c r="J79" s="697">
        <v>43190</v>
      </c>
      <c r="K79" s="1029"/>
      <c r="N79"/>
      <c r="O79"/>
    </row>
    <row r="80" spans="1:15" ht="15" x14ac:dyDescent="0.25">
      <c r="A80" s="274" t="s">
        <v>7</v>
      </c>
      <c r="B80" s="290" t="s">
        <v>13</v>
      </c>
      <c r="C80" s="271" t="s">
        <v>991</v>
      </c>
      <c r="D80" s="275" t="str">
        <f ca="1">IFERROR(OFFSET(Camp_List[P_Code],MATCH(Data_Vulnerability_t[[#This Row],[Camp Name]],Camp_List[Camp Name],0)-1,0,1,1),"")</f>
        <v>MMR012CMP017</v>
      </c>
      <c r="E80" s="276" t="s">
        <v>1018</v>
      </c>
      <c r="F80" s="1032">
        <v>6</v>
      </c>
      <c r="G80" s="1032">
        <v>110</v>
      </c>
      <c r="H80" s="130">
        <f>Data_Vulnerability_t[[#This Row],[Male]]+Data_Vulnerability_t[[#This Row],[Female]]</f>
        <v>116</v>
      </c>
      <c r="I80" s="271" t="s">
        <v>575</v>
      </c>
      <c r="J80" s="697">
        <v>43190</v>
      </c>
      <c r="K80" s="1029"/>
      <c r="N80"/>
      <c r="O80"/>
    </row>
    <row r="81" spans="1:15" ht="15" x14ac:dyDescent="0.25">
      <c r="A81" s="274" t="s">
        <v>7</v>
      </c>
      <c r="B81" s="290" t="s">
        <v>13</v>
      </c>
      <c r="C81" s="271" t="s">
        <v>991</v>
      </c>
      <c r="D81" s="275" t="str">
        <f ca="1">IFERROR(OFFSET(Camp_List[P_Code],MATCH(Data_Vulnerability_t[[#This Row],[Camp Name]],Camp_List[Camp Name],0)-1,0,1,1),"")</f>
        <v>MMR012CMP017</v>
      </c>
      <c r="E81" s="276" t="s">
        <v>1019</v>
      </c>
      <c r="F81" s="1032"/>
      <c r="G81" s="1032">
        <v>63</v>
      </c>
      <c r="H81" s="130">
        <f>Data_Vulnerability_t[[#This Row],[Male]]+Data_Vulnerability_t[[#This Row],[Female]]</f>
        <v>63</v>
      </c>
      <c r="I81" s="271" t="s">
        <v>575</v>
      </c>
      <c r="J81" s="697">
        <v>43190</v>
      </c>
      <c r="K81" s="1029"/>
      <c r="N81"/>
      <c r="O81"/>
    </row>
    <row r="82" spans="1:15" ht="15" x14ac:dyDescent="0.25">
      <c r="A82" s="274" t="s">
        <v>7</v>
      </c>
      <c r="B82" s="290" t="s">
        <v>13</v>
      </c>
      <c r="C82" s="271" t="s">
        <v>991</v>
      </c>
      <c r="D82" s="323" t="str">
        <f ca="1">IFERROR(OFFSET(Camp_List[P_Code],MATCH(Data_Vulnerability_t[[#This Row],[Camp Name]],Camp_List[Camp Name],0)-1,0,1,1),"")</f>
        <v>MMR012CMP017</v>
      </c>
      <c r="E82" s="276" t="s">
        <v>777</v>
      </c>
      <c r="F82" s="1032"/>
      <c r="G82" s="1032">
        <v>247</v>
      </c>
      <c r="H82" s="130">
        <f>Data_Vulnerability_t[[#This Row],[Male]]+Data_Vulnerability_t[[#This Row],[Female]]</f>
        <v>247</v>
      </c>
      <c r="I82" s="271" t="s">
        <v>575</v>
      </c>
      <c r="J82" s="697">
        <v>43190</v>
      </c>
      <c r="K82" s="1029"/>
      <c r="N82" s="669"/>
      <c r="O82" s="669"/>
    </row>
    <row r="83" spans="1:15" ht="15" x14ac:dyDescent="0.25">
      <c r="A83" s="274" t="s">
        <v>7</v>
      </c>
      <c r="B83" s="290" t="s">
        <v>17</v>
      </c>
      <c r="C83" s="271" t="s">
        <v>585</v>
      </c>
      <c r="D83" s="275" t="str">
        <f ca="1">IFERROR(OFFSET(Camp_List[P_Code],MATCH(Data_Vulnerability_t[[#This Row],[Camp Name]],Camp_List[Camp Name],0)-1,0,1,1),"")</f>
        <v>MMR012CMP098</v>
      </c>
      <c r="E83" s="276" t="s">
        <v>1012</v>
      </c>
      <c r="F83" s="1032">
        <v>36</v>
      </c>
      <c r="G83" s="1032">
        <v>41</v>
      </c>
      <c r="H83" s="130">
        <f>Data_Vulnerability_t[[#This Row],[Male]]+Data_Vulnerability_t[[#This Row],[Female]]</f>
        <v>77</v>
      </c>
      <c r="I83" s="271" t="s">
        <v>273</v>
      </c>
      <c r="J83" s="697">
        <v>43190</v>
      </c>
      <c r="K83" s="1029"/>
      <c r="N83"/>
      <c r="O83"/>
    </row>
    <row r="84" spans="1:15" ht="15" x14ac:dyDescent="0.25">
      <c r="A84" s="274" t="s">
        <v>7</v>
      </c>
      <c r="B84" s="290" t="s">
        <v>17</v>
      </c>
      <c r="C84" s="271" t="s">
        <v>585</v>
      </c>
      <c r="D84" s="275" t="str">
        <f ca="1">IFERROR(OFFSET(Camp_List[P_Code],MATCH(Data_Vulnerability_t[[#This Row],[Camp Name]],Camp_List[Camp Name],0)-1,0,1,1),"")</f>
        <v>MMR012CMP098</v>
      </c>
      <c r="E84" s="276" t="s">
        <v>1013</v>
      </c>
      <c r="F84" s="1032"/>
      <c r="G84" s="1032"/>
      <c r="H84" s="130">
        <f>Data_Vulnerability_t[[#This Row],[Male]]+Data_Vulnerability_t[[#This Row],[Female]]</f>
        <v>0</v>
      </c>
      <c r="I84" s="271" t="s">
        <v>273</v>
      </c>
      <c r="J84" s="697"/>
      <c r="K84" s="1029"/>
      <c r="N84"/>
      <c r="O84"/>
    </row>
    <row r="85" spans="1:15" ht="15" x14ac:dyDescent="0.25">
      <c r="A85" s="274" t="s">
        <v>7</v>
      </c>
      <c r="B85" s="290" t="s">
        <v>17</v>
      </c>
      <c r="C85" s="271" t="s">
        <v>585</v>
      </c>
      <c r="D85" s="275" t="str">
        <f ca="1">IFERROR(OFFSET(Camp_List[P_Code],MATCH(Data_Vulnerability_t[[#This Row],[Camp Name]],Camp_List[Camp Name],0)-1,0,1,1),"")</f>
        <v>MMR012CMP098</v>
      </c>
      <c r="E85" s="276" t="s">
        <v>1014</v>
      </c>
      <c r="F85" s="1032"/>
      <c r="G85" s="1032"/>
      <c r="H85" s="130">
        <f>Data_Vulnerability_t[[#This Row],[Male]]+Data_Vulnerability_t[[#This Row],[Female]]</f>
        <v>0</v>
      </c>
      <c r="I85" s="271" t="s">
        <v>273</v>
      </c>
      <c r="J85" s="697"/>
      <c r="K85" s="1029"/>
      <c r="N85"/>
      <c r="O85"/>
    </row>
    <row r="86" spans="1:15" ht="15" x14ac:dyDescent="0.25">
      <c r="A86" s="274" t="s">
        <v>7</v>
      </c>
      <c r="B86" s="290" t="s">
        <v>17</v>
      </c>
      <c r="C86" s="302" t="s">
        <v>585</v>
      </c>
      <c r="D86" s="275" t="str">
        <f ca="1">IFERROR(OFFSET(Camp_List[P_Code],MATCH(Data_Vulnerability_t[[#This Row],[Camp Name]],Camp_List[Camp Name],0)-1,0,1,1),"")</f>
        <v>MMR012CMP098</v>
      </c>
      <c r="E86" s="276" t="s">
        <v>1015</v>
      </c>
      <c r="F86" s="1032"/>
      <c r="G86" s="1032"/>
      <c r="H86" s="130">
        <f>Data_Vulnerability_t[[#This Row],[Male]]+Data_Vulnerability_t[[#This Row],[Female]]</f>
        <v>0</v>
      </c>
      <c r="I86" s="271" t="s">
        <v>273</v>
      </c>
      <c r="J86" s="697"/>
      <c r="K86" s="1029"/>
      <c r="N86"/>
      <c r="O86"/>
    </row>
    <row r="87" spans="1:15" ht="15" x14ac:dyDescent="0.25">
      <c r="A87" s="274" t="s">
        <v>7</v>
      </c>
      <c r="B87" s="290" t="s">
        <v>17</v>
      </c>
      <c r="C87" s="302" t="s">
        <v>585</v>
      </c>
      <c r="D87" s="275" t="str">
        <f ca="1">IFERROR(OFFSET(Camp_List[P_Code],MATCH(Data_Vulnerability_t[[#This Row],[Camp Name]],Camp_List[Camp Name],0)-1,0,1,1),"")</f>
        <v>MMR012CMP098</v>
      </c>
      <c r="E87" s="276" t="s">
        <v>1016</v>
      </c>
      <c r="F87" s="1032"/>
      <c r="G87" s="1032"/>
      <c r="H87" s="130">
        <f>Data_Vulnerability_t[[#This Row],[Male]]+Data_Vulnerability_t[[#This Row],[Female]]</f>
        <v>0</v>
      </c>
      <c r="I87" s="271" t="s">
        <v>273</v>
      </c>
      <c r="J87" s="697"/>
      <c r="K87" s="1029"/>
      <c r="N87"/>
      <c r="O87"/>
    </row>
    <row r="88" spans="1:15" ht="15" x14ac:dyDescent="0.25">
      <c r="A88" s="274" t="s">
        <v>7</v>
      </c>
      <c r="B88" s="290" t="s">
        <v>17</v>
      </c>
      <c r="C88" s="302" t="s">
        <v>585</v>
      </c>
      <c r="D88" s="275" t="str">
        <f ca="1">IFERROR(OFFSET(Camp_List[P_Code],MATCH(Data_Vulnerability_t[[#This Row],[Camp Name]],Camp_List[Camp Name],0)-1,0,1,1),"")</f>
        <v>MMR012CMP098</v>
      </c>
      <c r="E88" s="276" t="s">
        <v>1017</v>
      </c>
      <c r="F88" s="1032">
        <v>45</v>
      </c>
      <c r="G88" s="1032"/>
      <c r="H88" s="130">
        <f>Data_Vulnerability_t[[#This Row],[Male]]+Data_Vulnerability_t[[#This Row],[Female]]</f>
        <v>45</v>
      </c>
      <c r="I88" s="271" t="s">
        <v>273</v>
      </c>
      <c r="J88" s="697">
        <v>43190</v>
      </c>
      <c r="K88" s="1029"/>
      <c r="N88"/>
      <c r="O88"/>
    </row>
    <row r="89" spans="1:15" ht="17.25" customHeight="1" x14ac:dyDescent="0.25">
      <c r="A89" s="274" t="s">
        <v>7</v>
      </c>
      <c r="B89" s="290" t="s">
        <v>17</v>
      </c>
      <c r="C89" s="302" t="s">
        <v>585</v>
      </c>
      <c r="D89" s="275" t="str">
        <f ca="1">IFERROR(OFFSET(Camp_List[P_Code],MATCH(Data_Vulnerability_t[[#This Row],[Camp Name]],Camp_List[Camp Name],0)-1,0,1,1),"")</f>
        <v>MMR012CMP098</v>
      </c>
      <c r="E89" s="276" t="s">
        <v>1018</v>
      </c>
      <c r="F89" s="1032"/>
      <c r="G89" s="1032"/>
      <c r="H89" s="130">
        <f>Data_Vulnerability_t[[#This Row],[Male]]+Data_Vulnerability_t[[#This Row],[Female]]</f>
        <v>0</v>
      </c>
      <c r="I89" s="271" t="s">
        <v>273</v>
      </c>
      <c r="J89" s="697"/>
      <c r="K89" s="1029"/>
      <c r="N89"/>
      <c r="O89"/>
    </row>
    <row r="90" spans="1:15" ht="15" x14ac:dyDescent="0.25">
      <c r="A90" s="274" t="s">
        <v>7</v>
      </c>
      <c r="B90" s="290" t="s">
        <v>17</v>
      </c>
      <c r="C90" s="302" t="s">
        <v>585</v>
      </c>
      <c r="D90" s="275" t="str">
        <f ca="1">IFERROR(OFFSET(Camp_List[P_Code],MATCH(Data_Vulnerability_t[[#This Row],[Camp Name]],Camp_List[Camp Name],0)-1,0,1,1),"")</f>
        <v>MMR012CMP098</v>
      </c>
      <c r="E90" s="276" t="s">
        <v>1019</v>
      </c>
      <c r="F90" s="1032"/>
      <c r="G90" s="1032">
        <v>70</v>
      </c>
      <c r="H90" s="130">
        <f>Data_Vulnerability_t[[#This Row],[Male]]+Data_Vulnerability_t[[#This Row],[Female]]</f>
        <v>70</v>
      </c>
      <c r="I90" s="271" t="s">
        <v>273</v>
      </c>
      <c r="J90" s="697">
        <v>43190</v>
      </c>
      <c r="K90" s="1029"/>
      <c r="N90"/>
      <c r="O90"/>
    </row>
    <row r="91" spans="1:15" ht="15" x14ac:dyDescent="0.25">
      <c r="A91" s="274" t="s">
        <v>7</v>
      </c>
      <c r="B91" s="290" t="s">
        <v>17</v>
      </c>
      <c r="C91" s="311" t="s">
        <v>585</v>
      </c>
      <c r="D91" s="323" t="str">
        <f ca="1">IFERROR(OFFSET(Camp_List[P_Code],MATCH(Data_Vulnerability_t[[#This Row],[Camp Name]],Camp_List[Camp Name],0)-1,0,1,1),"")</f>
        <v>MMR012CMP098</v>
      </c>
      <c r="E91" s="276" t="s">
        <v>777</v>
      </c>
      <c r="F91" s="1032"/>
      <c r="G91" s="1032">
        <v>99</v>
      </c>
      <c r="H91" s="130">
        <f>Data_Vulnerability_t[[#This Row],[Male]]+Data_Vulnerability_t[[#This Row],[Female]]</f>
        <v>99</v>
      </c>
      <c r="I91" s="271" t="s">
        <v>273</v>
      </c>
      <c r="J91" s="697">
        <v>43190</v>
      </c>
      <c r="K91" s="1029"/>
      <c r="N91" s="669"/>
      <c r="O91" s="669"/>
    </row>
    <row r="92" spans="1:15" ht="15" x14ac:dyDescent="0.25">
      <c r="A92" s="274" t="s">
        <v>7</v>
      </c>
      <c r="B92" s="290" t="s">
        <v>17</v>
      </c>
      <c r="C92" s="302" t="s">
        <v>586</v>
      </c>
      <c r="D92" s="275" t="str">
        <f ca="1">IFERROR(OFFSET(Camp_List[P_Code],MATCH(Data_Vulnerability_t[[#This Row],[Camp Name]],Camp_List[Camp Name],0)-1,0,1,1),"")</f>
        <v>MMR012CMP115</v>
      </c>
      <c r="E92" s="276" t="s">
        <v>1012</v>
      </c>
      <c r="F92" s="1032">
        <v>127</v>
      </c>
      <c r="G92" s="1032">
        <v>146</v>
      </c>
      <c r="H92" s="130">
        <f>Data_Vulnerability_t[[#This Row],[Male]]+Data_Vulnerability_t[[#This Row],[Female]]</f>
        <v>273</v>
      </c>
      <c r="I92" s="271" t="s">
        <v>273</v>
      </c>
      <c r="J92" s="697">
        <v>43190</v>
      </c>
      <c r="K92" s="1029"/>
      <c r="N92"/>
      <c r="O92"/>
    </row>
    <row r="93" spans="1:15" ht="15" x14ac:dyDescent="0.25">
      <c r="A93" s="274" t="s">
        <v>7</v>
      </c>
      <c r="B93" s="290" t="s">
        <v>17</v>
      </c>
      <c r="C93" s="302" t="s">
        <v>586</v>
      </c>
      <c r="D93" s="275" t="str">
        <f ca="1">IFERROR(OFFSET(Camp_List[P_Code],MATCH(Data_Vulnerability_t[[#This Row],[Camp Name]],Camp_List[Camp Name],0)-1,0,1,1),"")</f>
        <v>MMR012CMP115</v>
      </c>
      <c r="E93" s="276" t="s">
        <v>1013</v>
      </c>
      <c r="F93" s="1032"/>
      <c r="G93" s="1032"/>
      <c r="H93" s="130">
        <f>Data_Vulnerability_t[[#This Row],[Male]]+Data_Vulnerability_t[[#This Row],[Female]]</f>
        <v>0</v>
      </c>
      <c r="I93" s="271" t="s">
        <v>273</v>
      </c>
      <c r="J93" s="697"/>
      <c r="K93" s="1029"/>
      <c r="N93"/>
      <c r="O93"/>
    </row>
    <row r="94" spans="1:15" ht="15" x14ac:dyDescent="0.25">
      <c r="A94" s="274" t="s">
        <v>7</v>
      </c>
      <c r="B94" s="290" t="s">
        <v>17</v>
      </c>
      <c r="C94" s="302" t="s">
        <v>586</v>
      </c>
      <c r="D94" s="275" t="str">
        <f ca="1">IFERROR(OFFSET(Camp_List[P_Code],MATCH(Data_Vulnerability_t[[#This Row],[Camp Name]],Camp_List[Camp Name],0)-1,0,1,1),"")</f>
        <v>MMR012CMP115</v>
      </c>
      <c r="E94" s="276" t="s">
        <v>1014</v>
      </c>
      <c r="F94" s="1032">
        <v>146</v>
      </c>
      <c r="G94" s="1032"/>
      <c r="H94" s="130">
        <f>Data_Vulnerability_t[[#This Row],[Male]]+Data_Vulnerability_t[[#This Row],[Female]]</f>
        <v>146</v>
      </c>
      <c r="I94" s="271" t="s">
        <v>273</v>
      </c>
      <c r="J94" s="697">
        <v>43190</v>
      </c>
      <c r="K94" s="1029"/>
      <c r="N94"/>
      <c r="O94"/>
    </row>
    <row r="95" spans="1:15" ht="15" x14ac:dyDescent="0.25">
      <c r="A95" s="274" t="s">
        <v>7</v>
      </c>
      <c r="B95" s="290" t="s">
        <v>17</v>
      </c>
      <c r="C95" s="275" t="s">
        <v>586</v>
      </c>
      <c r="D95" s="275" t="str">
        <f ca="1">IFERROR(OFFSET(Camp_List[P_Code],MATCH(Data_Vulnerability_t[[#This Row],[Camp Name]],Camp_List[Camp Name],0)-1,0,1,1),"")</f>
        <v>MMR012CMP115</v>
      </c>
      <c r="E95" s="276" t="s">
        <v>1015</v>
      </c>
      <c r="F95" s="1032"/>
      <c r="G95" s="1032"/>
      <c r="H95" s="130">
        <f>Data_Vulnerability_t[[#This Row],[Male]]+Data_Vulnerability_t[[#This Row],[Female]]</f>
        <v>0</v>
      </c>
      <c r="I95" s="271" t="s">
        <v>273</v>
      </c>
      <c r="J95" s="697"/>
      <c r="K95" s="1029"/>
      <c r="N95"/>
      <c r="O95"/>
    </row>
    <row r="96" spans="1:15" ht="15" x14ac:dyDescent="0.25">
      <c r="A96" s="274" t="s">
        <v>7</v>
      </c>
      <c r="B96" s="290" t="s">
        <v>17</v>
      </c>
      <c r="C96" s="275" t="s">
        <v>586</v>
      </c>
      <c r="D96" s="275" t="str">
        <f ca="1">IFERROR(OFFSET(Camp_List[P_Code],MATCH(Data_Vulnerability_t[[#This Row],[Camp Name]],Camp_List[Camp Name],0)-1,0,1,1),"")</f>
        <v>MMR012CMP115</v>
      </c>
      <c r="E96" s="276" t="s">
        <v>1016</v>
      </c>
      <c r="F96" s="1032"/>
      <c r="G96" s="1032"/>
      <c r="H96" s="130">
        <f>Data_Vulnerability_t[[#This Row],[Male]]+Data_Vulnerability_t[[#This Row],[Female]]</f>
        <v>0</v>
      </c>
      <c r="I96" s="271" t="s">
        <v>273</v>
      </c>
      <c r="J96" s="697"/>
      <c r="K96" s="1029"/>
      <c r="N96"/>
      <c r="O96"/>
    </row>
    <row r="97" spans="1:15" ht="15" x14ac:dyDescent="0.25">
      <c r="A97" s="274" t="s">
        <v>7</v>
      </c>
      <c r="B97" s="290" t="s">
        <v>17</v>
      </c>
      <c r="C97" s="275" t="s">
        <v>586</v>
      </c>
      <c r="D97" s="275" t="str">
        <f ca="1">IFERROR(OFFSET(Camp_List[P_Code],MATCH(Data_Vulnerability_t[[#This Row],[Camp Name]],Camp_List[Camp Name],0)-1,0,1,1),"")</f>
        <v>MMR012CMP115</v>
      </c>
      <c r="E97" s="276" t="s">
        <v>1017</v>
      </c>
      <c r="F97" s="1032">
        <v>180</v>
      </c>
      <c r="G97" s="1032"/>
      <c r="H97" s="130">
        <f>Data_Vulnerability_t[[#This Row],[Male]]+Data_Vulnerability_t[[#This Row],[Female]]</f>
        <v>180</v>
      </c>
      <c r="I97" s="271" t="s">
        <v>273</v>
      </c>
      <c r="J97" s="697">
        <v>43190</v>
      </c>
      <c r="K97" s="1029"/>
      <c r="N97"/>
      <c r="O97"/>
    </row>
    <row r="98" spans="1:15" ht="15" x14ac:dyDescent="0.25">
      <c r="A98" s="274" t="s">
        <v>7</v>
      </c>
      <c r="B98" s="290" t="s">
        <v>17</v>
      </c>
      <c r="C98" s="275" t="s">
        <v>586</v>
      </c>
      <c r="D98" s="275" t="str">
        <f ca="1">IFERROR(OFFSET(Camp_List[P_Code],MATCH(Data_Vulnerability_t[[#This Row],[Camp Name]],Camp_List[Camp Name],0)-1,0,1,1),"")</f>
        <v>MMR012CMP115</v>
      </c>
      <c r="E98" s="276" t="s">
        <v>1018</v>
      </c>
      <c r="F98" s="1032"/>
      <c r="G98" s="1032"/>
      <c r="H98" s="130">
        <f>Data_Vulnerability_t[[#This Row],[Male]]+Data_Vulnerability_t[[#This Row],[Female]]</f>
        <v>0</v>
      </c>
      <c r="I98" s="271" t="s">
        <v>273</v>
      </c>
      <c r="J98" s="697"/>
      <c r="K98" s="1029"/>
      <c r="N98"/>
      <c r="O98"/>
    </row>
    <row r="99" spans="1:15" ht="15" x14ac:dyDescent="0.25">
      <c r="A99" s="274" t="s">
        <v>7</v>
      </c>
      <c r="B99" s="290" t="s">
        <v>17</v>
      </c>
      <c r="C99" s="275" t="s">
        <v>586</v>
      </c>
      <c r="D99" s="275" t="str">
        <f ca="1">IFERROR(OFFSET(Camp_List[P_Code],MATCH(Data_Vulnerability_t[[#This Row],[Camp Name]],Camp_List[Camp Name],0)-1,0,1,1),"")</f>
        <v>MMR012CMP115</v>
      </c>
      <c r="E99" s="276" t="s">
        <v>1019</v>
      </c>
      <c r="F99" s="1032"/>
      <c r="G99" s="1032">
        <v>195</v>
      </c>
      <c r="H99" s="130">
        <f>Data_Vulnerability_t[[#This Row],[Male]]+Data_Vulnerability_t[[#This Row],[Female]]</f>
        <v>195</v>
      </c>
      <c r="I99" s="271" t="s">
        <v>273</v>
      </c>
      <c r="J99" s="697">
        <v>43190</v>
      </c>
      <c r="K99" s="1029"/>
      <c r="N99"/>
      <c r="O99"/>
    </row>
    <row r="100" spans="1:15" ht="15" x14ac:dyDescent="0.25">
      <c r="A100" s="274" t="s">
        <v>7</v>
      </c>
      <c r="B100" s="290" t="s">
        <v>17</v>
      </c>
      <c r="C100" s="275" t="s">
        <v>586</v>
      </c>
      <c r="D100" s="323" t="str">
        <f ca="1">IFERROR(OFFSET(Camp_List[P_Code],MATCH(Data_Vulnerability_t[[#This Row],[Camp Name]],Camp_List[Camp Name],0)-1,0,1,1),"")</f>
        <v>MMR012CMP115</v>
      </c>
      <c r="E100" s="276" t="s">
        <v>777</v>
      </c>
      <c r="F100" s="1032"/>
      <c r="G100" s="1032">
        <v>892</v>
      </c>
      <c r="H100" s="130">
        <f>Data_Vulnerability_t[[#This Row],[Male]]+Data_Vulnerability_t[[#This Row],[Female]]</f>
        <v>892</v>
      </c>
      <c r="I100" s="271" t="s">
        <v>273</v>
      </c>
      <c r="J100" s="697">
        <v>43190</v>
      </c>
      <c r="K100" s="1029"/>
      <c r="N100" s="669"/>
      <c r="O100" s="669"/>
    </row>
    <row r="101" spans="1:15" ht="15" x14ac:dyDescent="0.25">
      <c r="A101" s="274" t="s">
        <v>7</v>
      </c>
      <c r="B101" s="290" t="s">
        <v>17</v>
      </c>
      <c r="C101" s="275" t="s">
        <v>587</v>
      </c>
      <c r="D101" s="275" t="str">
        <f ca="1">IFERROR(OFFSET(Camp_List[P_Code],MATCH(Data_Vulnerability_t[[#This Row],[Camp Name]],Camp_List[Camp Name],0)-1,0,1,1),"")</f>
        <v>MMR012CMP116</v>
      </c>
      <c r="E101" s="276" t="s">
        <v>1012</v>
      </c>
      <c r="F101" s="1032">
        <v>58</v>
      </c>
      <c r="G101" s="1034" t="s">
        <v>1151</v>
      </c>
      <c r="H101" s="130">
        <f>Data_Vulnerability_t[[#This Row],[Male]]+Data_Vulnerability_t[[#This Row],[Female]]</f>
        <v>95</v>
      </c>
      <c r="I101" s="271" t="s">
        <v>575</v>
      </c>
      <c r="J101" s="697">
        <v>43190</v>
      </c>
      <c r="K101" s="1029"/>
      <c r="N101"/>
      <c r="O101"/>
    </row>
    <row r="102" spans="1:15" ht="15" x14ac:dyDescent="0.25">
      <c r="A102" s="274" t="s">
        <v>7</v>
      </c>
      <c r="B102" s="290" t="s">
        <v>17</v>
      </c>
      <c r="C102" s="275" t="s">
        <v>587</v>
      </c>
      <c r="D102" s="275" t="str">
        <f ca="1">IFERROR(OFFSET(Camp_List[P_Code],MATCH(Data_Vulnerability_t[[#This Row],[Camp Name]],Camp_List[Camp Name],0)-1,0,1,1),"")</f>
        <v>MMR012CMP116</v>
      </c>
      <c r="E102" s="276" t="s">
        <v>1013</v>
      </c>
      <c r="F102" s="1032">
        <v>23</v>
      </c>
      <c r="G102" s="1032">
        <v>20</v>
      </c>
      <c r="H102" s="130">
        <f>Data_Vulnerability_t[[#This Row],[Male]]+Data_Vulnerability_t[[#This Row],[Female]]</f>
        <v>43</v>
      </c>
      <c r="I102" s="271" t="s">
        <v>575</v>
      </c>
      <c r="J102" s="697">
        <v>43190</v>
      </c>
      <c r="K102" s="1029"/>
      <c r="N102"/>
      <c r="O102"/>
    </row>
    <row r="103" spans="1:15" ht="15" x14ac:dyDescent="0.25">
      <c r="A103" s="274" t="s">
        <v>7</v>
      </c>
      <c r="B103" s="290" t="s">
        <v>17</v>
      </c>
      <c r="C103" s="275" t="s">
        <v>587</v>
      </c>
      <c r="D103" s="275" t="str">
        <f ca="1">IFERROR(OFFSET(Camp_List[P_Code],MATCH(Data_Vulnerability_t[[#This Row],[Camp Name]],Camp_List[Camp Name],0)-1,0,1,1),"")</f>
        <v>MMR012CMP116</v>
      </c>
      <c r="E103" s="276" t="s">
        <v>1014</v>
      </c>
      <c r="F103" s="1032">
        <v>0</v>
      </c>
      <c r="G103" s="1032">
        <v>0</v>
      </c>
      <c r="H103" s="130">
        <f>Data_Vulnerability_t[[#This Row],[Male]]+Data_Vulnerability_t[[#This Row],[Female]]</f>
        <v>0</v>
      </c>
      <c r="I103" s="271" t="s">
        <v>575</v>
      </c>
      <c r="J103" s="697">
        <v>43190</v>
      </c>
      <c r="K103" s="1029"/>
      <c r="N103"/>
      <c r="O103"/>
    </row>
    <row r="104" spans="1:15" ht="15" x14ac:dyDescent="0.25">
      <c r="A104" s="274" t="s">
        <v>7</v>
      </c>
      <c r="B104" s="290" t="s">
        <v>17</v>
      </c>
      <c r="C104" s="275" t="s">
        <v>587</v>
      </c>
      <c r="D104" s="275" t="str">
        <f ca="1">IFERROR(OFFSET(Camp_List[P_Code],MATCH(Data_Vulnerability_t[[#This Row],[Camp Name]],Camp_List[Camp Name],0)-1,0,1,1),"")</f>
        <v>MMR012CMP116</v>
      </c>
      <c r="E104" s="276" t="s">
        <v>1015</v>
      </c>
      <c r="F104" s="1032">
        <v>7</v>
      </c>
      <c r="G104" s="1032">
        <v>4</v>
      </c>
      <c r="H104" s="130">
        <f>Data_Vulnerability_t[[#This Row],[Male]]+Data_Vulnerability_t[[#This Row],[Female]]</f>
        <v>11</v>
      </c>
      <c r="I104" s="271" t="s">
        <v>575</v>
      </c>
      <c r="J104" s="697">
        <v>43190</v>
      </c>
      <c r="K104" s="1029"/>
      <c r="N104"/>
      <c r="O104"/>
    </row>
    <row r="105" spans="1:15" ht="15" x14ac:dyDescent="0.25">
      <c r="A105" s="274" t="s">
        <v>7</v>
      </c>
      <c r="B105" s="290" t="s">
        <v>17</v>
      </c>
      <c r="C105" s="271" t="s">
        <v>587</v>
      </c>
      <c r="D105" s="275" t="str">
        <f ca="1">IFERROR(OFFSET(Camp_List[P_Code],MATCH(Data_Vulnerability_t[[#This Row],[Camp Name]],Camp_List[Camp Name],0)-1,0,1,1),"")</f>
        <v>MMR012CMP116</v>
      </c>
      <c r="E105" s="276" t="s">
        <v>1016</v>
      </c>
      <c r="F105" s="1032">
        <v>31</v>
      </c>
      <c r="G105" s="1032">
        <v>9</v>
      </c>
      <c r="H105" s="130">
        <f>Data_Vulnerability_t[[#This Row],[Male]]+Data_Vulnerability_t[[#This Row],[Female]]</f>
        <v>40</v>
      </c>
      <c r="I105" s="271" t="s">
        <v>575</v>
      </c>
      <c r="J105" s="697">
        <v>43190</v>
      </c>
      <c r="K105" s="1029"/>
      <c r="N105"/>
      <c r="O105"/>
    </row>
    <row r="106" spans="1:15" ht="15" x14ac:dyDescent="0.25">
      <c r="A106" s="274" t="s">
        <v>7</v>
      </c>
      <c r="B106" s="290" t="s">
        <v>17</v>
      </c>
      <c r="C106" s="271" t="s">
        <v>587</v>
      </c>
      <c r="D106" s="275" t="str">
        <f ca="1">IFERROR(OFFSET(Camp_List[P_Code],MATCH(Data_Vulnerability_t[[#This Row],[Camp Name]],Camp_List[Camp Name],0)-1,0,1,1),"")</f>
        <v>MMR012CMP116</v>
      </c>
      <c r="E106" s="276" t="s">
        <v>1017</v>
      </c>
      <c r="F106" s="1032">
        <v>78</v>
      </c>
      <c r="G106" s="1032">
        <v>65</v>
      </c>
      <c r="H106" s="130">
        <f>Data_Vulnerability_t[[#This Row],[Male]]+Data_Vulnerability_t[[#This Row],[Female]]</f>
        <v>143</v>
      </c>
      <c r="I106" s="271" t="s">
        <v>575</v>
      </c>
      <c r="J106" s="697">
        <v>43190</v>
      </c>
      <c r="K106" s="1029"/>
      <c r="N106"/>
      <c r="O106"/>
    </row>
    <row r="107" spans="1:15" ht="15" x14ac:dyDescent="0.25">
      <c r="A107" s="274" t="s">
        <v>7</v>
      </c>
      <c r="B107" s="290" t="s">
        <v>17</v>
      </c>
      <c r="C107" s="271" t="s">
        <v>587</v>
      </c>
      <c r="D107" s="275" t="str">
        <f ca="1">IFERROR(OFFSET(Camp_List[P_Code],MATCH(Data_Vulnerability_t[[#This Row],[Camp Name]],Camp_List[Camp Name],0)-1,0,1,1),"")</f>
        <v>MMR012CMP116</v>
      </c>
      <c r="E107" s="276" t="s">
        <v>1018</v>
      </c>
      <c r="F107" s="1032">
        <v>17</v>
      </c>
      <c r="G107" s="1032">
        <v>151</v>
      </c>
      <c r="H107" s="130">
        <f>Data_Vulnerability_t[[#This Row],[Male]]+Data_Vulnerability_t[[#This Row],[Female]]</f>
        <v>168</v>
      </c>
      <c r="I107" s="271" t="s">
        <v>575</v>
      </c>
      <c r="J107" s="697">
        <v>43190</v>
      </c>
      <c r="K107" s="1029"/>
      <c r="N107"/>
      <c r="O107"/>
    </row>
    <row r="108" spans="1:15" ht="15" x14ac:dyDescent="0.25">
      <c r="A108" s="274" t="s">
        <v>7</v>
      </c>
      <c r="B108" s="290" t="s">
        <v>17</v>
      </c>
      <c r="C108" s="271" t="s">
        <v>587</v>
      </c>
      <c r="D108" s="275" t="str">
        <f ca="1">IFERROR(OFFSET(Camp_List[P_Code],MATCH(Data_Vulnerability_t[[#This Row],[Camp Name]],Camp_List[Camp Name],0)-1,0,1,1),"")</f>
        <v>MMR012CMP116</v>
      </c>
      <c r="E108" s="276" t="s">
        <v>1019</v>
      </c>
      <c r="F108" s="1032"/>
      <c r="G108" s="1032">
        <v>235</v>
      </c>
      <c r="H108" s="130">
        <f>Data_Vulnerability_t[[#This Row],[Male]]+Data_Vulnerability_t[[#This Row],[Female]]</f>
        <v>235</v>
      </c>
      <c r="I108" s="271" t="s">
        <v>575</v>
      </c>
      <c r="J108" s="697">
        <v>43190</v>
      </c>
      <c r="K108" s="1029"/>
      <c r="N108"/>
      <c r="O108"/>
    </row>
    <row r="109" spans="1:15" ht="15" x14ac:dyDescent="0.25">
      <c r="A109" s="274" t="s">
        <v>7</v>
      </c>
      <c r="B109" s="290" t="s">
        <v>17</v>
      </c>
      <c r="C109" s="275" t="s">
        <v>587</v>
      </c>
      <c r="D109" s="323" t="str">
        <f ca="1">IFERROR(OFFSET(Camp_List[P_Code],MATCH(Data_Vulnerability_t[[#This Row],[Camp Name]],Camp_List[Camp Name],0)-1,0,1,1),"")</f>
        <v>MMR012CMP116</v>
      </c>
      <c r="E109" s="276" t="s">
        <v>777</v>
      </c>
      <c r="F109" s="1032"/>
      <c r="G109" s="1032">
        <v>497</v>
      </c>
      <c r="H109" s="130">
        <f>Data_Vulnerability_t[[#This Row],[Male]]+Data_Vulnerability_t[[#This Row],[Female]]</f>
        <v>497</v>
      </c>
      <c r="I109" s="271" t="s">
        <v>575</v>
      </c>
      <c r="J109" s="697">
        <v>43190</v>
      </c>
      <c r="K109" s="1029"/>
      <c r="N109" s="669"/>
      <c r="O109" s="669"/>
    </row>
    <row r="110" spans="1:15" ht="15" x14ac:dyDescent="0.25">
      <c r="A110" s="274" t="s">
        <v>7</v>
      </c>
      <c r="B110" s="290" t="s">
        <v>17</v>
      </c>
      <c r="C110" s="271" t="s">
        <v>65</v>
      </c>
      <c r="D110" s="275" t="str">
        <f ca="1">IFERROR(OFFSET(Camp_List[P_Code],MATCH(Data_Vulnerability_t[[#This Row],[Camp Name]],Camp_List[Camp Name],0)-1,0,1,1),"")</f>
        <v>MMR012CMP045</v>
      </c>
      <c r="E110" s="276" t="s">
        <v>1012</v>
      </c>
      <c r="F110" s="1032">
        <v>129</v>
      </c>
      <c r="G110" s="1032">
        <v>156</v>
      </c>
      <c r="H110" s="130">
        <f>Data_Vulnerability_t[[#This Row],[Male]]+Data_Vulnerability_t[[#This Row],[Female]]</f>
        <v>285</v>
      </c>
      <c r="I110" s="271" t="s">
        <v>273</v>
      </c>
      <c r="J110" s="697">
        <v>43190</v>
      </c>
      <c r="K110" s="1029"/>
      <c r="N110"/>
      <c r="O110"/>
    </row>
    <row r="111" spans="1:15" ht="15" x14ac:dyDescent="0.25">
      <c r="A111" s="274" t="s">
        <v>7</v>
      </c>
      <c r="B111" s="290" t="s">
        <v>17</v>
      </c>
      <c r="C111" s="271" t="s">
        <v>65</v>
      </c>
      <c r="D111" s="275" t="str">
        <f ca="1">IFERROR(OFFSET(Camp_List[P_Code],MATCH(Data_Vulnerability_t[[#This Row],[Camp Name]],Camp_List[Camp Name],0)-1,0,1,1),"")</f>
        <v>MMR012CMP045</v>
      </c>
      <c r="E111" s="276" t="s">
        <v>1013</v>
      </c>
      <c r="F111" s="1032"/>
      <c r="G111" s="1032"/>
      <c r="H111" s="130">
        <f>Data_Vulnerability_t[[#This Row],[Male]]+Data_Vulnerability_t[[#This Row],[Female]]</f>
        <v>0</v>
      </c>
      <c r="I111" s="271" t="s">
        <v>273</v>
      </c>
      <c r="J111" s="697"/>
      <c r="K111" s="1029"/>
      <c r="N111"/>
      <c r="O111"/>
    </row>
    <row r="112" spans="1:15" ht="15" x14ac:dyDescent="0.25">
      <c r="A112" s="274" t="s">
        <v>7</v>
      </c>
      <c r="B112" s="290" t="s">
        <v>17</v>
      </c>
      <c r="C112" s="271" t="s">
        <v>65</v>
      </c>
      <c r="D112" s="275" t="str">
        <f ca="1">IFERROR(OFFSET(Camp_List[P_Code],MATCH(Data_Vulnerability_t[[#This Row],[Camp Name]],Camp_List[Camp Name],0)-1,0,1,1),"")</f>
        <v>MMR012CMP045</v>
      </c>
      <c r="E112" s="276" t="s">
        <v>1014</v>
      </c>
      <c r="F112" s="1032">
        <v>62</v>
      </c>
      <c r="G112" s="1032"/>
      <c r="H112" s="130">
        <f>Data_Vulnerability_t[[#This Row],[Male]]+Data_Vulnerability_t[[#This Row],[Female]]</f>
        <v>62</v>
      </c>
      <c r="I112" s="271" t="s">
        <v>273</v>
      </c>
      <c r="J112" s="697">
        <v>43190</v>
      </c>
      <c r="K112" s="1029"/>
      <c r="N112"/>
      <c r="O112"/>
    </row>
    <row r="113" spans="1:15" ht="15" x14ac:dyDescent="0.25">
      <c r="A113" s="274" t="s">
        <v>7</v>
      </c>
      <c r="B113" s="290" t="s">
        <v>17</v>
      </c>
      <c r="C113" s="271" t="s">
        <v>65</v>
      </c>
      <c r="D113" s="275" t="str">
        <f ca="1">IFERROR(OFFSET(Camp_List[P_Code],MATCH(Data_Vulnerability_t[[#This Row],[Camp Name]],Camp_List[Camp Name],0)-1,0,1,1),"")</f>
        <v>MMR012CMP045</v>
      </c>
      <c r="E113" s="276" t="s">
        <v>1015</v>
      </c>
      <c r="F113" s="1032"/>
      <c r="G113" s="1032"/>
      <c r="H113" s="130">
        <f>Data_Vulnerability_t[[#This Row],[Male]]+Data_Vulnerability_t[[#This Row],[Female]]</f>
        <v>0</v>
      </c>
      <c r="I113" s="271" t="s">
        <v>273</v>
      </c>
      <c r="J113" s="697"/>
      <c r="K113" s="1029"/>
      <c r="N113"/>
      <c r="O113"/>
    </row>
    <row r="114" spans="1:15" x14ac:dyDescent="0.2">
      <c r="A114" s="274" t="s">
        <v>7</v>
      </c>
      <c r="B114" s="290" t="s">
        <v>17</v>
      </c>
      <c r="C114" s="271" t="s">
        <v>65</v>
      </c>
      <c r="D114" s="275" t="str">
        <f ca="1">IFERROR(OFFSET(Camp_List[P_Code],MATCH(Data_Vulnerability_t[[#This Row],[Camp Name]],Camp_List[Camp Name],0)-1,0,1,1),"")</f>
        <v>MMR012CMP045</v>
      </c>
      <c r="E114" s="276" t="s">
        <v>1016</v>
      </c>
      <c r="F114" s="1032"/>
      <c r="G114" s="1032"/>
      <c r="H114" s="130">
        <f>Data_Vulnerability_t[[#This Row],[Male]]+Data_Vulnerability_t[[#This Row],[Female]]</f>
        <v>0</v>
      </c>
      <c r="I114" s="271" t="s">
        <v>273</v>
      </c>
      <c r="J114" s="697"/>
      <c r="K114" s="1029"/>
    </row>
    <row r="115" spans="1:15" x14ac:dyDescent="0.2">
      <c r="A115" s="274" t="s">
        <v>7</v>
      </c>
      <c r="B115" s="290" t="s">
        <v>17</v>
      </c>
      <c r="C115" s="271" t="s">
        <v>65</v>
      </c>
      <c r="D115" s="275" t="str">
        <f ca="1">IFERROR(OFFSET(Camp_List[P_Code],MATCH(Data_Vulnerability_t[[#This Row],[Camp Name]],Camp_List[Camp Name],0)-1,0,1,1),"")</f>
        <v>MMR012CMP045</v>
      </c>
      <c r="E115" s="276" t="s">
        <v>1017</v>
      </c>
      <c r="F115" s="1032">
        <v>201</v>
      </c>
      <c r="G115" s="1032"/>
      <c r="H115" s="130">
        <f>Data_Vulnerability_t[[#This Row],[Male]]+Data_Vulnerability_t[[#This Row],[Female]]</f>
        <v>201</v>
      </c>
      <c r="I115" s="271" t="s">
        <v>273</v>
      </c>
      <c r="J115" s="697"/>
      <c r="K115" s="1029"/>
    </row>
    <row r="116" spans="1:15" x14ac:dyDescent="0.2">
      <c r="A116" s="274" t="s">
        <v>7</v>
      </c>
      <c r="B116" s="290" t="s">
        <v>17</v>
      </c>
      <c r="C116" s="275" t="s">
        <v>65</v>
      </c>
      <c r="D116" s="275" t="str">
        <f ca="1">IFERROR(OFFSET(Camp_List[P_Code],MATCH(Data_Vulnerability_t[[#This Row],[Camp Name]],Camp_List[Camp Name],0)-1,0,1,1),"")</f>
        <v>MMR012CMP045</v>
      </c>
      <c r="E116" s="276" t="s">
        <v>1018</v>
      </c>
      <c r="F116" s="1032"/>
      <c r="G116" s="1032"/>
      <c r="H116" s="130">
        <f>Data_Vulnerability_t[[#This Row],[Male]]+Data_Vulnerability_t[[#This Row],[Female]]</f>
        <v>0</v>
      </c>
      <c r="I116" s="271" t="s">
        <v>273</v>
      </c>
      <c r="J116" s="697"/>
      <c r="K116" s="1029"/>
    </row>
    <row r="117" spans="1:15" x14ac:dyDescent="0.2">
      <c r="A117" s="274" t="s">
        <v>7</v>
      </c>
      <c r="B117" s="290" t="s">
        <v>17</v>
      </c>
      <c r="C117" s="275" t="s">
        <v>65</v>
      </c>
      <c r="D117" s="275" t="str">
        <f ca="1">IFERROR(OFFSET(Camp_List[P_Code],MATCH(Data_Vulnerability_t[[#This Row],[Camp Name]],Camp_List[Camp Name],0)-1,0,1,1),"")</f>
        <v>MMR012CMP045</v>
      </c>
      <c r="E117" s="276" t="s">
        <v>1019</v>
      </c>
      <c r="F117" s="1032"/>
      <c r="G117" s="1032">
        <v>245</v>
      </c>
      <c r="H117" s="130">
        <f>Data_Vulnerability_t[[#This Row],[Male]]+Data_Vulnerability_t[[#This Row],[Female]]</f>
        <v>245</v>
      </c>
      <c r="I117" s="271" t="s">
        <v>273</v>
      </c>
      <c r="J117" s="697">
        <v>43190</v>
      </c>
      <c r="K117" s="1029"/>
    </row>
    <row r="118" spans="1:15" x14ac:dyDescent="0.2">
      <c r="A118" s="274" t="s">
        <v>7</v>
      </c>
      <c r="B118" s="290" t="s">
        <v>17</v>
      </c>
      <c r="C118" s="275" t="s">
        <v>65</v>
      </c>
      <c r="D118" s="323" t="str">
        <f ca="1">IFERROR(OFFSET(Camp_List[P_Code],MATCH(Data_Vulnerability_t[[#This Row],[Camp Name]],Camp_List[Camp Name],0)-1,0,1,1),"")</f>
        <v>MMR012CMP045</v>
      </c>
      <c r="E118" s="276" t="s">
        <v>777</v>
      </c>
      <c r="F118" s="1032"/>
      <c r="G118" s="1032">
        <v>703</v>
      </c>
      <c r="H118" s="130">
        <f>Data_Vulnerability_t[[#This Row],[Male]]+Data_Vulnerability_t[[#This Row],[Female]]</f>
        <v>703</v>
      </c>
      <c r="I118" s="271" t="s">
        <v>273</v>
      </c>
      <c r="J118" s="697">
        <v>43190</v>
      </c>
      <c r="K118" s="1029"/>
    </row>
    <row r="119" spans="1:15" x14ac:dyDescent="0.2">
      <c r="A119" s="274" t="s">
        <v>7</v>
      </c>
      <c r="B119" s="290" t="s">
        <v>13</v>
      </c>
      <c r="C119" s="275" t="s">
        <v>41</v>
      </c>
      <c r="D119" s="275" t="str">
        <f ca="1">IFERROR(OFFSET(Camp_List[P_Code],MATCH(Data_Vulnerability_t[[#This Row],[Camp Name]],Camp_List[Camp Name],0)-1,0,1,1),"")</f>
        <v>MMR012CMP019</v>
      </c>
      <c r="E119" s="276" t="s">
        <v>1012</v>
      </c>
      <c r="F119" s="1032"/>
      <c r="G119" s="1032"/>
      <c r="H119" s="130">
        <f>Data_Vulnerability_t[[#This Row],[Male]]+Data_Vulnerability_t[[#This Row],[Female]]</f>
        <v>0</v>
      </c>
      <c r="I119" s="271" t="s">
        <v>273</v>
      </c>
      <c r="J119" s="697"/>
      <c r="K119" s="1029"/>
    </row>
    <row r="120" spans="1:15" x14ac:dyDescent="0.2">
      <c r="A120" s="274" t="s">
        <v>7</v>
      </c>
      <c r="B120" s="290" t="s">
        <v>13</v>
      </c>
      <c r="C120" s="275" t="s">
        <v>41</v>
      </c>
      <c r="D120" s="275" t="str">
        <f ca="1">IFERROR(OFFSET(Camp_List[P_Code],MATCH(Data_Vulnerability_t[[#This Row],[Camp Name]],Camp_List[Camp Name],0)-1,0,1,1),"")</f>
        <v>MMR012CMP019</v>
      </c>
      <c r="E120" s="276" t="s">
        <v>1013</v>
      </c>
      <c r="F120" s="1032"/>
      <c r="G120" s="1032"/>
      <c r="H120" s="130">
        <f>Data_Vulnerability_t[[#This Row],[Male]]+Data_Vulnerability_t[[#This Row],[Female]]</f>
        <v>0</v>
      </c>
      <c r="I120" s="271" t="s">
        <v>273</v>
      </c>
      <c r="J120" s="697"/>
      <c r="K120" s="1029"/>
    </row>
    <row r="121" spans="1:15" x14ac:dyDescent="0.2">
      <c r="A121" s="274" t="s">
        <v>7</v>
      </c>
      <c r="B121" s="290" t="s">
        <v>13</v>
      </c>
      <c r="C121" s="275" t="s">
        <v>41</v>
      </c>
      <c r="D121" s="275" t="str">
        <f ca="1">IFERROR(OFFSET(Camp_List[P_Code],MATCH(Data_Vulnerability_t[[#This Row],[Camp Name]],Camp_List[Camp Name],0)-1,0,1,1),"")</f>
        <v>MMR012CMP019</v>
      </c>
      <c r="E121" s="276" t="s">
        <v>1014</v>
      </c>
      <c r="F121" s="1032"/>
      <c r="G121" s="1032"/>
      <c r="H121" s="130">
        <f>Data_Vulnerability_t[[#This Row],[Male]]+Data_Vulnerability_t[[#This Row],[Female]]</f>
        <v>0</v>
      </c>
      <c r="I121" s="271" t="s">
        <v>273</v>
      </c>
      <c r="J121" s="697"/>
      <c r="K121" s="1029"/>
    </row>
    <row r="122" spans="1:15" x14ac:dyDescent="0.2">
      <c r="A122" s="274" t="s">
        <v>7</v>
      </c>
      <c r="B122" s="290" t="s">
        <v>13</v>
      </c>
      <c r="C122" s="275" t="s">
        <v>41</v>
      </c>
      <c r="D122" s="275" t="str">
        <f ca="1">IFERROR(OFFSET(Camp_List[P_Code],MATCH(Data_Vulnerability_t[[#This Row],[Camp Name]],Camp_List[Camp Name],0)-1,0,1,1),"")</f>
        <v>MMR012CMP019</v>
      </c>
      <c r="E122" s="276" t="s">
        <v>1015</v>
      </c>
      <c r="F122" s="1032"/>
      <c r="G122" s="1032"/>
      <c r="H122" s="130">
        <f>Data_Vulnerability_t[[#This Row],[Male]]+Data_Vulnerability_t[[#This Row],[Female]]</f>
        <v>0</v>
      </c>
      <c r="I122" s="271" t="s">
        <v>273</v>
      </c>
      <c r="J122" s="697"/>
      <c r="K122" s="1029"/>
    </row>
    <row r="123" spans="1:15" x14ac:dyDescent="0.2">
      <c r="A123" s="274" t="s">
        <v>7</v>
      </c>
      <c r="B123" s="290" t="s">
        <v>13</v>
      </c>
      <c r="C123" s="275" t="s">
        <v>41</v>
      </c>
      <c r="D123" s="275" t="str">
        <f ca="1">IFERROR(OFFSET(Camp_List[P_Code],MATCH(Data_Vulnerability_t[[#This Row],[Camp Name]],Camp_List[Camp Name],0)-1,0,1,1),"")</f>
        <v>MMR012CMP019</v>
      </c>
      <c r="E123" s="276" t="s">
        <v>1016</v>
      </c>
      <c r="F123" s="1032"/>
      <c r="G123" s="1032"/>
      <c r="H123" s="130">
        <f>Data_Vulnerability_t[[#This Row],[Male]]+Data_Vulnerability_t[[#This Row],[Female]]</f>
        <v>0</v>
      </c>
      <c r="I123" s="271" t="s">
        <v>273</v>
      </c>
      <c r="J123" s="697"/>
      <c r="K123" s="1029"/>
    </row>
    <row r="124" spans="1:15" x14ac:dyDescent="0.2">
      <c r="A124" s="274" t="s">
        <v>7</v>
      </c>
      <c r="B124" s="290" t="s">
        <v>13</v>
      </c>
      <c r="C124" s="275" t="s">
        <v>41</v>
      </c>
      <c r="D124" s="275" t="str">
        <f ca="1">IFERROR(OFFSET(Camp_List[P_Code],MATCH(Data_Vulnerability_t[[#This Row],[Camp Name]],Camp_List[Camp Name],0)-1,0,1,1),"")</f>
        <v>MMR012CMP019</v>
      </c>
      <c r="E124" s="276" t="s">
        <v>1017</v>
      </c>
      <c r="F124" s="1032"/>
      <c r="G124" s="1032"/>
      <c r="H124" s="130">
        <f>Data_Vulnerability_t[[#This Row],[Male]]+Data_Vulnerability_t[[#This Row],[Female]]</f>
        <v>0</v>
      </c>
      <c r="I124" s="271" t="s">
        <v>273</v>
      </c>
      <c r="J124" s="697"/>
      <c r="K124" s="1029"/>
    </row>
    <row r="125" spans="1:15" x14ac:dyDescent="0.2">
      <c r="A125" s="274" t="s">
        <v>7</v>
      </c>
      <c r="B125" s="290" t="s">
        <v>13</v>
      </c>
      <c r="C125" s="275" t="s">
        <v>41</v>
      </c>
      <c r="D125" s="275" t="str">
        <f ca="1">IFERROR(OFFSET(Camp_List[P_Code],MATCH(Data_Vulnerability_t[[#This Row],[Camp Name]],Camp_List[Camp Name],0)-1,0,1,1),"")</f>
        <v>MMR012CMP019</v>
      </c>
      <c r="E125" s="276" t="s">
        <v>1018</v>
      </c>
      <c r="F125" s="1032"/>
      <c r="G125" s="1032"/>
      <c r="H125" s="130">
        <f>Data_Vulnerability_t[[#This Row],[Male]]+Data_Vulnerability_t[[#This Row],[Female]]</f>
        <v>0</v>
      </c>
      <c r="I125" s="271" t="s">
        <v>273</v>
      </c>
      <c r="J125" s="697"/>
      <c r="K125" s="1029"/>
    </row>
    <row r="126" spans="1:15" x14ac:dyDescent="0.2">
      <c r="A126" s="274" t="s">
        <v>7</v>
      </c>
      <c r="B126" s="290" t="s">
        <v>13</v>
      </c>
      <c r="C126" s="275" t="s">
        <v>41</v>
      </c>
      <c r="D126" s="275" t="str">
        <f ca="1">IFERROR(OFFSET(Camp_List[P_Code],MATCH(Data_Vulnerability_t[[#This Row],[Camp Name]],Camp_List[Camp Name],0)-1,0,1,1),"")</f>
        <v>MMR012CMP019</v>
      </c>
      <c r="E126" s="276" t="s">
        <v>1019</v>
      </c>
      <c r="F126" s="1032"/>
      <c r="G126" s="1032">
        <v>25</v>
      </c>
      <c r="H126" s="130">
        <f>Data_Vulnerability_t[[#This Row],[Male]]+Data_Vulnerability_t[[#This Row],[Female]]</f>
        <v>25</v>
      </c>
      <c r="I126" s="271" t="s">
        <v>273</v>
      </c>
      <c r="J126" s="697">
        <v>43190</v>
      </c>
      <c r="K126" s="1029"/>
    </row>
    <row r="127" spans="1:15" x14ac:dyDescent="0.2">
      <c r="A127" s="274" t="s">
        <v>7</v>
      </c>
      <c r="B127" s="290" t="s">
        <v>13</v>
      </c>
      <c r="C127" s="275" t="s">
        <v>41</v>
      </c>
      <c r="D127" s="323" t="str">
        <f ca="1">IFERROR(OFFSET(Camp_List[P_Code],MATCH(Data_Vulnerability_t[[#This Row],[Camp Name]],Camp_List[Camp Name],0)-1,0,1,1),"")</f>
        <v>MMR012CMP019</v>
      </c>
      <c r="E127" s="276" t="s">
        <v>777</v>
      </c>
      <c r="F127" s="1032"/>
      <c r="G127" s="1032">
        <v>104</v>
      </c>
      <c r="H127" s="130">
        <f>Data_Vulnerability_t[[#This Row],[Male]]+Data_Vulnerability_t[[#This Row],[Female]]</f>
        <v>104</v>
      </c>
      <c r="I127" s="271" t="s">
        <v>273</v>
      </c>
      <c r="J127" s="697">
        <v>43190</v>
      </c>
      <c r="K127" s="1029"/>
    </row>
    <row r="128" spans="1:15" x14ac:dyDescent="0.2">
      <c r="A128" s="274" t="s">
        <v>7</v>
      </c>
      <c r="B128" s="290" t="s">
        <v>817</v>
      </c>
      <c r="C128" s="275" t="s">
        <v>36</v>
      </c>
      <c r="D128" s="323" t="s">
        <v>122</v>
      </c>
      <c r="E128" s="276" t="s">
        <v>1012</v>
      </c>
      <c r="F128" s="1032"/>
      <c r="G128" s="1032"/>
      <c r="H128" s="130">
        <v>9</v>
      </c>
      <c r="I128" s="271" t="s">
        <v>658</v>
      </c>
      <c r="J128" s="697">
        <v>42978</v>
      </c>
      <c r="K128" s="1029"/>
    </row>
    <row r="129" spans="1:11" x14ac:dyDescent="0.2">
      <c r="A129" s="274" t="s">
        <v>7</v>
      </c>
      <c r="B129" s="290" t="s">
        <v>817</v>
      </c>
      <c r="C129" s="275" t="s">
        <v>36</v>
      </c>
      <c r="D129" s="323" t="s">
        <v>122</v>
      </c>
      <c r="E129" s="276" t="s">
        <v>1013</v>
      </c>
      <c r="F129" s="1032"/>
      <c r="G129" s="1032"/>
      <c r="H129" s="130">
        <v>2</v>
      </c>
      <c r="I129" s="271" t="s">
        <v>658</v>
      </c>
      <c r="J129" s="697">
        <v>42978</v>
      </c>
      <c r="K129" s="1029"/>
    </row>
    <row r="130" spans="1:11" x14ac:dyDescent="0.2">
      <c r="A130" s="274" t="s">
        <v>7</v>
      </c>
      <c r="B130" s="290" t="s">
        <v>817</v>
      </c>
      <c r="C130" s="275" t="s">
        <v>36</v>
      </c>
      <c r="D130" s="323" t="s">
        <v>122</v>
      </c>
      <c r="E130" s="276" t="s">
        <v>1018</v>
      </c>
      <c r="F130" s="1032"/>
      <c r="G130" s="1032"/>
      <c r="H130" s="130">
        <v>139</v>
      </c>
      <c r="I130" s="271" t="s">
        <v>658</v>
      </c>
      <c r="J130" s="697">
        <v>42978</v>
      </c>
      <c r="K130" s="1029"/>
    </row>
    <row r="131" spans="1:11" x14ac:dyDescent="0.2">
      <c r="A131" s="274" t="s">
        <v>7</v>
      </c>
      <c r="B131" s="290" t="s">
        <v>817</v>
      </c>
      <c r="C131" s="275" t="s">
        <v>36</v>
      </c>
      <c r="D131" s="323" t="s">
        <v>122</v>
      </c>
      <c r="E131" s="276" t="s">
        <v>1019</v>
      </c>
      <c r="F131" s="1032"/>
      <c r="G131" s="1032"/>
      <c r="H131" s="130">
        <v>40</v>
      </c>
      <c r="I131" s="271" t="s">
        <v>658</v>
      </c>
      <c r="J131" s="697">
        <v>42978</v>
      </c>
      <c r="K131" s="1029"/>
    </row>
    <row r="132" spans="1:11" x14ac:dyDescent="0.2">
      <c r="A132" s="274" t="s">
        <v>7</v>
      </c>
      <c r="B132" s="290" t="s">
        <v>817</v>
      </c>
      <c r="C132" s="275" t="s">
        <v>36</v>
      </c>
      <c r="D132" s="323" t="s">
        <v>122</v>
      </c>
      <c r="E132" s="276" t="s">
        <v>777</v>
      </c>
      <c r="F132" s="1032"/>
      <c r="G132" s="1032"/>
      <c r="H132" s="130">
        <v>95</v>
      </c>
      <c r="I132" s="271" t="s">
        <v>658</v>
      </c>
      <c r="J132" s="697">
        <v>42978</v>
      </c>
      <c r="K132" s="1029"/>
    </row>
    <row r="133" spans="1:11" x14ac:dyDescent="0.2">
      <c r="A133" s="274" t="s">
        <v>7</v>
      </c>
      <c r="B133" s="290" t="s">
        <v>817</v>
      </c>
      <c r="C133" s="275" t="s">
        <v>36</v>
      </c>
      <c r="D133" s="275" t="str">
        <f ca="1">IFERROR(OFFSET(Camp_List[P_Code],MATCH(Data_Vulnerability_t[[#This Row],[Camp Name]],Camp_List[Camp Name],0)-1,0,1,1),"")</f>
        <v>MMR012CMP014</v>
      </c>
      <c r="E133" s="276" t="s">
        <v>1016</v>
      </c>
      <c r="F133" s="1032"/>
      <c r="G133" s="1032"/>
      <c r="H133" s="130">
        <v>0</v>
      </c>
      <c r="I133" s="271" t="s">
        <v>658</v>
      </c>
      <c r="J133" s="697">
        <v>42978</v>
      </c>
      <c r="K133" s="1029"/>
    </row>
    <row r="134" spans="1:11" x14ac:dyDescent="0.2">
      <c r="A134" s="274" t="s">
        <v>7</v>
      </c>
      <c r="B134" s="290" t="s">
        <v>817</v>
      </c>
      <c r="C134" s="275" t="s">
        <v>36</v>
      </c>
      <c r="D134" s="275" t="str">
        <f ca="1">IFERROR(OFFSET(Camp_List[P_Code],MATCH(Data_Vulnerability_t[[#This Row],[Camp Name]],Camp_List[Camp Name],0)-1,0,1,1),"")</f>
        <v>MMR012CMP014</v>
      </c>
      <c r="E134" s="276" t="s">
        <v>1015</v>
      </c>
      <c r="F134" s="1032"/>
      <c r="G134" s="1032"/>
      <c r="H134" s="130">
        <v>0</v>
      </c>
      <c r="I134" s="271" t="s">
        <v>658</v>
      </c>
      <c r="J134" s="697">
        <v>42978</v>
      </c>
      <c r="K134" s="1029"/>
    </row>
    <row r="135" spans="1:11" x14ac:dyDescent="0.2">
      <c r="A135" s="274" t="s">
        <v>7</v>
      </c>
      <c r="B135" s="290" t="s">
        <v>817</v>
      </c>
      <c r="C135" s="275" t="s">
        <v>36</v>
      </c>
      <c r="D135" s="275" t="str">
        <f ca="1">IFERROR(OFFSET(Camp_List[P_Code],MATCH(Data_Vulnerability_t[[#This Row],[Camp Name]],Camp_List[Camp Name],0)-1,0,1,1),"")</f>
        <v>MMR012CMP014</v>
      </c>
      <c r="E135" s="276" t="s">
        <v>1017</v>
      </c>
      <c r="F135" s="1032"/>
      <c r="G135" s="1032"/>
      <c r="H135" s="130">
        <v>2</v>
      </c>
      <c r="I135" s="271" t="s">
        <v>658</v>
      </c>
      <c r="J135" s="697">
        <v>42978</v>
      </c>
      <c r="K135" s="1029"/>
    </row>
    <row r="136" spans="1:11" x14ac:dyDescent="0.2">
      <c r="A136" s="274" t="s">
        <v>7</v>
      </c>
      <c r="B136" s="290" t="s">
        <v>817</v>
      </c>
      <c r="C136" s="275" t="s">
        <v>36</v>
      </c>
      <c r="D136" s="275" t="str">
        <f ca="1">IFERROR(OFFSET(Camp_List[P_Code],MATCH(Data_Vulnerability_t[[#This Row],[Camp Name]],Camp_List[Camp Name],0)-1,0,1,1),"")</f>
        <v>MMR012CMP014</v>
      </c>
      <c r="E136" s="276" t="s">
        <v>1014</v>
      </c>
      <c r="F136" s="1032"/>
      <c r="G136" s="1032"/>
      <c r="H136" s="130">
        <v>85</v>
      </c>
      <c r="I136" s="271" t="s">
        <v>658</v>
      </c>
      <c r="J136" s="697">
        <v>42978</v>
      </c>
      <c r="K136" s="1029"/>
    </row>
    <row r="137" spans="1:11" x14ac:dyDescent="0.2">
      <c r="A137" s="274" t="s">
        <v>7</v>
      </c>
      <c r="B137" s="290" t="s">
        <v>17</v>
      </c>
      <c r="C137" s="275" t="s">
        <v>66</v>
      </c>
      <c r="D137" s="275" t="str">
        <f ca="1">IFERROR(OFFSET(Camp_List[P_Code],MATCH(Data_Vulnerability_t[[#This Row],[Camp Name]],Camp_List[Camp Name],0)-1,0,1,1),"")</f>
        <v>MMR012CMP046</v>
      </c>
      <c r="E137" s="276" t="s">
        <v>1012</v>
      </c>
      <c r="F137" s="1032">
        <v>34</v>
      </c>
      <c r="G137" s="1032">
        <v>32</v>
      </c>
      <c r="H137" s="130">
        <f>Data_Vulnerability_t[[#This Row],[Male]]+Data_Vulnerability_t[[#This Row],[Female]]</f>
        <v>66</v>
      </c>
      <c r="I137" s="271" t="s">
        <v>575</v>
      </c>
      <c r="J137" s="697">
        <v>43190</v>
      </c>
      <c r="K137" s="1029"/>
    </row>
    <row r="138" spans="1:11" x14ac:dyDescent="0.2">
      <c r="A138" s="274" t="s">
        <v>7</v>
      </c>
      <c r="B138" s="290" t="s">
        <v>17</v>
      </c>
      <c r="C138" s="275" t="s">
        <v>66</v>
      </c>
      <c r="D138" s="275" t="str">
        <f ca="1">IFERROR(OFFSET(Camp_List[P_Code],MATCH(Data_Vulnerability_t[[#This Row],[Camp Name]],Camp_List[Camp Name],0)-1,0,1,1),"")</f>
        <v>MMR012CMP046</v>
      </c>
      <c r="E138" s="276" t="s">
        <v>1013</v>
      </c>
      <c r="F138" s="1032">
        <v>29</v>
      </c>
      <c r="G138" s="1032">
        <v>10</v>
      </c>
      <c r="H138" s="130">
        <f>Data_Vulnerability_t[[#This Row],[Male]]+Data_Vulnerability_t[[#This Row],[Female]]</f>
        <v>39</v>
      </c>
      <c r="I138" s="271" t="s">
        <v>575</v>
      </c>
      <c r="J138" s="697">
        <v>43190</v>
      </c>
      <c r="K138" s="1029"/>
    </row>
    <row r="139" spans="1:11" x14ac:dyDescent="0.2">
      <c r="A139" s="274" t="s">
        <v>7</v>
      </c>
      <c r="B139" s="290" t="s">
        <v>17</v>
      </c>
      <c r="C139" s="275" t="s">
        <v>66</v>
      </c>
      <c r="D139" s="275" t="str">
        <f ca="1">IFERROR(OFFSET(Camp_List[P_Code],MATCH(Data_Vulnerability_t[[#This Row],[Camp Name]],Camp_List[Camp Name],0)-1,0,1,1),"")</f>
        <v>MMR012CMP046</v>
      </c>
      <c r="E139" s="276" t="s">
        <v>1014</v>
      </c>
      <c r="F139" s="1032">
        <v>0</v>
      </c>
      <c r="G139" s="1032">
        <v>0</v>
      </c>
      <c r="H139" s="130">
        <f>Data_Vulnerability_t[[#This Row],[Male]]+Data_Vulnerability_t[[#This Row],[Female]]</f>
        <v>0</v>
      </c>
      <c r="I139" s="271" t="s">
        <v>575</v>
      </c>
      <c r="J139" s="697">
        <v>43190</v>
      </c>
      <c r="K139" s="1029"/>
    </row>
    <row r="140" spans="1:11" x14ac:dyDescent="0.2">
      <c r="A140" s="274" t="s">
        <v>7</v>
      </c>
      <c r="B140" s="290" t="s">
        <v>17</v>
      </c>
      <c r="C140" s="275" t="s">
        <v>66</v>
      </c>
      <c r="D140" s="275" t="str">
        <f ca="1">IFERROR(OFFSET(Camp_List[P_Code],MATCH(Data_Vulnerability_t[[#This Row],[Camp Name]],Camp_List[Camp Name],0)-1,0,1,1),"")</f>
        <v>MMR012CMP046</v>
      </c>
      <c r="E140" s="276" t="s">
        <v>1015</v>
      </c>
      <c r="F140" s="1032">
        <v>5</v>
      </c>
      <c r="G140" s="1032">
        <v>5</v>
      </c>
      <c r="H140" s="130">
        <f>Data_Vulnerability_t[[#This Row],[Male]]+Data_Vulnerability_t[[#This Row],[Female]]</f>
        <v>10</v>
      </c>
      <c r="I140" s="271" t="s">
        <v>575</v>
      </c>
      <c r="J140" s="697">
        <v>43190</v>
      </c>
      <c r="K140" s="1029"/>
    </row>
    <row r="141" spans="1:11" x14ac:dyDescent="0.2">
      <c r="A141" s="274" t="s">
        <v>7</v>
      </c>
      <c r="B141" s="290" t="s">
        <v>17</v>
      </c>
      <c r="C141" s="275" t="s">
        <v>66</v>
      </c>
      <c r="D141" s="275" t="str">
        <f ca="1">IFERROR(OFFSET(Camp_List[P_Code],MATCH(Data_Vulnerability_t[[#This Row],[Camp Name]],Camp_List[Camp Name],0)-1,0,1,1),"")</f>
        <v>MMR012CMP046</v>
      </c>
      <c r="E141" s="276" t="s">
        <v>1016</v>
      </c>
      <c r="F141" s="1032">
        <v>6</v>
      </c>
      <c r="G141" s="1032">
        <v>7</v>
      </c>
      <c r="H141" s="130">
        <f>Data_Vulnerability_t[[#This Row],[Male]]+Data_Vulnerability_t[[#This Row],[Female]]</f>
        <v>13</v>
      </c>
      <c r="I141" s="271" t="s">
        <v>575</v>
      </c>
      <c r="J141" s="697">
        <v>43190</v>
      </c>
      <c r="K141" s="1029"/>
    </row>
    <row r="142" spans="1:11" x14ac:dyDescent="0.2">
      <c r="A142" s="274" t="s">
        <v>7</v>
      </c>
      <c r="B142" s="290" t="s">
        <v>17</v>
      </c>
      <c r="C142" s="275" t="s">
        <v>66</v>
      </c>
      <c r="D142" s="275" t="str">
        <f ca="1">IFERROR(OFFSET(Camp_List[P_Code],MATCH(Data_Vulnerability_t[[#This Row],[Camp Name]],Camp_List[Camp Name],0)-1,0,1,1),"")</f>
        <v>MMR012CMP046</v>
      </c>
      <c r="E142" s="276" t="s">
        <v>1017</v>
      </c>
      <c r="F142" s="1032">
        <v>54</v>
      </c>
      <c r="G142" s="1032">
        <v>135</v>
      </c>
      <c r="H142" s="130">
        <f>Data_Vulnerability_t[[#This Row],[Male]]+Data_Vulnerability_t[[#This Row],[Female]]</f>
        <v>189</v>
      </c>
      <c r="I142" s="271" t="s">
        <v>575</v>
      </c>
      <c r="J142" s="697">
        <v>43190</v>
      </c>
      <c r="K142" s="1029"/>
    </row>
    <row r="143" spans="1:11" x14ac:dyDescent="0.2">
      <c r="A143" s="394" t="s">
        <v>7</v>
      </c>
      <c r="B143" s="398" t="s">
        <v>17</v>
      </c>
      <c r="C143" s="130" t="s">
        <v>66</v>
      </c>
      <c r="D143" s="323" t="str">
        <f ca="1">IFERROR(OFFSET(Camp_List[P_Code],MATCH(Data_Vulnerability_t[[#This Row],[Camp Name]],Camp_List[Camp Name],0)-1,0,1,1),"")</f>
        <v>MMR012CMP046</v>
      </c>
      <c r="E143" s="396" t="s">
        <v>1018</v>
      </c>
      <c r="F143" s="1032">
        <v>15</v>
      </c>
      <c r="G143" s="1032">
        <v>25</v>
      </c>
      <c r="H143" s="130">
        <f>Data_Vulnerability_t[[#This Row],[Male]]+Data_Vulnerability_t[[#This Row],[Female]]</f>
        <v>40</v>
      </c>
      <c r="I143" s="395" t="s">
        <v>575</v>
      </c>
      <c r="J143" s="697">
        <v>43190</v>
      </c>
      <c r="K143" s="1029"/>
    </row>
    <row r="144" spans="1:11" x14ac:dyDescent="0.2">
      <c r="A144" s="394" t="s">
        <v>7</v>
      </c>
      <c r="B144" s="398" t="s">
        <v>17</v>
      </c>
      <c r="C144" s="130" t="s">
        <v>66</v>
      </c>
      <c r="D144" s="323" t="str">
        <f ca="1">IFERROR(OFFSET(Camp_List[P_Code],MATCH(Data_Vulnerability_t[[#This Row],[Camp Name]],Camp_List[Camp Name],0)-1,0,1,1),"")</f>
        <v>MMR012CMP046</v>
      </c>
      <c r="E144" s="396" t="s">
        <v>1019</v>
      </c>
      <c r="F144" s="1032"/>
      <c r="G144" s="1032">
        <v>130</v>
      </c>
      <c r="H144" s="130">
        <f>Data_Vulnerability_t[[#This Row],[Male]]+Data_Vulnerability_t[[#This Row],[Female]]</f>
        <v>130</v>
      </c>
      <c r="I144" s="395" t="s">
        <v>575</v>
      </c>
      <c r="J144" s="697">
        <v>43190</v>
      </c>
      <c r="K144" s="1029"/>
    </row>
    <row r="145" spans="1:11" x14ac:dyDescent="0.2">
      <c r="A145" s="394" t="s">
        <v>7</v>
      </c>
      <c r="B145" s="398" t="s">
        <v>17</v>
      </c>
      <c r="C145" s="130" t="s">
        <v>66</v>
      </c>
      <c r="D145" s="323" t="str">
        <f ca="1">IFERROR(OFFSET(Camp_List[P_Code],MATCH(Data_Vulnerability_t[[#This Row],[Camp Name]],Camp_List[Camp Name],0)-1,0,1,1),"")</f>
        <v>MMR012CMP046</v>
      </c>
      <c r="E145" s="396" t="s">
        <v>777</v>
      </c>
      <c r="F145" s="1032"/>
      <c r="G145" s="1032">
        <v>386</v>
      </c>
      <c r="H145" s="130">
        <f>Data_Vulnerability_t[[#This Row],[Male]]+Data_Vulnerability_t[[#This Row],[Female]]</f>
        <v>386</v>
      </c>
      <c r="I145" s="395" t="s">
        <v>575</v>
      </c>
      <c r="J145" s="697">
        <v>43190</v>
      </c>
      <c r="K145" s="1029"/>
    </row>
    <row r="146" spans="1:11" x14ac:dyDescent="0.2">
      <c r="A146" s="394" t="s">
        <v>7</v>
      </c>
      <c r="B146" s="398" t="s">
        <v>13</v>
      </c>
      <c r="C146" s="130" t="s">
        <v>990</v>
      </c>
      <c r="D146" s="323" t="str">
        <f ca="1">IFERROR(OFFSET(Camp_List[P_Code],MATCH(Data_Vulnerability_t[[#This Row],[Camp Name]],Camp_List[Camp Name],0)-1,0,1,1),"")</f>
        <v>MMR012CMP017</v>
      </c>
      <c r="E146" s="396" t="s">
        <v>1012</v>
      </c>
      <c r="F146" s="1032">
        <v>26</v>
      </c>
      <c r="G146" s="1032">
        <v>12</v>
      </c>
      <c r="H146" s="130">
        <f>Data_Vulnerability_t[[#This Row],[Male]]+Data_Vulnerability_t[[#This Row],[Female]]</f>
        <v>38</v>
      </c>
      <c r="I146" s="395" t="s">
        <v>575</v>
      </c>
      <c r="J146" s="697">
        <v>43190</v>
      </c>
      <c r="K146" s="1029"/>
    </row>
    <row r="147" spans="1:11" x14ac:dyDescent="0.2">
      <c r="A147" s="394" t="s">
        <v>7</v>
      </c>
      <c r="B147" s="398" t="s">
        <v>13</v>
      </c>
      <c r="C147" s="130" t="s">
        <v>990</v>
      </c>
      <c r="D147" s="323" t="str">
        <f ca="1">IFERROR(OFFSET(Camp_List[P_Code],MATCH(Data_Vulnerability_t[[#This Row],[Camp Name]],Camp_List[Camp Name],0)-1,0,1,1),"")</f>
        <v>MMR012CMP017</v>
      </c>
      <c r="E147" s="396" t="s">
        <v>1013</v>
      </c>
      <c r="F147" s="1032">
        <v>5</v>
      </c>
      <c r="G147" s="1032">
        <v>8</v>
      </c>
      <c r="H147" s="130">
        <f>Data_Vulnerability_t[[#This Row],[Male]]+Data_Vulnerability_t[[#This Row],[Female]]</f>
        <v>13</v>
      </c>
      <c r="I147" s="395" t="s">
        <v>575</v>
      </c>
      <c r="J147" s="697">
        <v>43190</v>
      </c>
      <c r="K147" s="1029"/>
    </row>
    <row r="148" spans="1:11" x14ac:dyDescent="0.2">
      <c r="A148" s="394" t="s">
        <v>7</v>
      </c>
      <c r="B148" s="398" t="s">
        <v>13</v>
      </c>
      <c r="C148" s="130" t="s">
        <v>990</v>
      </c>
      <c r="D148" s="323" t="str">
        <f ca="1">IFERROR(OFFSET(Camp_List[P_Code],MATCH(Data_Vulnerability_t[[#This Row],[Camp Name]],Camp_List[Camp Name],0)-1,0,1,1),"")</f>
        <v>MMR012CMP017</v>
      </c>
      <c r="E148" s="396" t="s">
        <v>1014</v>
      </c>
      <c r="F148" s="1032">
        <v>0</v>
      </c>
      <c r="G148" s="1032">
        <v>0</v>
      </c>
      <c r="H148" s="130">
        <f>Data_Vulnerability_t[[#This Row],[Male]]+Data_Vulnerability_t[[#This Row],[Female]]</f>
        <v>0</v>
      </c>
      <c r="I148" s="395" t="s">
        <v>575</v>
      </c>
      <c r="J148" s="697">
        <v>43190</v>
      </c>
      <c r="K148" s="1029"/>
    </row>
    <row r="149" spans="1:11" x14ac:dyDescent="0.2">
      <c r="A149" s="394" t="s">
        <v>7</v>
      </c>
      <c r="B149" s="398" t="s">
        <v>13</v>
      </c>
      <c r="C149" s="130" t="s">
        <v>990</v>
      </c>
      <c r="D149" s="323" t="str">
        <f ca="1">IFERROR(OFFSET(Camp_List[P_Code],MATCH(Data_Vulnerability_t[[#This Row],[Camp Name]],Camp_List[Camp Name],0)-1,0,1,1),"")</f>
        <v>MMR012CMP017</v>
      </c>
      <c r="E149" s="396" t="s">
        <v>1015</v>
      </c>
      <c r="F149" s="1032">
        <v>7</v>
      </c>
      <c r="G149" s="1032">
        <v>2</v>
      </c>
      <c r="H149" s="130">
        <f>Data_Vulnerability_t[[#This Row],[Male]]+Data_Vulnerability_t[[#This Row],[Female]]</f>
        <v>9</v>
      </c>
      <c r="I149" s="395" t="s">
        <v>575</v>
      </c>
      <c r="J149" s="697">
        <v>43190</v>
      </c>
      <c r="K149" s="1029"/>
    </row>
    <row r="150" spans="1:11" x14ac:dyDescent="0.2">
      <c r="A150" s="394" t="s">
        <v>7</v>
      </c>
      <c r="B150" s="398" t="s">
        <v>13</v>
      </c>
      <c r="C150" s="130" t="s">
        <v>990</v>
      </c>
      <c r="D150" s="323" t="str">
        <f ca="1">IFERROR(OFFSET(Camp_List[P_Code],MATCH(Data_Vulnerability_t[[#This Row],[Camp Name]],Camp_List[Camp Name],0)-1,0,1,1),"")</f>
        <v>MMR012CMP017</v>
      </c>
      <c r="E150" s="396" t="s">
        <v>1016</v>
      </c>
      <c r="F150" s="1032">
        <v>8</v>
      </c>
      <c r="G150" s="1032">
        <v>0</v>
      </c>
      <c r="H150" s="130">
        <f>Data_Vulnerability_t[[#This Row],[Male]]+Data_Vulnerability_t[[#This Row],[Female]]</f>
        <v>8</v>
      </c>
      <c r="I150" s="395" t="s">
        <v>575</v>
      </c>
      <c r="J150" s="697">
        <v>43190</v>
      </c>
      <c r="K150" s="1029"/>
    </row>
    <row r="151" spans="1:11" x14ac:dyDescent="0.2">
      <c r="A151" s="394" t="s">
        <v>7</v>
      </c>
      <c r="B151" s="398" t="s">
        <v>13</v>
      </c>
      <c r="C151" s="130" t="s">
        <v>990</v>
      </c>
      <c r="D151" s="323" t="str">
        <f ca="1">IFERROR(OFFSET(Camp_List[P_Code],MATCH(Data_Vulnerability_t[[#This Row],[Camp Name]],Camp_List[Camp Name],0)-1,0,1,1),"")</f>
        <v>MMR012CMP017</v>
      </c>
      <c r="E151" s="396" t="s">
        <v>1017</v>
      </c>
      <c r="F151" s="1032">
        <v>59</v>
      </c>
      <c r="G151" s="1032">
        <v>5</v>
      </c>
      <c r="H151" s="130">
        <f>Data_Vulnerability_t[[#This Row],[Male]]+Data_Vulnerability_t[[#This Row],[Female]]</f>
        <v>64</v>
      </c>
      <c r="I151" s="395" t="s">
        <v>575</v>
      </c>
      <c r="J151" s="697">
        <v>43190</v>
      </c>
      <c r="K151" s="1029"/>
    </row>
    <row r="152" spans="1:11" x14ac:dyDescent="0.2">
      <c r="A152" s="394" t="s">
        <v>7</v>
      </c>
      <c r="B152" s="398" t="s">
        <v>13</v>
      </c>
      <c r="C152" s="130" t="s">
        <v>990</v>
      </c>
      <c r="D152" s="323" t="str">
        <f ca="1">IFERROR(OFFSET(Camp_List[P_Code],MATCH(Data_Vulnerability_t[[#This Row],[Camp Name]],Camp_List[Camp Name],0)-1,0,1,1),"")</f>
        <v>MMR012CMP017</v>
      </c>
      <c r="E152" s="396" t="s">
        <v>1018</v>
      </c>
      <c r="F152" s="1032">
        <v>12</v>
      </c>
      <c r="G152" s="1032">
        <v>162</v>
      </c>
      <c r="H152" s="130">
        <f>Data_Vulnerability_t[[#This Row],[Male]]+Data_Vulnerability_t[[#This Row],[Female]]</f>
        <v>174</v>
      </c>
      <c r="I152" s="395" t="s">
        <v>575</v>
      </c>
      <c r="J152" s="697">
        <v>43190</v>
      </c>
      <c r="K152" s="1029"/>
    </row>
    <row r="153" spans="1:11" x14ac:dyDescent="0.2">
      <c r="A153" s="394" t="s">
        <v>7</v>
      </c>
      <c r="B153" s="398" t="s">
        <v>13</v>
      </c>
      <c r="C153" s="130" t="s">
        <v>990</v>
      </c>
      <c r="D153" s="323" t="str">
        <f ca="1">IFERROR(OFFSET(Camp_List[P_Code],MATCH(Data_Vulnerability_t[[#This Row],[Camp Name]],Camp_List[Camp Name],0)-1,0,1,1),"")</f>
        <v>MMR012CMP017</v>
      </c>
      <c r="E153" s="400" t="s">
        <v>1019</v>
      </c>
      <c r="F153" s="1033"/>
      <c r="G153" s="1033">
        <v>57</v>
      </c>
      <c r="H153" s="130">
        <f>Data_Vulnerability_t[[#This Row],[Male]]+Data_Vulnerability_t[[#This Row],[Female]]</f>
        <v>57</v>
      </c>
      <c r="I153" s="395" t="s">
        <v>575</v>
      </c>
      <c r="J153" s="697">
        <v>43190</v>
      </c>
      <c r="K153" s="1029"/>
    </row>
    <row r="154" spans="1:11" x14ac:dyDescent="0.2">
      <c r="A154" s="394" t="s">
        <v>7</v>
      </c>
      <c r="B154" s="398" t="s">
        <v>13</v>
      </c>
      <c r="C154" s="130" t="s">
        <v>990</v>
      </c>
      <c r="D154" s="323" t="str">
        <f ca="1">IFERROR(OFFSET(Camp_List[P_Code],MATCH(Data_Vulnerability_t[[#This Row],[Camp Name]],Camp_List[Camp Name],0)-1,0,1,1),"")</f>
        <v>MMR012CMP017</v>
      </c>
      <c r="E154" s="400" t="s">
        <v>777</v>
      </c>
      <c r="F154" s="1033"/>
      <c r="G154" s="1033">
        <v>303</v>
      </c>
      <c r="H154" s="130">
        <f>Data_Vulnerability_t[[#This Row],[Male]]+Data_Vulnerability_t[[#This Row],[Female]]</f>
        <v>303</v>
      </c>
      <c r="I154" s="395" t="s">
        <v>575</v>
      </c>
      <c r="J154" s="697">
        <v>43190</v>
      </c>
      <c r="K154" s="1029"/>
    </row>
    <row r="155" spans="1:11" x14ac:dyDescent="0.2">
      <c r="A155" s="394" t="s">
        <v>7</v>
      </c>
      <c r="B155" s="398" t="s">
        <v>17</v>
      </c>
      <c r="C155" s="130" t="s">
        <v>68</v>
      </c>
      <c r="D155" s="323" t="str">
        <f ca="1">IFERROR(OFFSET(Camp_List[P_Code],MATCH(Data_Vulnerability_t[[#This Row],[Camp Name]],Camp_List[Camp Name],0)-1,0,1,1),"")</f>
        <v>MMR012CMP048</v>
      </c>
      <c r="E155" s="396" t="s">
        <v>1012</v>
      </c>
      <c r="F155" s="1032">
        <v>31</v>
      </c>
      <c r="G155" s="1032">
        <v>19</v>
      </c>
      <c r="H155" s="130">
        <f>Data_Vulnerability_t[[#This Row],[Male]]+Data_Vulnerability_t[[#This Row],[Female]]</f>
        <v>50</v>
      </c>
      <c r="I155" s="395" t="s">
        <v>913</v>
      </c>
      <c r="J155" s="697">
        <v>43159</v>
      </c>
      <c r="K155" s="1029"/>
    </row>
    <row r="156" spans="1:11" ht="12" customHeight="1" x14ac:dyDescent="0.2">
      <c r="A156" s="394" t="s">
        <v>7</v>
      </c>
      <c r="B156" s="398" t="s">
        <v>17</v>
      </c>
      <c r="C156" s="130" t="s">
        <v>68</v>
      </c>
      <c r="D156" s="323" t="str">
        <f ca="1">IFERROR(OFFSET(Camp_List[P_Code],MATCH(Data_Vulnerability_t[[#This Row],[Camp Name]],Camp_List[Camp Name],0)-1,0,1,1),"")</f>
        <v>MMR012CMP048</v>
      </c>
      <c r="E156" s="396" t="s">
        <v>1013</v>
      </c>
      <c r="F156" s="1032">
        <v>17</v>
      </c>
      <c r="G156" s="1032">
        <v>9</v>
      </c>
      <c r="H156" s="130">
        <f>Data_Vulnerability_t[[#This Row],[Male]]+Data_Vulnerability_t[[#This Row],[Female]]</f>
        <v>26</v>
      </c>
      <c r="I156" s="395" t="s">
        <v>913</v>
      </c>
      <c r="J156" s="697">
        <v>43159</v>
      </c>
      <c r="K156" s="1029"/>
    </row>
    <row r="157" spans="1:11" x14ac:dyDescent="0.2">
      <c r="A157" s="394" t="s">
        <v>7</v>
      </c>
      <c r="B157" s="398" t="s">
        <v>17</v>
      </c>
      <c r="C157" s="130" t="s">
        <v>68</v>
      </c>
      <c r="D157" s="323" t="str">
        <f ca="1">IFERROR(OFFSET(Camp_List[P_Code],MATCH(Data_Vulnerability_t[[#This Row],[Camp Name]],Camp_List[Camp Name],0)-1,0,1,1),"")</f>
        <v>MMR012CMP048</v>
      </c>
      <c r="E157" s="396" t="s">
        <v>1014</v>
      </c>
      <c r="F157" s="1032">
        <v>52</v>
      </c>
      <c r="G157" s="1032">
        <v>32</v>
      </c>
      <c r="H157" s="130">
        <f>Data_Vulnerability_t[[#This Row],[Male]]+Data_Vulnerability_t[[#This Row],[Female]]</f>
        <v>84</v>
      </c>
      <c r="I157" s="395" t="s">
        <v>913</v>
      </c>
      <c r="J157" s="697">
        <v>43159</v>
      </c>
      <c r="K157" s="1029"/>
    </row>
    <row r="158" spans="1:11" x14ac:dyDescent="0.2">
      <c r="A158" s="394" t="s">
        <v>7</v>
      </c>
      <c r="B158" s="398" t="s">
        <v>17</v>
      </c>
      <c r="C158" s="130" t="s">
        <v>68</v>
      </c>
      <c r="D158" s="323" t="str">
        <f ca="1">IFERROR(OFFSET(Camp_List[P_Code],MATCH(Data_Vulnerability_t[[#This Row],[Camp Name]],Camp_List[Camp Name],0)-1,0,1,1),"")</f>
        <v>MMR012CMP048</v>
      </c>
      <c r="E158" s="396" t="s">
        <v>1015</v>
      </c>
      <c r="F158" s="1032">
        <v>2</v>
      </c>
      <c r="G158" s="1032">
        <v>7</v>
      </c>
      <c r="H158" s="130">
        <f>Data_Vulnerability_t[[#This Row],[Male]]+Data_Vulnerability_t[[#This Row],[Female]]</f>
        <v>9</v>
      </c>
      <c r="I158" s="395" t="s">
        <v>913</v>
      </c>
      <c r="J158" s="697">
        <v>43159</v>
      </c>
      <c r="K158" s="1029"/>
    </row>
    <row r="159" spans="1:11" x14ac:dyDescent="0.2">
      <c r="A159" s="394" t="s">
        <v>7</v>
      </c>
      <c r="B159" s="398" t="s">
        <v>17</v>
      </c>
      <c r="C159" s="130" t="s">
        <v>68</v>
      </c>
      <c r="D159" s="323" t="str">
        <f ca="1">IFERROR(OFFSET(Camp_List[P_Code],MATCH(Data_Vulnerability_t[[#This Row],[Camp Name]],Camp_List[Camp Name],0)-1,0,1,1),"")</f>
        <v>MMR012CMP048</v>
      </c>
      <c r="E159" s="396" t="s">
        <v>1016</v>
      </c>
      <c r="F159" s="1032">
        <v>67</v>
      </c>
      <c r="G159" s="1032">
        <v>55</v>
      </c>
      <c r="H159" s="130">
        <f>Data_Vulnerability_t[[#This Row],[Male]]+Data_Vulnerability_t[[#This Row],[Female]]</f>
        <v>122</v>
      </c>
      <c r="I159" s="395" t="s">
        <v>913</v>
      </c>
      <c r="J159" s="697">
        <v>43159</v>
      </c>
      <c r="K159" s="1029"/>
    </row>
    <row r="160" spans="1:11" x14ac:dyDescent="0.2">
      <c r="A160" s="394" t="s">
        <v>7</v>
      </c>
      <c r="B160" s="398" t="s">
        <v>17</v>
      </c>
      <c r="C160" s="130" t="s">
        <v>68</v>
      </c>
      <c r="D160" s="323" t="str">
        <f ca="1">IFERROR(OFFSET(Camp_List[P_Code],MATCH(Data_Vulnerability_t[[#This Row],[Camp Name]],Camp_List[Camp Name],0)-1,0,1,1),"")</f>
        <v>MMR012CMP048</v>
      </c>
      <c r="E160" s="396" t="s">
        <v>1017</v>
      </c>
      <c r="F160" s="1032">
        <v>46</v>
      </c>
      <c r="G160" s="1032">
        <v>58</v>
      </c>
      <c r="H160" s="130">
        <f>Data_Vulnerability_t[[#This Row],[Male]]+Data_Vulnerability_t[[#This Row],[Female]]</f>
        <v>104</v>
      </c>
      <c r="I160" s="395" t="s">
        <v>913</v>
      </c>
      <c r="J160" s="697">
        <v>43159</v>
      </c>
      <c r="K160" s="1029"/>
    </row>
    <row r="161" spans="1:11" x14ac:dyDescent="0.2">
      <c r="A161" s="394" t="s">
        <v>7</v>
      </c>
      <c r="B161" s="398" t="s">
        <v>17</v>
      </c>
      <c r="C161" s="130" t="s">
        <v>68</v>
      </c>
      <c r="D161" s="323" t="str">
        <f ca="1">IFERROR(OFFSET(Camp_List[P_Code],MATCH(Data_Vulnerability_t[[#This Row],[Camp Name]],Camp_List[Camp Name],0)-1,0,1,1),"")</f>
        <v>MMR012CMP048</v>
      </c>
      <c r="E161" s="396" t="s">
        <v>1018</v>
      </c>
      <c r="F161" s="1032">
        <v>23</v>
      </c>
      <c r="G161" s="1032">
        <v>95</v>
      </c>
      <c r="H161" s="130">
        <f>Data_Vulnerability_t[[#This Row],[Male]]+Data_Vulnerability_t[[#This Row],[Female]]</f>
        <v>118</v>
      </c>
      <c r="I161" s="395" t="s">
        <v>913</v>
      </c>
      <c r="J161" s="697">
        <v>43159</v>
      </c>
      <c r="K161" s="1029"/>
    </row>
    <row r="162" spans="1:11" x14ac:dyDescent="0.2">
      <c r="A162" s="501" t="s">
        <v>7</v>
      </c>
      <c r="B162" s="502" t="s">
        <v>17</v>
      </c>
      <c r="C162" s="270" t="s">
        <v>68</v>
      </c>
      <c r="D162" s="399" t="str">
        <f ca="1">IFERROR(OFFSET(Camp_List[P_Code],MATCH(Data_Vulnerability_t[[#This Row],[Camp Name]],Camp_List[Camp Name],0)-1,0,1,1),"")</f>
        <v>MMR012CMP048</v>
      </c>
      <c r="E162" s="400" t="s">
        <v>1019</v>
      </c>
      <c r="F162" s="1033"/>
      <c r="G162" s="1033">
        <v>89</v>
      </c>
      <c r="H162" s="130">
        <f>Data_Vulnerability_t[[#This Row],[Male]]+Data_Vulnerability_t[[#This Row],[Female]]</f>
        <v>89</v>
      </c>
      <c r="I162" s="503" t="s">
        <v>913</v>
      </c>
      <c r="J162" s="697">
        <v>43159</v>
      </c>
      <c r="K162" s="1029"/>
    </row>
    <row r="163" spans="1:11" x14ac:dyDescent="0.2">
      <c r="A163" s="501" t="s">
        <v>7</v>
      </c>
      <c r="B163" s="502" t="s">
        <v>17</v>
      </c>
      <c r="C163" s="270" t="s">
        <v>68</v>
      </c>
      <c r="D163" s="399" t="str">
        <f ca="1">IFERROR(OFFSET(Camp_List[P_Code],MATCH(Data_Vulnerability_t[[#This Row],[Camp Name]],Camp_List[Camp Name],0)-1,0,1,1),"")</f>
        <v>MMR012CMP048</v>
      </c>
      <c r="E163" s="400" t="s">
        <v>777</v>
      </c>
      <c r="F163" s="1033"/>
      <c r="G163" s="1033">
        <v>328</v>
      </c>
      <c r="H163" s="130">
        <f>Data_Vulnerability_t[[#This Row],[Male]]+Data_Vulnerability_t[[#This Row],[Female]]</f>
        <v>328</v>
      </c>
      <c r="I163" s="503" t="s">
        <v>913</v>
      </c>
      <c r="J163" s="697">
        <v>43159</v>
      </c>
      <c r="K163" s="1029"/>
    </row>
    <row r="167" spans="1:11" x14ac:dyDescent="0.2">
      <c r="E167" s="696"/>
      <c r="F167" s="696"/>
      <c r="G167" s="696"/>
      <c r="H167" s="696"/>
    </row>
    <row r="168" spans="1:11" x14ac:dyDescent="0.2">
      <c r="E168" s="696"/>
      <c r="F168" s="696"/>
      <c r="G168" s="696"/>
      <c r="H168" s="696"/>
    </row>
    <row r="169" spans="1:11" ht="16.5" customHeight="1" x14ac:dyDescent="0.2">
      <c r="C169" s="248"/>
      <c r="D169" s="746"/>
      <c r="E169" s="696"/>
      <c r="F169" s="696"/>
      <c r="G169" s="696"/>
      <c r="H169" s="696"/>
      <c r="J169" s="129"/>
      <c r="K169" s="129"/>
    </row>
    <row r="170" spans="1:11" ht="28.5" customHeight="1" x14ac:dyDescent="0.2">
      <c r="C170" s="248"/>
      <c r="D170" s="746"/>
      <c r="E170" s="696"/>
      <c r="F170" s="696"/>
      <c r="G170" s="696"/>
      <c r="H170" s="696"/>
    </row>
    <row r="171" spans="1:11" ht="16.5" customHeight="1" x14ac:dyDescent="0.2">
      <c r="C171" s="248"/>
      <c r="D171" s="746"/>
      <c r="E171" s="696"/>
      <c r="F171" s="696"/>
      <c r="G171" s="696"/>
      <c r="H171" s="696"/>
    </row>
    <row r="172" spans="1:11" ht="16.5" customHeight="1" x14ac:dyDescent="0.2">
      <c r="C172" s="248"/>
      <c r="D172" s="746"/>
      <c r="E172" s="696"/>
      <c r="F172" s="696"/>
      <c r="G172" s="696"/>
      <c r="H172" s="696"/>
    </row>
    <row r="173" spans="1:11" ht="16.5" customHeight="1" x14ac:dyDescent="0.2">
      <c r="C173" s="248"/>
      <c r="D173" s="746"/>
      <c r="E173" s="696"/>
      <c r="F173" s="696"/>
      <c r="G173" s="696"/>
      <c r="H173" s="696"/>
    </row>
    <row r="174" spans="1:11" ht="16.5" customHeight="1" x14ac:dyDescent="0.2">
      <c r="C174" s="248"/>
      <c r="D174" s="746"/>
      <c r="E174" s="696"/>
      <c r="F174" s="696"/>
      <c r="G174" s="696"/>
      <c r="H174" s="696"/>
    </row>
    <row r="175" spans="1:11" ht="16.5" customHeight="1" x14ac:dyDescent="0.2">
      <c r="C175" s="248"/>
      <c r="D175" s="746"/>
      <c r="E175" s="696"/>
      <c r="F175" s="696"/>
      <c r="G175" s="696"/>
      <c r="H175" s="696"/>
    </row>
    <row r="176" spans="1:11" ht="16.5" customHeight="1" x14ac:dyDescent="0.2">
      <c r="C176" s="248"/>
      <c r="D176" s="746"/>
    </row>
    <row r="177" spans="3:4" ht="16.5" customHeight="1" x14ac:dyDescent="0.2">
      <c r="C177" s="248"/>
      <c r="D177" s="746"/>
    </row>
    <row r="178" spans="3:4" ht="16.5" customHeight="1" x14ac:dyDescent="0.2">
      <c r="C178" s="248"/>
      <c r="D178" s="746"/>
    </row>
    <row r="179" spans="3:4" ht="16.5" customHeight="1" x14ac:dyDescent="0.2">
      <c r="C179" s="248"/>
      <c r="D179" s="746"/>
    </row>
    <row r="180" spans="3:4" ht="16.5" customHeight="1" x14ac:dyDescent="0.2">
      <c r="C180" s="248"/>
      <c r="D180" s="746"/>
    </row>
    <row r="181" spans="3:4" ht="16.5" customHeight="1" x14ac:dyDescent="0.2">
      <c r="C181" s="248"/>
      <c r="D181" s="746"/>
    </row>
    <row r="182" spans="3:4" ht="16.5" customHeight="1" x14ac:dyDescent="0.2">
      <c r="C182" s="248"/>
      <c r="D182" s="746"/>
    </row>
    <row r="183" spans="3:4" ht="16.5" customHeight="1" x14ac:dyDescent="0.2">
      <c r="C183" s="248"/>
      <c r="D183" s="746"/>
    </row>
    <row r="184" spans="3:4" ht="16.5" customHeight="1" x14ac:dyDescent="0.2">
      <c r="C184" s="248"/>
      <c r="D184" s="746"/>
    </row>
    <row r="185" spans="3:4" ht="15" x14ac:dyDescent="0.2">
      <c r="C185" s="248"/>
      <c r="D185" s="746"/>
    </row>
    <row r="186" spans="3:4" ht="15" x14ac:dyDescent="0.2">
      <c r="C186" s="248"/>
      <c r="D186" s="746"/>
    </row>
  </sheetData>
  <dataValidations count="4">
    <dataValidation type="list" allowBlank="1" showInputMessage="1" showErrorMessage="1" sqref="A2:A163">
      <formula1>State</formula1>
    </dataValidation>
    <dataValidation type="list" showInputMessage="1" showErrorMessage="1" sqref="B2:B163">
      <formula1>INDIRECT(A2)</formula1>
    </dataValidation>
    <dataValidation type="list" errorStyle="warning" showInputMessage="1" showErrorMessage="1" sqref="C2:C163">
      <formula1>OFFSET(TCL_T1,MATCH(B2,TCL_T,0)-1,1,COUNTIF(TCL_T,B2),1)</formula1>
    </dataValidation>
    <dataValidation type="list" allowBlank="1" showInputMessage="1" showErrorMessage="1" sqref="E2:E163">
      <formula1>Vulnerability</formula1>
    </dataValidation>
  </dataValidations>
  <pageMargins left="0.7" right="0.7" top="0.75" bottom="0.75" header="0.3" footer="0.3"/>
  <pageSetup paperSize="9" orientation="portrait" r:id="rId2"/>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pageSetUpPr fitToPage="1"/>
  </sheetPr>
  <dimension ref="A1:BJ58"/>
  <sheetViews>
    <sheetView zoomScale="83" zoomScaleNormal="83" workbookViewId="0">
      <selection activeCell="W46" sqref="W46"/>
    </sheetView>
  </sheetViews>
  <sheetFormatPr defaultRowHeight="15" x14ac:dyDescent="0.25"/>
  <cols>
    <col min="1" max="1" width="1.7109375" style="78" customWidth="1"/>
  </cols>
  <sheetData>
    <row r="1" spans="2:62" s="78" customFormat="1" ht="8.25" customHeight="1" thickBot="1" x14ac:dyDescent="0.3"/>
    <row r="2" spans="2:62" s="1" customFormat="1" ht="36.75" customHeight="1" x14ac:dyDescent="0.25">
      <c r="B2" s="346"/>
      <c r="C2" s="347"/>
      <c r="D2" s="347"/>
      <c r="E2" s="347"/>
      <c r="F2" s="347"/>
      <c r="G2" s="347"/>
      <c r="H2" s="347"/>
      <c r="I2" s="347"/>
      <c r="J2" s="347"/>
      <c r="K2" s="347"/>
      <c r="L2" s="347"/>
      <c r="M2" s="347"/>
      <c r="N2" s="347"/>
      <c r="O2" s="347"/>
      <c r="P2" s="354"/>
      <c r="Q2" s="78"/>
      <c r="R2" s="78"/>
      <c r="S2" s="78"/>
      <c r="T2" s="78"/>
      <c r="U2" s="78"/>
      <c r="V2" s="78"/>
      <c r="W2" s="78"/>
      <c r="X2" s="78"/>
      <c r="Y2" s="78"/>
      <c r="Z2" s="78"/>
      <c r="BI2" s="57"/>
      <c r="BJ2" s="57"/>
    </row>
    <row r="3" spans="2:62" s="1" customFormat="1" ht="29.25" customHeight="1" x14ac:dyDescent="0.25">
      <c r="B3" s="348" t="s">
        <v>735</v>
      </c>
      <c r="C3" s="144"/>
      <c r="D3" s="144"/>
      <c r="E3" s="56"/>
      <c r="F3" s="56"/>
      <c r="G3" s="56"/>
      <c r="H3" s="56"/>
      <c r="I3" s="56"/>
      <c r="J3" s="56"/>
      <c r="K3" s="56"/>
      <c r="L3" s="56"/>
      <c r="M3" s="56"/>
      <c r="N3" s="56"/>
      <c r="O3" s="56"/>
      <c r="P3" s="355"/>
      <c r="Q3" s="78"/>
      <c r="R3" s="78"/>
      <c r="S3" s="78"/>
      <c r="T3" s="78"/>
      <c r="U3" s="78"/>
      <c r="V3" s="78"/>
      <c r="W3" s="78"/>
      <c r="X3" s="78"/>
      <c r="Y3" s="78"/>
      <c r="Z3" s="78"/>
      <c r="BG3" s="57"/>
      <c r="BH3" s="57"/>
    </row>
    <row r="4" spans="2:62" s="16" customFormat="1" ht="21.75" customHeight="1" x14ac:dyDescent="0.25">
      <c r="B4" s="1129">
        <f>Report_Date</f>
        <v>43190</v>
      </c>
      <c r="C4" s="1098"/>
      <c r="D4" s="1098"/>
      <c r="E4" s="162"/>
      <c r="F4" s="162"/>
      <c r="G4" s="162"/>
      <c r="H4" s="162"/>
      <c r="I4" s="162"/>
      <c r="J4" s="162"/>
      <c r="K4" s="162"/>
      <c r="L4" s="163"/>
      <c r="M4" s="162"/>
      <c r="N4" s="162"/>
      <c r="O4" s="162"/>
      <c r="P4" s="356"/>
      <c r="Q4" s="78"/>
      <c r="R4" s="78"/>
      <c r="S4" s="78"/>
      <c r="T4" s="78"/>
      <c r="U4" s="78"/>
      <c r="V4" s="78"/>
      <c r="W4" s="78"/>
      <c r="X4" s="78"/>
      <c r="Y4" s="78"/>
      <c r="Z4" s="78"/>
      <c r="BG4" s="58"/>
      <c r="BH4" s="58"/>
    </row>
    <row r="5" spans="2:62" x14ac:dyDescent="0.25">
      <c r="B5" s="349"/>
      <c r="C5" s="154"/>
      <c r="D5" s="154"/>
      <c r="E5" s="154"/>
      <c r="F5" s="154"/>
      <c r="G5" s="154"/>
      <c r="H5" s="154"/>
      <c r="I5" s="154"/>
      <c r="J5" s="154"/>
      <c r="K5" s="154"/>
      <c r="L5" s="154"/>
      <c r="M5" s="154"/>
      <c r="N5" s="154"/>
      <c r="O5" s="154"/>
      <c r="P5" s="350"/>
      <c r="Q5" s="78"/>
      <c r="R5" s="78"/>
      <c r="S5" s="78"/>
      <c r="T5" s="78"/>
      <c r="U5" s="78"/>
      <c r="V5" s="78"/>
      <c r="W5" s="78"/>
      <c r="X5" s="78"/>
      <c r="Y5" s="78"/>
      <c r="Z5" s="78"/>
    </row>
    <row r="6" spans="2:62" x14ac:dyDescent="0.25">
      <c r="B6" s="349"/>
      <c r="C6" s="154"/>
      <c r="D6" s="154"/>
      <c r="E6" s="154"/>
      <c r="F6" s="154"/>
      <c r="G6" s="154"/>
      <c r="H6" s="154"/>
      <c r="I6" s="154"/>
      <c r="J6" s="154"/>
      <c r="K6" s="154"/>
      <c r="L6" s="154"/>
      <c r="M6" s="154"/>
      <c r="N6" s="154"/>
      <c r="O6" s="154"/>
      <c r="P6" s="350"/>
    </row>
    <row r="7" spans="2:62" x14ac:dyDescent="0.25">
      <c r="B7" s="349"/>
      <c r="C7" s="154"/>
      <c r="D7" s="154"/>
      <c r="E7" s="154"/>
      <c r="F7" s="154"/>
      <c r="G7" s="154"/>
      <c r="H7" s="154"/>
      <c r="I7" s="154"/>
      <c r="J7" s="154"/>
      <c r="K7" s="154"/>
      <c r="L7" s="154"/>
      <c r="M7" s="154"/>
      <c r="N7" s="154"/>
      <c r="O7" s="154"/>
      <c r="P7" s="350"/>
    </row>
    <row r="8" spans="2:62" x14ac:dyDescent="0.25">
      <c r="B8" s="349"/>
      <c r="C8" s="154"/>
      <c r="D8" s="154"/>
      <c r="E8" s="154"/>
      <c r="F8" s="154"/>
      <c r="G8" s="154"/>
      <c r="H8" s="154"/>
      <c r="I8" s="154"/>
      <c r="J8" s="154"/>
      <c r="K8" s="154"/>
      <c r="L8" s="154"/>
      <c r="M8" s="154"/>
      <c r="N8" s="154"/>
      <c r="O8" s="154"/>
      <c r="P8" s="350"/>
    </row>
    <row r="9" spans="2:62" x14ac:dyDescent="0.25">
      <c r="B9" s="349"/>
      <c r="C9" s="154"/>
      <c r="D9" s="154"/>
      <c r="E9" s="154"/>
      <c r="F9" s="154"/>
      <c r="G9" s="154"/>
      <c r="H9" s="154"/>
      <c r="I9" s="154"/>
      <c r="J9" s="154"/>
      <c r="K9" s="154"/>
      <c r="L9" s="154"/>
      <c r="M9" s="154"/>
      <c r="N9" s="154"/>
      <c r="O9" s="154"/>
      <c r="P9" s="350"/>
    </row>
    <row r="10" spans="2:62" x14ac:dyDescent="0.25">
      <c r="B10" s="349"/>
      <c r="C10" s="154"/>
      <c r="D10" s="154"/>
      <c r="E10" s="154"/>
      <c r="F10" s="154"/>
      <c r="G10" s="154"/>
      <c r="H10" s="154"/>
      <c r="I10" s="154"/>
      <c r="J10" s="154"/>
      <c r="K10" s="154"/>
      <c r="L10" s="154"/>
      <c r="M10" s="154"/>
      <c r="N10" s="154"/>
      <c r="O10" s="154"/>
      <c r="P10" s="350"/>
    </row>
    <row r="11" spans="2:62" x14ac:dyDescent="0.25">
      <c r="B11" s="349"/>
      <c r="C11" s="154"/>
      <c r="D11" s="154"/>
      <c r="E11" s="154"/>
      <c r="F11" s="154"/>
      <c r="G11" s="154"/>
      <c r="H11" s="154"/>
      <c r="I11" s="154"/>
      <c r="J11" s="154"/>
      <c r="K11" s="154"/>
      <c r="L11" s="154"/>
      <c r="M11" s="154"/>
      <c r="N11" s="154"/>
      <c r="O11" s="154"/>
      <c r="P11" s="350"/>
    </row>
    <row r="12" spans="2:62" x14ac:dyDescent="0.25">
      <c r="B12" s="349"/>
      <c r="C12" s="154"/>
      <c r="D12" s="154"/>
      <c r="E12" s="154"/>
      <c r="F12" s="154"/>
      <c r="G12" s="154"/>
      <c r="H12" s="154"/>
      <c r="I12" s="154"/>
      <c r="J12" s="154"/>
      <c r="K12" s="154"/>
      <c r="L12" s="154"/>
      <c r="M12" s="154"/>
      <c r="N12" s="154"/>
      <c r="O12" s="154"/>
      <c r="P12" s="350"/>
    </row>
    <row r="13" spans="2:62" x14ac:dyDescent="0.25">
      <c r="B13" s="349"/>
      <c r="C13" s="154"/>
      <c r="D13" s="154"/>
      <c r="E13" s="154"/>
      <c r="F13" s="154"/>
      <c r="G13" s="154"/>
      <c r="H13" s="154"/>
      <c r="I13" s="154"/>
      <c r="J13" s="154"/>
      <c r="K13" s="154"/>
      <c r="L13" s="154"/>
      <c r="M13" s="154"/>
      <c r="N13" s="154"/>
      <c r="O13" s="154"/>
      <c r="P13" s="350"/>
    </row>
    <row r="14" spans="2:62" x14ac:dyDescent="0.25">
      <c r="B14" s="349"/>
      <c r="C14" s="154"/>
      <c r="D14" s="154"/>
      <c r="E14" s="154"/>
      <c r="F14" s="154"/>
      <c r="G14" s="154"/>
      <c r="H14" s="154"/>
      <c r="I14" s="154"/>
      <c r="J14" s="154"/>
      <c r="K14" s="154"/>
      <c r="L14" s="154"/>
      <c r="M14" s="154"/>
      <c r="N14" s="154"/>
      <c r="O14" s="154"/>
      <c r="P14" s="350"/>
    </row>
    <row r="15" spans="2:62" x14ac:dyDescent="0.25">
      <c r="B15" s="349"/>
      <c r="C15" s="154"/>
      <c r="D15" s="154"/>
      <c r="E15" s="154"/>
      <c r="F15" s="154"/>
      <c r="G15" s="154"/>
      <c r="H15" s="154"/>
      <c r="I15" s="154"/>
      <c r="J15" s="154"/>
      <c r="K15" s="154"/>
      <c r="L15" s="154"/>
      <c r="M15" s="154"/>
      <c r="N15" s="154"/>
      <c r="O15" s="154"/>
      <c r="P15" s="350"/>
    </row>
    <row r="16" spans="2:62" x14ac:dyDescent="0.25">
      <c r="B16" s="349"/>
      <c r="C16" s="154"/>
      <c r="D16" s="154"/>
      <c r="E16" s="154"/>
      <c r="F16" s="154"/>
      <c r="G16" s="154"/>
      <c r="H16" s="154"/>
      <c r="I16" s="154"/>
      <c r="J16" s="154"/>
      <c r="K16" s="154"/>
      <c r="L16" s="154"/>
      <c r="M16" s="154"/>
      <c r="N16" s="154"/>
      <c r="O16" s="154"/>
      <c r="P16" s="350"/>
    </row>
    <row r="17" spans="2:16" x14ac:dyDescent="0.25">
      <c r="B17" s="349"/>
      <c r="C17" s="154"/>
      <c r="D17" s="154"/>
      <c r="E17" s="154"/>
      <c r="F17" s="154"/>
      <c r="G17" s="154"/>
      <c r="H17" s="154"/>
      <c r="I17" s="154"/>
      <c r="J17" s="154"/>
      <c r="K17" s="154"/>
      <c r="L17" s="154"/>
      <c r="M17" s="154"/>
      <c r="N17" s="154"/>
      <c r="O17" s="154"/>
      <c r="P17" s="350"/>
    </row>
    <row r="18" spans="2:16" x14ac:dyDescent="0.25">
      <c r="B18" s="349"/>
      <c r="C18" s="154"/>
      <c r="D18" s="154"/>
      <c r="E18" s="154"/>
      <c r="F18" s="154"/>
      <c r="G18" s="154"/>
      <c r="H18" s="154"/>
      <c r="I18" s="154"/>
      <c r="J18" s="154"/>
      <c r="K18" s="154"/>
      <c r="L18" s="154"/>
      <c r="M18" s="154"/>
      <c r="N18" s="154"/>
      <c r="O18" s="154"/>
      <c r="P18" s="350"/>
    </row>
    <row r="19" spans="2:16" x14ac:dyDescent="0.25">
      <c r="B19" s="349"/>
      <c r="C19" s="154"/>
      <c r="D19" s="154"/>
      <c r="E19" s="154"/>
      <c r="F19" s="154"/>
      <c r="G19" s="154"/>
      <c r="H19" s="154"/>
      <c r="I19" s="154"/>
      <c r="J19" s="154"/>
      <c r="K19" s="154"/>
      <c r="L19" s="154"/>
      <c r="M19" s="154"/>
      <c r="N19" s="154"/>
      <c r="O19" s="154"/>
      <c r="P19" s="350"/>
    </row>
    <row r="20" spans="2:16" x14ac:dyDescent="0.25">
      <c r="B20" s="349"/>
      <c r="C20" s="154"/>
      <c r="D20" s="154"/>
      <c r="E20" s="154"/>
      <c r="F20" s="154"/>
      <c r="G20" s="154"/>
      <c r="H20" s="154"/>
      <c r="I20" s="154"/>
      <c r="J20" s="154"/>
      <c r="K20" s="154"/>
      <c r="L20" s="154"/>
      <c r="M20" s="154"/>
      <c r="N20" s="154"/>
      <c r="O20" s="154"/>
      <c r="P20" s="350"/>
    </row>
    <row r="21" spans="2:16" x14ac:dyDescent="0.25">
      <c r="B21" s="349"/>
      <c r="C21" s="154"/>
      <c r="D21" s="154"/>
      <c r="E21" s="154"/>
      <c r="F21" s="154"/>
      <c r="G21" s="154"/>
      <c r="H21" s="154"/>
      <c r="I21" s="154"/>
      <c r="J21" s="154"/>
      <c r="K21" s="154"/>
      <c r="L21" s="154"/>
      <c r="M21" s="154"/>
      <c r="N21" s="154"/>
      <c r="O21" s="154"/>
      <c r="P21" s="350"/>
    </row>
    <row r="22" spans="2:16" x14ac:dyDescent="0.25">
      <c r="B22" s="349"/>
      <c r="C22" s="154"/>
      <c r="D22" s="154"/>
      <c r="E22" s="154"/>
      <c r="F22" s="154"/>
      <c r="G22" s="154"/>
      <c r="H22" s="154"/>
      <c r="I22" s="154"/>
      <c r="J22" s="154"/>
      <c r="K22" s="154"/>
      <c r="L22" s="154"/>
      <c r="M22" s="154"/>
      <c r="N22" s="154"/>
      <c r="O22" s="154"/>
      <c r="P22" s="350"/>
    </row>
    <row r="23" spans="2:16" x14ac:dyDescent="0.25">
      <c r="B23" s="349"/>
      <c r="C23" s="154"/>
      <c r="D23" s="154"/>
      <c r="E23" s="154"/>
      <c r="F23" s="154"/>
      <c r="G23" s="154"/>
      <c r="H23" s="154"/>
      <c r="I23" s="154"/>
      <c r="J23" s="154"/>
      <c r="K23" s="154"/>
      <c r="L23" s="154"/>
      <c r="M23" s="154"/>
      <c r="N23" s="154"/>
      <c r="O23" s="154"/>
      <c r="P23" s="350"/>
    </row>
    <row r="24" spans="2:16" x14ac:dyDescent="0.25">
      <c r="B24" s="349"/>
      <c r="C24" s="154"/>
      <c r="D24" s="154"/>
      <c r="E24" s="154"/>
      <c r="F24" s="154"/>
      <c r="G24" s="154"/>
      <c r="H24" s="154"/>
      <c r="I24" s="154"/>
      <c r="J24" s="154"/>
      <c r="K24" s="154"/>
      <c r="L24" s="154"/>
      <c r="M24" s="154"/>
      <c r="N24" s="154"/>
      <c r="O24" s="154"/>
      <c r="P24" s="350"/>
    </row>
    <row r="25" spans="2:16" x14ac:dyDescent="0.25">
      <c r="B25" s="349"/>
      <c r="C25" s="154"/>
      <c r="D25" s="154"/>
      <c r="E25" s="154"/>
      <c r="F25" s="154"/>
      <c r="G25" s="154"/>
      <c r="H25" s="154"/>
      <c r="I25" s="154"/>
      <c r="J25" s="154"/>
      <c r="K25" s="154"/>
      <c r="L25" s="154"/>
      <c r="M25" s="154"/>
      <c r="N25" s="154"/>
      <c r="O25" s="154"/>
      <c r="P25" s="350"/>
    </row>
    <row r="26" spans="2:16" x14ac:dyDescent="0.25">
      <c r="B26" s="349"/>
      <c r="C26" s="154"/>
      <c r="D26" s="154"/>
      <c r="E26" s="154"/>
      <c r="F26" s="154"/>
      <c r="G26" s="154"/>
      <c r="H26" s="154"/>
      <c r="I26" s="154"/>
      <c r="J26" s="154"/>
      <c r="K26" s="154"/>
      <c r="L26" s="154"/>
      <c r="M26" s="154"/>
      <c r="N26" s="154"/>
      <c r="O26" s="154"/>
      <c r="P26" s="350"/>
    </row>
    <row r="27" spans="2:16" x14ac:dyDescent="0.25">
      <c r="B27" s="349"/>
      <c r="C27" s="154"/>
      <c r="D27" s="154"/>
      <c r="E27" s="154"/>
      <c r="F27" s="154"/>
      <c r="G27" s="154"/>
      <c r="H27" s="154"/>
      <c r="I27" s="154"/>
      <c r="J27" s="154"/>
      <c r="K27" s="154"/>
      <c r="L27" s="154"/>
      <c r="M27" s="154"/>
      <c r="N27" s="154"/>
      <c r="O27" s="154"/>
      <c r="P27" s="350"/>
    </row>
    <row r="28" spans="2:16" x14ac:dyDescent="0.25">
      <c r="B28" s="349"/>
      <c r="C28" s="154"/>
      <c r="D28" s="154"/>
      <c r="E28" s="154"/>
      <c r="F28" s="154"/>
      <c r="G28" s="154"/>
      <c r="H28" s="154"/>
      <c r="I28" s="154"/>
      <c r="J28" s="154"/>
      <c r="K28" s="154"/>
      <c r="L28" s="154"/>
      <c r="M28" s="154"/>
      <c r="N28" s="154"/>
      <c r="O28" s="154"/>
      <c r="P28" s="350"/>
    </row>
    <row r="29" spans="2:16" x14ac:dyDescent="0.25">
      <c r="B29" s="349"/>
      <c r="C29" s="154"/>
      <c r="D29" s="154"/>
      <c r="E29" s="154"/>
      <c r="F29" s="154"/>
      <c r="G29" s="154"/>
      <c r="H29" s="154"/>
      <c r="I29" s="154"/>
      <c r="J29" s="154"/>
      <c r="K29" s="154"/>
      <c r="L29" s="154"/>
      <c r="M29" s="154"/>
      <c r="N29" s="154"/>
      <c r="O29" s="154"/>
      <c r="P29" s="350"/>
    </row>
    <row r="30" spans="2:16" x14ac:dyDescent="0.25">
      <c r="B30" s="349"/>
      <c r="C30" s="154"/>
      <c r="D30" s="154"/>
      <c r="E30" s="154"/>
      <c r="F30" s="154"/>
      <c r="G30" s="154"/>
      <c r="H30" s="154"/>
      <c r="I30" s="154"/>
      <c r="J30" s="154"/>
      <c r="K30" s="154"/>
      <c r="L30" s="154"/>
      <c r="M30" s="154"/>
      <c r="N30" s="154"/>
      <c r="O30" s="154"/>
      <c r="P30" s="350"/>
    </row>
    <row r="31" spans="2:16" x14ac:dyDescent="0.25">
      <c r="B31" s="349"/>
      <c r="C31" s="154"/>
      <c r="D31" s="154"/>
      <c r="E31" s="154"/>
      <c r="F31" s="154"/>
      <c r="G31" s="154"/>
      <c r="H31" s="154"/>
      <c r="I31" s="154"/>
      <c r="J31" s="154"/>
      <c r="K31" s="154"/>
      <c r="L31" s="154"/>
      <c r="M31" s="154"/>
      <c r="N31" s="154"/>
      <c r="O31" s="154"/>
      <c r="P31" s="350"/>
    </row>
    <row r="32" spans="2:16" x14ac:dyDescent="0.25">
      <c r="B32" s="349"/>
      <c r="C32" s="154"/>
      <c r="D32" s="154"/>
      <c r="E32" s="154"/>
      <c r="F32" s="154"/>
      <c r="G32" s="154"/>
      <c r="H32" s="154"/>
      <c r="I32" s="154"/>
      <c r="J32" s="154"/>
      <c r="K32" s="154"/>
      <c r="L32" s="154"/>
      <c r="M32" s="154"/>
      <c r="N32" s="154"/>
      <c r="O32" s="154"/>
      <c r="P32" s="350"/>
    </row>
    <row r="33" spans="2:16" x14ac:dyDescent="0.25">
      <c r="B33" s="349"/>
      <c r="C33" s="154"/>
      <c r="D33" s="154"/>
      <c r="E33" s="154"/>
      <c r="F33" s="154"/>
      <c r="G33" s="154"/>
      <c r="H33" s="154"/>
      <c r="I33" s="154"/>
      <c r="J33" s="154"/>
      <c r="K33" s="154"/>
      <c r="L33" s="154"/>
      <c r="M33" s="154"/>
      <c r="N33" s="154"/>
      <c r="O33" s="154"/>
      <c r="P33" s="350"/>
    </row>
    <row r="34" spans="2:16" x14ac:dyDescent="0.25">
      <c r="B34" s="349"/>
      <c r="C34" s="154"/>
      <c r="D34" s="154"/>
      <c r="E34" s="154"/>
      <c r="F34" s="154"/>
      <c r="G34" s="154"/>
      <c r="H34" s="154"/>
      <c r="I34" s="154"/>
      <c r="J34" s="154"/>
      <c r="K34" s="154"/>
      <c r="L34" s="154"/>
      <c r="M34" s="154"/>
      <c r="N34" s="154"/>
      <c r="O34" s="154"/>
      <c r="P34" s="350"/>
    </row>
    <row r="35" spans="2:16" x14ac:dyDescent="0.25">
      <c r="B35" s="349"/>
      <c r="C35" s="154"/>
      <c r="D35" s="154"/>
      <c r="E35" s="154"/>
      <c r="F35" s="154"/>
      <c r="G35" s="154"/>
      <c r="H35" s="154"/>
      <c r="I35" s="154"/>
      <c r="J35" s="154"/>
      <c r="K35" s="154"/>
      <c r="L35" s="154"/>
      <c r="M35" s="154"/>
      <c r="N35" s="154"/>
      <c r="O35" s="154"/>
      <c r="P35" s="350"/>
    </row>
    <row r="36" spans="2:16" x14ac:dyDescent="0.25">
      <c r="B36" s="349"/>
      <c r="C36" s="154"/>
      <c r="D36" s="154"/>
      <c r="E36" s="154"/>
      <c r="F36" s="154"/>
      <c r="G36" s="154"/>
      <c r="H36" s="154"/>
      <c r="I36" s="154"/>
      <c r="J36" s="154"/>
      <c r="K36" s="154"/>
      <c r="L36" s="154"/>
      <c r="M36" s="154"/>
      <c r="N36" s="154"/>
      <c r="O36" s="154"/>
      <c r="P36" s="350"/>
    </row>
    <row r="37" spans="2:16" x14ac:dyDescent="0.25">
      <c r="B37" s="349"/>
      <c r="C37" s="154"/>
      <c r="D37" s="154"/>
      <c r="E37" s="154"/>
      <c r="F37" s="154"/>
      <c r="G37" s="154"/>
      <c r="H37" s="154"/>
      <c r="I37" s="154"/>
      <c r="J37" s="154"/>
      <c r="K37" s="154"/>
      <c r="L37" s="154"/>
      <c r="M37" s="154"/>
      <c r="N37" s="154"/>
      <c r="O37" s="154"/>
      <c r="P37" s="350"/>
    </row>
    <row r="38" spans="2:16" x14ac:dyDescent="0.25">
      <c r="B38" s="349"/>
      <c r="C38" s="154"/>
      <c r="D38" s="154"/>
      <c r="E38" s="154"/>
      <c r="F38" s="154"/>
      <c r="G38" s="154"/>
      <c r="H38" s="154"/>
      <c r="I38" s="154"/>
      <c r="J38" s="154"/>
      <c r="K38" s="154"/>
      <c r="L38" s="154"/>
      <c r="M38" s="154"/>
      <c r="N38" s="154"/>
      <c r="O38" s="154"/>
      <c r="P38" s="350"/>
    </row>
    <row r="39" spans="2:16" x14ac:dyDescent="0.25">
      <c r="B39" s="349"/>
      <c r="C39" s="154"/>
      <c r="D39" s="154"/>
      <c r="E39" s="154"/>
      <c r="F39" s="154"/>
      <c r="G39" s="154"/>
      <c r="H39" s="154"/>
      <c r="I39" s="154"/>
      <c r="J39" s="154"/>
      <c r="K39" s="154"/>
      <c r="L39" s="154"/>
      <c r="M39" s="154"/>
      <c r="N39" s="154"/>
      <c r="O39" s="154"/>
      <c r="P39" s="350"/>
    </row>
    <row r="40" spans="2:16" x14ac:dyDescent="0.25">
      <c r="B40" s="349"/>
      <c r="C40" s="154"/>
      <c r="D40" s="154"/>
      <c r="E40" s="154"/>
      <c r="F40" s="154"/>
      <c r="G40" s="154"/>
      <c r="H40" s="154"/>
      <c r="I40" s="154"/>
      <c r="J40" s="154"/>
      <c r="K40" s="154"/>
      <c r="L40" s="154"/>
      <c r="M40" s="154"/>
      <c r="N40" s="154"/>
      <c r="O40" s="154"/>
      <c r="P40" s="350"/>
    </row>
    <row r="41" spans="2:16" x14ac:dyDescent="0.25">
      <c r="B41" s="349"/>
      <c r="C41" s="154"/>
      <c r="D41" s="154"/>
      <c r="E41" s="154"/>
      <c r="F41" s="154"/>
      <c r="G41" s="154"/>
      <c r="H41" s="154"/>
      <c r="I41" s="154"/>
      <c r="J41" s="154"/>
      <c r="K41" s="154"/>
      <c r="L41" s="154"/>
      <c r="M41" s="154"/>
      <c r="N41" s="154"/>
      <c r="O41" s="154"/>
      <c r="P41" s="350"/>
    </row>
    <row r="42" spans="2:16" x14ac:dyDescent="0.25">
      <c r="B42" s="349"/>
      <c r="C42" s="154"/>
      <c r="D42" s="154"/>
      <c r="E42" s="154"/>
      <c r="F42" s="154"/>
      <c r="G42" s="154"/>
      <c r="H42" s="154"/>
      <c r="I42" s="154"/>
      <c r="J42" s="154"/>
      <c r="K42" s="154"/>
      <c r="L42" s="154"/>
      <c r="M42" s="154"/>
      <c r="N42" s="154"/>
      <c r="O42" s="154"/>
      <c r="P42" s="350"/>
    </row>
    <row r="43" spans="2:16" x14ac:dyDescent="0.25">
      <c r="B43" s="349"/>
      <c r="C43" s="154"/>
      <c r="D43" s="154"/>
      <c r="E43" s="154"/>
      <c r="F43" s="154"/>
      <c r="G43" s="154"/>
      <c r="H43" s="154"/>
      <c r="I43" s="154"/>
      <c r="J43" s="154"/>
      <c r="K43" s="154"/>
      <c r="L43" s="154"/>
      <c r="M43" s="154"/>
      <c r="N43" s="154"/>
      <c r="O43" s="154"/>
      <c r="P43" s="350"/>
    </row>
    <row r="44" spans="2:16" x14ac:dyDescent="0.25">
      <c r="B44" s="349"/>
      <c r="C44" s="154"/>
      <c r="D44" s="154"/>
      <c r="E44" s="154"/>
      <c r="F44" s="154"/>
      <c r="G44" s="154"/>
      <c r="H44" s="154"/>
      <c r="I44" s="154"/>
      <c r="J44" s="154"/>
      <c r="K44" s="154"/>
      <c r="L44" s="154"/>
      <c r="M44" s="154"/>
      <c r="N44" s="154"/>
      <c r="O44" s="154"/>
      <c r="P44" s="350"/>
    </row>
    <row r="45" spans="2:16" x14ac:dyDescent="0.25">
      <c r="B45" s="349"/>
      <c r="C45" s="154"/>
      <c r="D45" s="154"/>
      <c r="E45" s="154"/>
      <c r="F45" s="154"/>
      <c r="G45" s="154"/>
      <c r="H45" s="154"/>
      <c r="I45" s="154"/>
      <c r="J45" s="154"/>
      <c r="K45" s="154"/>
      <c r="L45" s="154"/>
      <c r="M45" s="154"/>
      <c r="N45" s="154"/>
      <c r="O45" s="154"/>
      <c r="P45" s="350"/>
    </row>
    <row r="46" spans="2:16" x14ac:dyDescent="0.25">
      <c r="B46" s="349"/>
      <c r="C46" s="154"/>
      <c r="D46" s="154"/>
      <c r="E46" s="154"/>
      <c r="F46" s="154"/>
      <c r="G46" s="154"/>
      <c r="H46" s="154"/>
      <c r="I46" s="154"/>
      <c r="J46" s="154"/>
      <c r="K46" s="154"/>
      <c r="L46" s="154"/>
      <c r="M46" s="154"/>
      <c r="N46" s="154"/>
      <c r="O46" s="154"/>
      <c r="P46" s="350"/>
    </row>
    <row r="47" spans="2:16" x14ac:dyDescent="0.25">
      <c r="B47" s="349"/>
      <c r="C47" s="154"/>
      <c r="D47" s="154"/>
      <c r="E47" s="154"/>
      <c r="F47" s="154"/>
      <c r="G47" s="154"/>
      <c r="H47" s="154"/>
      <c r="I47" s="154"/>
      <c r="J47" s="154"/>
      <c r="K47" s="154"/>
      <c r="L47" s="154"/>
      <c r="M47" s="154"/>
      <c r="N47" s="154"/>
      <c r="O47" s="154"/>
      <c r="P47" s="350"/>
    </row>
    <row r="48" spans="2:16" x14ac:dyDescent="0.25">
      <c r="B48" s="349"/>
      <c r="C48" s="154"/>
      <c r="D48" s="154"/>
      <c r="E48" s="154"/>
      <c r="F48" s="154"/>
      <c r="G48" s="154"/>
      <c r="H48" s="154"/>
      <c r="I48" s="154"/>
      <c r="J48" s="154"/>
      <c r="K48" s="154"/>
      <c r="L48" s="154"/>
      <c r="M48" s="154"/>
      <c r="N48" s="154"/>
      <c r="O48" s="154"/>
      <c r="P48" s="350"/>
    </row>
    <row r="49" spans="2:16" x14ac:dyDescent="0.25">
      <c r="B49" s="349"/>
      <c r="C49" s="154"/>
      <c r="D49" s="154"/>
      <c r="E49" s="154"/>
      <c r="F49" s="154"/>
      <c r="G49" s="154"/>
      <c r="H49" s="154"/>
      <c r="I49" s="154"/>
      <c r="J49" s="154"/>
      <c r="K49" s="154"/>
      <c r="L49" s="154"/>
      <c r="M49" s="154"/>
      <c r="N49" s="154"/>
      <c r="O49" s="154"/>
      <c r="P49" s="350"/>
    </row>
    <row r="50" spans="2:16" x14ac:dyDescent="0.25">
      <c r="B50" s="349"/>
      <c r="C50" s="154"/>
      <c r="D50" s="154"/>
      <c r="E50" s="154"/>
      <c r="F50" s="154"/>
      <c r="G50" s="154"/>
      <c r="H50" s="154"/>
      <c r="I50" s="154"/>
      <c r="J50" s="154"/>
      <c r="K50" s="154"/>
      <c r="L50" s="154"/>
      <c r="M50" s="154"/>
      <c r="N50" s="154"/>
      <c r="O50" s="154"/>
      <c r="P50" s="350"/>
    </row>
    <row r="51" spans="2:16" x14ac:dyDescent="0.25">
      <c r="B51" s="349"/>
      <c r="C51" s="154"/>
      <c r="D51" s="154"/>
      <c r="E51" s="154"/>
      <c r="F51" s="154"/>
      <c r="G51" s="154"/>
      <c r="H51" s="154"/>
      <c r="I51" s="154"/>
      <c r="J51" s="154"/>
      <c r="K51" s="154"/>
      <c r="L51" s="154"/>
      <c r="M51" s="154"/>
      <c r="N51" s="154"/>
      <c r="O51" s="154"/>
      <c r="P51" s="350"/>
    </row>
    <row r="52" spans="2:16" x14ac:dyDescent="0.25">
      <c r="B52" s="349"/>
      <c r="C52" s="154"/>
      <c r="D52" s="154"/>
      <c r="E52" s="154"/>
      <c r="F52" s="154"/>
      <c r="G52" s="154"/>
      <c r="H52" s="154"/>
      <c r="I52" s="154"/>
      <c r="J52" s="154"/>
      <c r="K52" s="154"/>
      <c r="L52" s="154"/>
      <c r="M52" s="154"/>
      <c r="N52" s="154"/>
      <c r="O52" s="154"/>
      <c r="P52" s="350"/>
    </row>
    <row r="53" spans="2:16" x14ac:dyDescent="0.25">
      <c r="B53" s="349"/>
      <c r="C53" s="154"/>
      <c r="D53" s="154"/>
      <c r="E53" s="154"/>
      <c r="F53" s="154"/>
      <c r="G53" s="154"/>
      <c r="H53" s="154"/>
      <c r="I53" s="154"/>
      <c r="J53" s="154"/>
      <c r="K53" s="154"/>
      <c r="L53" s="154"/>
      <c r="M53" s="154"/>
      <c r="N53" s="154"/>
      <c r="O53" s="154"/>
      <c r="P53" s="350"/>
    </row>
    <row r="54" spans="2:16" x14ac:dyDescent="0.25">
      <c r="B54" s="349"/>
      <c r="C54" s="154"/>
      <c r="D54" s="154"/>
      <c r="E54" s="154"/>
      <c r="F54" s="154"/>
      <c r="G54" s="154"/>
      <c r="H54" s="154"/>
      <c r="I54" s="154"/>
      <c r="J54" s="154"/>
      <c r="K54" s="154"/>
      <c r="L54" s="154"/>
      <c r="M54" s="154"/>
      <c r="N54" s="154"/>
      <c r="O54" s="154"/>
      <c r="P54" s="350"/>
    </row>
    <row r="55" spans="2:16" x14ac:dyDescent="0.25">
      <c r="B55" s="349"/>
      <c r="C55" s="154"/>
      <c r="D55" s="154"/>
      <c r="E55" s="154"/>
      <c r="F55" s="154"/>
      <c r="G55" s="154"/>
      <c r="H55" s="154"/>
      <c r="I55" s="154"/>
      <c r="J55" s="154"/>
      <c r="K55" s="154"/>
      <c r="L55" s="154"/>
      <c r="M55" s="154"/>
      <c r="N55" s="154"/>
      <c r="O55" s="154"/>
      <c r="P55" s="350"/>
    </row>
    <row r="56" spans="2:16" x14ac:dyDescent="0.25">
      <c r="B56" s="349"/>
      <c r="C56" s="154"/>
      <c r="D56" s="154"/>
      <c r="E56" s="154"/>
      <c r="F56" s="154"/>
      <c r="G56" s="154"/>
      <c r="H56" s="154"/>
      <c r="I56" s="154"/>
      <c r="J56" s="154"/>
      <c r="K56" s="154"/>
      <c r="L56" s="154"/>
      <c r="M56" s="154"/>
      <c r="N56" s="154"/>
      <c r="O56" s="154"/>
      <c r="P56" s="350"/>
    </row>
    <row r="57" spans="2:16" x14ac:dyDescent="0.25">
      <c r="B57" s="349"/>
      <c r="C57" s="154"/>
      <c r="D57" s="154"/>
      <c r="E57" s="154"/>
      <c r="F57" s="154"/>
      <c r="G57" s="154"/>
      <c r="H57" s="154"/>
      <c r="I57" s="154"/>
      <c r="J57" s="154"/>
      <c r="K57" s="154"/>
      <c r="L57" s="154"/>
      <c r="M57" s="154"/>
      <c r="N57" s="154"/>
      <c r="O57" s="154"/>
      <c r="P57" s="350"/>
    </row>
    <row r="58" spans="2:16" ht="15.75" thickBot="1" x14ac:dyDescent="0.3">
      <c r="B58" s="351"/>
      <c r="C58" s="352"/>
      <c r="D58" s="352"/>
      <c r="E58" s="352"/>
      <c r="F58" s="352"/>
      <c r="G58" s="352"/>
      <c r="H58" s="352"/>
      <c r="I58" s="352"/>
      <c r="J58" s="352"/>
      <c r="K58" s="352"/>
      <c r="L58" s="352"/>
      <c r="M58" s="352"/>
      <c r="N58" s="352"/>
      <c r="O58" s="352"/>
      <c r="P58" s="353"/>
    </row>
  </sheetData>
  <mergeCells count="1">
    <mergeCell ref="B4:D4"/>
  </mergeCells>
  <pageMargins left="0.7" right="0.7" top="0.75" bottom="0.75" header="0.3" footer="0.3"/>
  <pageSetup paperSize="9" scale="6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pageSetUpPr fitToPage="1"/>
  </sheetPr>
  <dimension ref="A1:L40"/>
  <sheetViews>
    <sheetView zoomScale="70" zoomScaleNormal="70" workbookViewId="0">
      <selection activeCell="R26" sqref="R26"/>
    </sheetView>
  </sheetViews>
  <sheetFormatPr defaultColWidth="9.140625" defaultRowHeight="15" x14ac:dyDescent="0.25"/>
  <cols>
    <col min="1" max="1" width="2" style="1" customWidth="1"/>
    <col min="2" max="2" width="22.7109375" style="1" bestFit="1" customWidth="1"/>
    <col min="3" max="3" width="24" style="1" bestFit="1" customWidth="1"/>
    <col min="4" max="4" width="17.85546875" style="1" bestFit="1" customWidth="1"/>
    <col min="5" max="5" width="95.7109375" style="256" bestFit="1" customWidth="1"/>
    <col min="6" max="6" width="33.42578125" style="251" bestFit="1" customWidth="1"/>
    <col min="7" max="7" width="19.7109375" style="251" customWidth="1"/>
    <col min="8" max="8" width="16.42578125" style="257" customWidth="1"/>
    <col min="9" max="9" width="12.140625" style="263" bestFit="1" customWidth="1"/>
    <col min="10" max="10" width="8.85546875" style="1" bestFit="1" customWidth="1"/>
    <col min="11" max="16384" width="9.140625" style="1"/>
  </cols>
  <sheetData>
    <row r="1" spans="1:10" ht="9.75" customHeight="1" x14ac:dyDescent="0.25">
      <c r="F1" s="326"/>
      <c r="G1" s="326"/>
    </row>
    <row r="2" spans="1:10" ht="23.25" x14ac:dyDescent="0.35">
      <c r="B2" s="641" t="s">
        <v>723</v>
      </c>
      <c r="C2" s="344"/>
      <c r="D2" s="344"/>
      <c r="E2" s="344"/>
      <c r="F2" s="344"/>
      <c r="G2" s="344"/>
      <c r="H2" s="344"/>
      <c r="I2" s="344"/>
      <c r="J2" s="344"/>
    </row>
    <row r="3" spans="1:10" x14ac:dyDescent="0.25">
      <c r="B3" s="642">
        <f>Report_Date</f>
        <v>43190</v>
      </c>
      <c r="C3" s="343"/>
      <c r="D3" s="343"/>
      <c r="E3" s="343"/>
      <c r="F3" s="343"/>
      <c r="G3" s="343"/>
      <c r="H3" s="343"/>
      <c r="I3" s="343"/>
      <c r="J3" s="343"/>
    </row>
    <row r="4" spans="1:10" ht="15.75" thickBot="1" x14ac:dyDescent="0.3">
      <c r="B4" s="344"/>
      <c r="C4" s="344"/>
      <c r="D4" s="344"/>
      <c r="E4" s="344"/>
      <c r="F4" s="344"/>
      <c r="G4" s="344"/>
      <c r="H4" s="344"/>
      <c r="I4" s="344"/>
      <c r="J4" s="344"/>
    </row>
    <row r="5" spans="1:10" ht="15.75" thickBot="1" x14ac:dyDescent="0.3">
      <c r="B5" s="645" t="s">
        <v>329</v>
      </c>
      <c r="C5" s="646" t="s">
        <v>331</v>
      </c>
      <c r="D5" s="343"/>
      <c r="E5" s="343"/>
      <c r="F5" s="343"/>
      <c r="G5" s="343"/>
      <c r="H5" s="343"/>
      <c r="I5" s="343"/>
      <c r="J5" s="343"/>
    </row>
    <row r="6" spans="1:10" ht="15.75" thickBot="1" x14ac:dyDescent="0.3">
      <c r="B6" s="645" t="s">
        <v>22</v>
      </c>
      <c r="C6" s="646" t="s">
        <v>718</v>
      </c>
      <c r="D6" s="344"/>
      <c r="E6" s="344"/>
      <c r="F6" s="344"/>
      <c r="G6" s="344"/>
      <c r="H6" s="344"/>
      <c r="I6" s="344"/>
      <c r="J6" s="344"/>
    </row>
    <row r="7" spans="1:10" ht="15.75" thickBot="1" x14ac:dyDescent="0.3">
      <c r="B7" s="343"/>
      <c r="C7" s="343"/>
      <c r="D7" s="343"/>
      <c r="E7" s="343"/>
      <c r="F7" s="343"/>
      <c r="G7" s="343"/>
      <c r="H7" s="343"/>
      <c r="I7" s="343"/>
      <c r="J7" s="343"/>
    </row>
    <row r="8" spans="1:10" ht="60.75" customHeight="1" thickBot="1" x14ac:dyDescent="0.3">
      <c r="B8" s="1083" t="s">
        <v>0</v>
      </c>
      <c r="C8" s="1083" t="s">
        <v>614</v>
      </c>
      <c r="D8" s="1083" t="s">
        <v>615</v>
      </c>
      <c r="E8" s="1084" t="s">
        <v>750</v>
      </c>
      <c r="F8" s="1085" t="s">
        <v>9</v>
      </c>
      <c r="G8" s="1085" t="s">
        <v>8</v>
      </c>
      <c r="H8" s="1080" t="s">
        <v>754</v>
      </c>
      <c r="I8" s="1081" t="s">
        <v>826</v>
      </c>
      <c r="J8" s="647" t="s">
        <v>749</v>
      </c>
    </row>
    <row r="9" spans="1:10" ht="15.75" thickBot="1" x14ac:dyDescent="0.3">
      <c r="B9" s="1133" t="s">
        <v>13</v>
      </c>
      <c r="C9" s="1133" t="s">
        <v>273</v>
      </c>
      <c r="D9" s="1133" t="s">
        <v>612</v>
      </c>
      <c r="E9" s="1133" t="s">
        <v>1159</v>
      </c>
      <c r="F9" s="1086" t="s">
        <v>40</v>
      </c>
      <c r="G9" s="147" t="s">
        <v>126</v>
      </c>
      <c r="H9" s="1074">
        <v>5945</v>
      </c>
      <c r="I9" s="1075">
        <v>1343</v>
      </c>
      <c r="J9" s="1082">
        <v>1</v>
      </c>
    </row>
    <row r="10" spans="1:10" ht="15.75" thickBot="1" x14ac:dyDescent="0.3">
      <c r="B10" s="1134"/>
      <c r="C10" s="1134"/>
      <c r="D10" s="1136"/>
      <c r="E10" s="1136"/>
      <c r="F10" s="648" t="s">
        <v>41</v>
      </c>
      <c r="G10" s="147" t="s">
        <v>127</v>
      </c>
      <c r="H10" s="1076">
        <v>2845</v>
      </c>
      <c r="I10" s="517">
        <v>617</v>
      </c>
      <c r="J10" s="617">
        <v>1</v>
      </c>
    </row>
    <row r="11" spans="1:10" s="251" customFormat="1" ht="15.75" thickBot="1" x14ac:dyDescent="0.3">
      <c r="A11" s="326"/>
      <c r="B11" s="1134"/>
      <c r="C11" s="1135" t="s">
        <v>575</v>
      </c>
      <c r="D11" s="1101" t="s">
        <v>612</v>
      </c>
      <c r="E11" s="1133" t="s">
        <v>956</v>
      </c>
      <c r="F11" s="1086" t="s">
        <v>38</v>
      </c>
      <c r="G11" s="147" t="s">
        <v>124</v>
      </c>
      <c r="H11" s="1076">
        <v>4364</v>
      </c>
      <c r="I11" s="517">
        <v>1238</v>
      </c>
      <c r="J11" s="617">
        <v>1</v>
      </c>
    </row>
    <row r="12" spans="1:10" ht="15.75" thickBot="1" x14ac:dyDescent="0.3">
      <c r="B12" s="1136"/>
      <c r="C12" s="1136"/>
      <c r="D12" s="1101"/>
      <c r="E12" s="1136"/>
      <c r="F12" s="648" t="s">
        <v>991</v>
      </c>
      <c r="G12" s="147" t="s">
        <v>125</v>
      </c>
      <c r="H12" s="1076">
        <v>4079</v>
      </c>
      <c r="I12" s="517">
        <v>905</v>
      </c>
      <c r="J12" s="617">
        <v>1</v>
      </c>
    </row>
    <row r="13" spans="1:10" ht="15.75" thickBot="1" x14ac:dyDescent="0.3">
      <c r="B13" s="1118" t="s">
        <v>598</v>
      </c>
      <c r="C13" s="1119"/>
      <c r="D13" s="1119"/>
      <c r="E13" s="1119"/>
      <c r="F13" s="1119"/>
      <c r="G13" s="1120"/>
      <c r="H13" s="1078">
        <v>17233</v>
      </c>
      <c r="I13" s="948">
        <v>4103</v>
      </c>
      <c r="J13" s="1071">
        <v>4</v>
      </c>
    </row>
    <row r="14" spans="1:10" ht="15.75" thickBot="1" x14ac:dyDescent="0.3">
      <c r="B14" s="1133" t="s">
        <v>17</v>
      </c>
      <c r="C14" s="1115" t="s">
        <v>270</v>
      </c>
      <c r="D14" s="1133" t="s">
        <v>613</v>
      </c>
      <c r="E14" s="1133" t="s">
        <v>1146</v>
      </c>
      <c r="F14" s="1086" t="s">
        <v>509</v>
      </c>
      <c r="G14" s="147" t="s">
        <v>510</v>
      </c>
      <c r="H14" s="1076">
        <v>226</v>
      </c>
      <c r="I14" s="517">
        <v>41</v>
      </c>
      <c r="J14" s="617">
        <v>1</v>
      </c>
    </row>
    <row r="15" spans="1:10" ht="15.75" thickBot="1" x14ac:dyDescent="0.3">
      <c r="B15" s="1134"/>
      <c r="C15" s="1116"/>
      <c r="D15" s="1134"/>
      <c r="E15" s="1134"/>
      <c r="F15" s="1087" t="s">
        <v>499</v>
      </c>
      <c r="G15" s="147" t="s">
        <v>500</v>
      </c>
      <c r="H15" s="1076">
        <v>2951</v>
      </c>
      <c r="I15" s="517">
        <v>518</v>
      </c>
      <c r="J15" s="617">
        <v>1</v>
      </c>
    </row>
    <row r="16" spans="1:10" ht="15.75" thickBot="1" x14ac:dyDescent="0.3">
      <c r="B16" s="1134"/>
      <c r="C16" s="1116"/>
      <c r="D16" s="1136"/>
      <c r="E16" s="1136"/>
      <c r="F16" s="648" t="s">
        <v>497</v>
      </c>
      <c r="G16" s="147" t="s">
        <v>267</v>
      </c>
      <c r="H16" s="1076">
        <v>2942</v>
      </c>
      <c r="I16" s="517">
        <v>496</v>
      </c>
      <c r="J16" s="617">
        <v>1</v>
      </c>
    </row>
    <row r="17" spans="2:12" ht="15.75" thickBot="1" x14ac:dyDescent="0.3">
      <c r="B17" s="1134"/>
      <c r="C17" s="1135" t="s">
        <v>273</v>
      </c>
      <c r="D17" s="1133" t="s">
        <v>612</v>
      </c>
      <c r="E17" s="1133" t="s">
        <v>1159</v>
      </c>
      <c r="F17" s="1086" t="s">
        <v>581</v>
      </c>
      <c r="G17" s="147" t="s">
        <v>583</v>
      </c>
      <c r="H17" s="1076">
        <v>4833</v>
      </c>
      <c r="I17" s="517">
        <v>1028</v>
      </c>
      <c r="J17" s="617">
        <v>1</v>
      </c>
      <c r="L17" s="1" t="s">
        <v>724</v>
      </c>
    </row>
    <row r="18" spans="2:12" ht="15.75" thickBot="1" x14ac:dyDescent="0.3">
      <c r="B18" s="1134"/>
      <c r="C18" s="1134"/>
      <c r="D18" s="1134"/>
      <c r="E18" s="1134"/>
      <c r="F18" s="1087" t="s">
        <v>582</v>
      </c>
      <c r="G18" s="147" t="s">
        <v>584</v>
      </c>
      <c r="H18" s="1076">
        <v>7377</v>
      </c>
      <c r="I18" s="517">
        <v>1340</v>
      </c>
      <c r="J18" s="617">
        <v>1</v>
      </c>
    </row>
    <row r="19" spans="2:12" ht="15.75" thickBot="1" x14ac:dyDescent="0.3">
      <c r="B19" s="1134"/>
      <c r="C19" s="1134"/>
      <c r="D19" s="1134"/>
      <c r="E19" s="1134"/>
      <c r="F19" s="1087" t="s">
        <v>61</v>
      </c>
      <c r="G19" s="147" t="s">
        <v>147</v>
      </c>
      <c r="H19" s="1076">
        <v>11363</v>
      </c>
      <c r="I19" s="517">
        <v>1983</v>
      </c>
      <c r="J19" s="617">
        <v>1</v>
      </c>
    </row>
    <row r="20" spans="2:12" ht="15.75" thickBot="1" x14ac:dyDescent="0.3">
      <c r="B20" s="1134"/>
      <c r="C20" s="1134"/>
      <c r="D20" s="1134"/>
      <c r="E20" s="1134"/>
      <c r="F20" s="1087" t="s">
        <v>585</v>
      </c>
      <c r="G20" s="147" t="s">
        <v>502</v>
      </c>
      <c r="H20" s="1076">
        <v>4007</v>
      </c>
      <c r="I20" s="517">
        <v>734</v>
      </c>
      <c r="J20" s="617">
        <v>1</v>
      </c>
    </row>
    <row r="21" spans="2:12" ht="15.75" thickBot="1" x14ac:dyDescent="0.3">
      <c r="B21" s="1134"/>
      <c r="C21" s="1134"/>
      <c r="D21" s="1134"/>
      <c r="E21" s="1134"/>
      <c r="F21" s="1087" t="s">
        <v>586</v>
      </c>
      <c r="G21" s="147" t="s">
        <v>588</v>
      </c>
      <c r="H21" s="1076">
        <v>13794</v>
      </c>
      <c r="I21" s="517">
        <v>2668</v>
      </c>
      <c r="J21" s="617">
        <v>1</v>
      </c>
    </row>
    <row r="22" spans="2:12" ht="15.75" thickBot="1" x14ac:dyDescent="0.3">
      <c r="B22" s="1134"/>
      <c r="C22" s="1134"/>
      <c r="D22" s="1136"/>
      <c r="E22" s="1136"/>
      <c r="F22" s="648" t="s">
        <v>65</v>
      </c>
      <c r="G22" s="147" t="s">
        <v>151</v>
      </c>
      <c r="H22" s="1076">
        <v>13743</v>
      </c>
      <c r="I22" s="517">
        <v>2692</v>
      </c>
      <c r="J22" s="617">
        <v>1</v>
      </c>
    </row>
    <row r="23" spans="2:12" ht="15.75" thickBot="1" x14ac:dyDescent="0.3">
      <c r="B23" s="1134"/>
      <c r="C23" s="1135" t="s">
        <v>575</v>
      </c>
      <c r="D23" s="1101" t="s">
        <v>612</v>
      </c>
      <c r="E23" s="1133" t="s">
        <v>956</v>
      </c>
      <c r="F23" s="1086" t="s">
        <v>59</v>
      </c>
      <c r="G23" s="147" t="s">
        <v>145</v>
      </c>
      <c r="H23" s="1076">
        <v>2252</v>
      </c>
      <c r="I23" s="517">
        <v>392</v>
      </c>
      <c r="J23" s="617">
        <v>1</v>
      </c>
    </row>
    <row r="24" spans="2:12" ht="15.75" thickBot="1" x14ac:dyDescent="0.3">
      <c r="B24" s="1134"/>
      <c r="C24" s="1134"/>
      <c r="D24" s="1101"/>
      <c r="E24" s="1134"/>
      <c r="F24" s="1087" t="s">
        <v>62</v>
      </c>
      <c r="G24" s="147" t="s">
        <v>148</v>
      </c>
      <c r="H24" s="1076">
        <v>4481</v>
      </c>
      <c r="I24" s="517">
        <v>799</v>
      </c>
      <c r="J24" s="617">
        <v>1</v>
      </c>
    </row>
    <row r="25" spans="2:12" ht="15.75" thickBot="1" x14ac:dyDescent="0.3">
      <c r="B25" s="1134"/>
      <c r="C25" s="1134"/>
      <c r="D25" s="1101"/>
      <c r="E25" s="1134"/>
      <c r="F25" s="1087" t="s">
        <v>587</v>
      </c>
      <c r="G25" s="147" t="s">
        <v>589</v>
      </c>
      <c r="H25" s="1076">
        <v>11234</v>
      </c>
      <c r="I25" s="517">
        <v>2259</v>
      </c>
      <c r="J25" s="617">
        <v>1</v>
      </c>
    </row>
    <row r="26" spans="2:12" ht="15.75" thickBot="1" x14ac:dyDescent="0.3">
      <c r="B26" s="1134"/>
      <c r="C26" s="1134"/>
      <c r="D26" s="1101"/>
      <c r="E26" s="1136"/>
      <c r="F26" s="648" t="s">
        <v>66</v>
      </c>
      <c r="G26" s="147" t="s">
        <v>152</v>
      </c>
      <c r="H26" s="1076">
        <v>13049</v>
      </c>
      <c r="I26" s="517">
        <v>2270</v>
      </c>
      <c r="J26" s="617">
        <v>1</v>
      </c>
    </row>
    <row r="27" spans="2:12" ht="15.75" thickBot="1" x14ac:dyDescent="0.3">
      <c r="B27" s="1134"/>
      <c r="C27" s="1135" t="s">
        <v>913</v>
      </c>
      <c r="D27" s="1101" t="s">
        <v>612</v>
      </c>
      <c r="E27" s="1133" t="s">
        <v>1147</v>
      </c>
      <c r="F27" s="1086" t="s">
        <v>580</v>
      </c>
      <c r="G27" s="147" t="s">
        <v>268</v>
      </c>
      <c r="H27" s="1076">
        <v>3440</v>
      </c>
      <c r="I27" s="517">
        <v>621</v>
      </c>
      <c r="J27" s="617">
        <v>1</v>
      </c>
    </row>
    <row r="28" spans="2:12" ht="15.75" thickBot="1" x14ac:dyDescent="0.3">
      <c r="B28" s="1136"/>
      <c r="C28" s="1136"/>
      <c r="D28" s="1101"/>
      <c r="E28" s="1136"/>
      <c r="F28" s="648" t="s">
        <v>68</v>
      </c>
      <c r="G28" s="147" t="s">
        <v>154</v>
      </c>
      <c r="H28" s="1076">
        <v>5855</v>
      </c>
      <c r="I28" s="517">
        <v>981</v>
      </c>
      <c r="J28" s="617">
        <v>1</v>
      </c>
    </row>
    <row r="29" spans="2:12" ht="15.75" thickBot="1" x14ac:dyDescent="0.3">
      <c r="B29" s="1118" t="s">
        <v>596</v>
      </c>
      <c r="C29" s="1119"/>
      <c r="D29" s="1119"/>
      <c r="E29" s="1119"/>
      <c r="F29" s="1119"/>
      <c r="G29" s="1120"/>
      <c r="H29" s="1077">
        <v>101547</v>
      </c>
      <c r="I29" s="947">
        <v>18822</v>
      </c>
      <c r="J29" s="1072">
        <v>15</v>
      </c>
    </row>
    <row r="30" spans="2:12" ht="15.75" thickBot="1" x14ac:dyDescent="0.3">
      <c r="B30" s="147" t="s">
        <v>817</v>
      </c>
      <c r="C30" s="147" t="s">
        <v>658</v>
      </c>
      <c r="D30" s="147" t="s">
        <v>613</v>
      </c>
      <c r="E30" s="147" t="s">
        <v>1055</v>
      </c>
      <c r="F30" s="147" t="s">
        <v>36</v>
      </c>
      <c r="G30" s="147" t="s">
        <v>122</v>
      </c>
      <c r="H30" s="1076">
        <v>2606</v>
      </c>
      <c r="I30" s="517">
        <v>687</v>
      </c>
      <c r="J30" s="617">
        <v>1</v>
      </c>
    </row>
    <row r="31" spans="2:12" ht="15.75" thickBot="1" x14ac:dyDescent="0.3">
      <c r="B31" s="1118" t="s">
        <v>818</v>
      </c>
      <c r="C31" s="1121"/>
      <c r="D31" s="1121"/>
      <c r="E31" s="1121"/>
      <c r="F31" s="1121"/>
      <c r="G31" s="1122"/>
      <c r="H31" s="1077">
        <v>2606</v>
      </c>
      <c r="I31" s="947">
        <v>687</v>
      </c>
      <c r="J31" s="1072">
        <v>1</v>
      </c>
    </row>
    <row r="32" spans="2:12" ht="15.75" thickBot="1" x14ac:dyDescent="0.3">
      <c r="B32" s="1130" t="s">
        <v>204</v>
      </c>
      <c r="C32" s="1131"/>
      <c r="D32" s="1131"/>
      <c r="E32" s="1131"/>
      <c r="F32" s="1131"/>
      <c r="G32" s="1132"/>
      <c r="H32" s="1079">
        <v>121386</v>
      </c>
      <c r="I32" s="1070">
        <v>23612</v>
      </c>
      <c r="J32" s="1073">
        <v>20</v>
      </c>
    </row>
    <row r="33" spans="2:10" x14ac:dyDescent="0.25">
      <c r="B33"/>
      <c r="C33"/>
      <c r="D33"/>
      <c r="E33"/>
      <c r="F33"/>
      <c r="G33"/>
      <c r="H33"/>
      <c r="I33"/>
      <c r="J33"/>
    </row>
    <row r="34" spans="2:10" x14ac:dyDescent="0.25">
      <c r="B34"/>
      <c r="C34"/>
      <c r="D34"/>
      <c r="E34"/>
      <c r="F34"/>
      <c r="G34"/>
      <c r="H34"/>
      <c r="I34"/>
      <c r="J34"/>
    </row>
    <row r="35" spans="2:10" x14ac:dyDescent="0.25">
      <c r="B35"/>
      <c r="C35"/>
      <c r="D35"/>
      <c r="E35"/>
      <c r="F35"/>
      <c r="G35"/>
      <c r="H35"/>
      <c r="I35"/>
      <c r="J35"/>
    </row>
    <row r="36" spans="2:10" x14ac:dyDescent="0.25">
      <c r="B36"/>
      <c r="C36"/>
      <c r="D36"/>
      <c r="E36"/>
      <c r="F36"/>
      <c r="G36"/>
      <c r="H36"/>
      <c r="I36"/>
      <c r="J36"/>
    </row>
    <row r="37" spans="2:10" x14ac:dyDescent="0.25">
      <c r="B37"/>
      <c r="C37"/>
      <c r="D37"/>
      <c r="E37"/>
      <c r="F37"/>
      <c r="G37"/>
      <c r="H37"/>
      <c r="I37"/>
      <c r="J37"/>
    </row>
    <row r="38" spans="2:10" x14ac:dyDescent="0.25">
      <c r="B38"/>
      <c r="C38"/>
      <c r="D38"/>
      <c r="E38"/>
      <c r="F38"/>
      <c r="G38"/>
      <c r="H38"/>
      <c r="I38"/>
      <c r="J38"/>
    </row>
    <row r="39" spans="2:10" x14ac:dyDescent="0.25">
      <c r="B39"/>
      <c r="C39"/>
      <c r="D39"/>
      <c r="E39"/>
      <c r="F39"/>
      <c r="G39"/>
      <c r="H39"/>
      <c r="I39"/>
      <c r="J39"/>
    </row>
    <row r="40" spans="2:10" x14ac:dyDescent="0.25">
      <c r="B40"/>
      <c r="C40"/>
      <c r="D40"/>
      <c r="E40"/>
      <c r="F40"/>
      <c r="G40"/>
      <c r="H40"/>
      <c r="I40"/>
      <c r="J40"/>
    </row>
  </sheetData>
  <mergeCells count="21">
    <mergeCell ref="B32:G32"/>
    <mergeCell ref="C9:C10"/>
    <mergeCell ref="C11:C12"/>
    <mergeCell ref="C14:C16"/>
    <mergeCell ref="C17:C22"/>
    <mergeCell ref="C23:C26"/>
    <mergeCell ref="C27:C28"/>
    <mergeCell ref="D9:D12"/>
    <mergeCell ref="D14:D16"/>
    <mergeCell ref="D17:D28"/>
    <mergeCell ref="E9:E10"/>
    <mergeCell ref="E11:E12"/>
    <mergeCell ref="E14:E16"/>
    <mergeCell ref="E17:E22"/>
    <mergeCell ref="E23:E26"/>
    <mergeCell ref="E27:E28"/>
    <mergeCell ref="B9:B12"/>
    <mergeCell ref="B13:G13"/>
    <mergeCell ref="B14:B28"/>
    <mergeCell ref="B29:G29"/>
    <mergeCell ref="B31:G31"/>
  </mergeCells>
  <pageMargins left="0.7" right="0.7" top="0.75" bottom="0.75" header="0.3" footer="0.3"/>
  <pageSetup paperSize="9" scale="54"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topLeftCell="A13" zoomScale="84" zoomScaleNormal="84" workbookViewId="0">
      <selection activeCell="D23" sqref="D23"/>
    </sheetView>
  </sheetViews>
  <sheetFormatPr defaultColWidth="9.140625" defaultRowHeight="15" x14ac:dyDescent="0.25"/>
  <cols>
    <col min="1" max="1" width="21.7109375" style="78" customWidth="1"/>
    <col min="2" max="2" width="31" style="78" bestFit="1" customWidth="1"/>
    <col min="3" max="3" width="17.7109375" style="78" customWidth="1"/>
    <col min="4" max="4" width="17" style="78" customWidth="1"/>
    <col min="5" max="5" width="17.85546875" style="78" bestFit="1" customWidth="1"/>
    <col min="6" max="6" width="7.140625" style="78" bestFit="1" customWidth="1"/>
    <col min="7" max="7" width="8.42578125" style="78" customWidth="1"/>
    <col min="8" max="8" width="9.5703125" style="78" customWidth="1"/>
    <col min="9" max="9" width="7.7109375" style="78" customWidth="1"/>
    <col min="10" max="16384" width="9.140625" style="78"/>
  </cols>
  <sheetData>
    <row r="1" spans="1:61" s="1" customFormat="1" ht="36" x14ac:dyDescent="0.25">
      <c r="A1" s="157"/>
      <c r="B1" s="158"/>
      <c r="C1" s="158"/>
      <c r="D1" s="158"/>
      <c r="E1" s="158"/>
      <c r="F1" s="158"/>
      <c r="G1" s="158"/>
      <c r="H1" s="174"/>
      <c r="I1" s="80"/>
      <c r="J1" s="80"/>
      <c r="K1" s="80"/>
      <c r="L1" s="80"/>
      <c r="M1" s="80"/>
      <c r="N1" s="80"/>
      <c r="O1" s="80"/>
      <c r="P1" s="80"/>
      <c r="Q1" s="80"/>
      <c r="R1" s="80"/>
      <c r="S1" s="178"/>
      <c r="T1" s="178"/>
      <c r="U1" s="80"/>
      <c r="V1" s="179"/>
      <c r="W1" s="179"/>
      <c r="X1" s="38"/>
      <c r="Y1" s="38"/>
      <c r="BH1" s="57"/>
      <c r="BI1" s="57"/>
    </row>
    <row r="2" spans="1:61" s="1" customFormat="1" ht="36" x14ac:dyDescent="0.25">
      <c r="A2" s="1095" t="s">
        <v>950</v>
      </c>
      <c r="B2" s="1096"/>
      <c r="C2" s="1096"/>
      <c r="D2" s="56"/>
      <c r="E2" s="56"/>
      <c r="F2" s="56"/>
      <c r="G2" s="56"/>
      <c r="H2" s="182"/>
      <c r="I2" s="80"/>
      <c r="J2" s="80"/>
      <c r="K2" s="80"/>
      <c r="L2" s="80"/>
      <c r="M2" s="80"/>
      <c r="N2" s="80"/>
      <c r="O2" s="80"/>
      <c r="P2" s="80"/>
      <c r="Q2" s="6"/>
      <c r="R2" s="6"/>
      <c r="S2" s="6"/>
      <c r="T2" s="6"/>
      <c r="U2" s="6"/>
      <c r="V2" s="38"/>
      <c r="W2" s="38"/>
      <c r="X2" s="38"/>
      <c r="Y2" s="38"/>
      <c r="BF2" s="57"/>
      <c r="BG2" s="57"/>
    </row>
    <row r="3" spans="1:61" s="16" customFormat="1" ht="41.25" customHeight="1" x14ac:dyDescent="0.25">
      <c r="A3" s="1097">
        <f>Report_Date</f>
        <v>43190</v>
      </c>
      <c r="B3" s="1098"/>
      <c r="C3" s="1098"/>
      <c r="D3" s="162"/>
      <c r="E3" s="162"/>
      <c r="F3" s="162"/>
      <c r="G3" s="162"/>
      <c r="H3" s="183"/>
      <c r="I3" s="180"/>
      <c r="J3" s="180"/>
      <c r="K3" s="38"/>
      <c r="L3" s="180"/>
      <c r="M3" s="180"/>
      <c r="N3" s="180"/>
      <c r="O3" s="180"/>
      <c r="P3" s="180"/>
      <c r="Q3" s="180"/>
      <c r="R3" s="6"/>
      <c r="S3" s="181"/>
      <c r="T3" s="180"/>
      <c r="U3" s="180"/>
      <c r="V3" s="38"/>
      <c r="W3" s="38"/>
      <c r="X3" s="38"/>
      <c r="Y3" s="38"/>
      <c r="BF3" s="58"/>
      <c r="BG3" s="58"/>
    </row>
    <row r="4" spans="1:61" s="104" customFormat="1" x14ac:dyDescent="0.25">
      <c r="A4" s="504" t="s">
        <v>0</v>
      </c>
      <c r="B4" s="504" t="s">
        <v>9</v>
      </c>
      <c r="C4" s="504" t="s">
        <v>8</v>
      </c>
      <c r="D4" s="170" t="s">
        <v>329</v>
      </c>
      <c r="E4" s="471" t="s">
        <v>556</v>
      </c>
      <c r="F4" s="471" t="s">
        <v>557</v>
      </c>
      <c r="G4" s="670" t="s">
        <v>845</v>
      </c>
      <c r="H4"/>
    </row>
    <row r="5" spans="1:61" ht="12" customHeight="1" x14ac:dyDescent="0.25">
      <c r="A5" s="670" t="s">
        <v>14</v>
      </c>
      <c r="B5" s="670" t="s">
        <v>44</v>
      </c>
      <c r="C5" s="670" t="s">
        <v>130</v>
      </c>
      <c r="D5" s="670" t="s">
        <v>944</v>
      </c>
      <c r="E5" s="505">
        <v>24</v>
      </c>
      <c r="F5" s="505">
        <v>140</v>
      </c>
      <c r="G5" s="88">
        <v>1</v>
      </c>
      <c r="H5"/>
    </row>
    <row r="6" spans="1:61" ht="12" customHeight="1" x14ac:dyDescent="0.25">
      <c r="A6" s="670"/>
      <c r="B6" s="670" t="s">
        <v>47</v>
      </c>
      <c r="C6" s="670" t="s">
        <v>133</v>
      </c>
      <c r="D6" s="670" t="s">
        <v>944</v>
      </c>
      <c r="E6" s="505">
        <v>14</v>
      </c>
      <c r="F6" s="505">
        <v>84</v>
      </c>
      <c r="G6" s="88">
        <v>1</v>
      </c>
      <c r="H6"/>
    </row>
    <row r="7" spans="1:61" ht="12" customHeight="1" x14ac:dyDescent="0.25">
      <c r="A7" s="670"/>
      <c r="B7" s="670" t="s">
        <v>46</v>
      </c>
      <c r="C7" s="670" t="s">
        <v>132</v>
      </c>
      <c r="D7" s="670" t="s">
        <v>944</v>
      </c>
      <c r="E7" s="505">
        <v>100</v>
      </c>
      <c r="F7" s="505">
        <v>559</v>
      </c>
      <c r="G7" s="88">
        <v>1</v>
      </c>
      <c r="H7"/>
    </row>
    <row r="8" spans="1:61" ht="12" customHeight="1" x14ac:dyDescent="0.25">
      <c r="A8" s="670"/>
      <c r="B8" s="670" t="s">
        <v>49</v>
      </c>
      <c r="C8" s="670" t="s">
        <v>135</v>
      </c>
      <c r="D8" s="670" t="s">
        <v>944</v>
      </c>
      <c r="E8" s="505">
        <v>116</v>
      </c>
      <c r="F8" s="505">
        <v>802</v>
      </c>
      <c r="G8" s="88">
        <v>1</v>
      </c>
      <c r="H8"/>
    </row>
    <row r="9" spans="1:61" ht="12" customHeight="1" x14ac:dyDescent="0.25">
      <c r="A9" s="670"/>
      <c r="B9" s="670" t="s">
        <v>48</v>
      </c>
      <c r="C9" s="670" t="s">
        <v>134</v>
      </c>
      <c r="D9" s="670" t="s">
        <v>944</v>
      </c>
      <c r="E9" s="505">
        <v>236</v>
      </c>
      <c r="F9" s="505">
        <v>1524</v>
      </c>
      <c r="G9" s="88">
        <v>1</v>
      </c>
      <c r="H9"/>
    </row>
    <row r="10" spans="1:61" ht="12" customHeight="1" x14ac:dyDescent="0.25">
      <c r="A10" s="670"/>
      <c r="B10" s="670" t="s">
        <v>52</v>
      </c>
      <c r="C10" s="670" t="s">
        <v>138</v>
      </c>
      <c r="D10" s="670" t="s">
        <v>943</v>
      </c>
      <c r="E10" s="505">
        <v>97</v>
      </c>
      <c r="F10" s="505">
        <v>557</v>
      </c>
      <c r="G10" s="88">
        <v>1</v>
      </c>
      <c r="H10"/>
    </row>
    <row r="11" spans="1:61" ht="12" customHeight="1" x14ac:dyDescent="0.25">
      <c r="A11" s="670"/>
      <c r="B11" s="670" t="s">
        <v>42</v>
      </c>
      <c r="C11" s="670" t="s">
        <v>128</v>
      </c>
      <c r="D11" s="670" t="s">
        <v>944</v>
      </c>
      <c r="E11" s="505">
        <v>18</v>
      </c>
      <c r="F11" s="505">
        <v>157</v>
      </c>
      <c r="G11" s="88">
        <v>1</v>
      </c>
      <c r="H11"/>
    </row>
    <row r="12" spans="1:61" ht="12" customHeight="1" x14ac:dyDescent="0.25">
      <c r="A12" s="670"/>
      <c r="B12" s="670" t="s">
        <v>51</v>
      </c>
      <c r="C12" s="670" t="s">
        <v>137</v>
      </c>
      <c r="D12" s="670" t="s">
        <v>944</v>
      </c>
      <c r="E12" s="505">
        <v>144</v>
      </c>
      <c r="F12" s="505">
        <v>1006</v>
      </c>
      <c r="G12" s="88">
        <v>1</v>
      </c>
      <c r="H12"/>
      <c r="N12" s="78" t="s">
        <v>724</v>
      </c>
    </row>
    <row r="13" spans="1:61" x14ac:dyDescent="0.25">
      <c r="A13" s="670"/>
      <c r="B13" s="670" t="s">
        <v>43</v>
      </c>
      <c r="C13" s="670" t="s">
        <v>129</v>
      </c>
      <c r="D13" s="670" t="s">
        <v>944</v>
      </c>
      <c r="E13" s="505">
        <v>63</v>
      </c>
      <c r="F13" s="505">
        <v>414</v>
      </c>
      <c r="G13" s="88">
        <v>1</v>
      </c>
      <c r="H13"/>
    </row>
    <row r="14" spans="1:61" x14ac:dyDescent="0.25">
      <c r="A14" s="670"/>
      <c r="B14" s="670" t="s">
        <v>50</v>
      </c>
      <c r="C14" s="670" t="s">
        <v>136</v>
      </c>
      <c r="D14" s="670" t="s">
        <v>944</v>
      </c>
      <c r="E14" s="505">
        <v>112</v>
      </c>
      <c r="F14" s="505">
        <v>738</v>
      </c>
      <c r="G14" s="88">
        <v>1</v>
      </c>
      <c r="H14"/>
    </row>
    <row r="15" spans="1:61" x14ac:dyDescent="0.25">
      <c r="A15" s="670" t="s">
        <v>920</v>
      </c>
      <c r="B15" s="670"/>
      <c r="C15" s="670"/>
      <c r="D15" s="670"/>
      <c r="E15" s="505">
        <v>924</v>
      </c>
      <c r="F15" s="505">
        <v>5981</v>
      </c>
      <c r="G15" s="88">
        <v>10</v>
      </c>
      <c r="H15"/>
    </row>
    <row r="16" spans="1:61" x14ac:dyDescent="0.25">
      <c r="A16" s="670" t="s">
        <v>18</v>
      </c>
      <c r="B16" s="670" t="s">
        <v>101</v>
      </c>
      <c r="C16" s="670" t="s">
        <v>187</v>
      </c>
      <c r="D16" s="670" t="s">
        <v>944</v>
      </c>
      <c r="E16" s="505">
        <v>17</v>
      </c>
      <c r="F16" s="505">
        <v>109</v>
      </c>
      <c r="G16" s="88">
        <v>1</v>
      </c>
      <c r="H16"/>
    </row>
    <row r="17" spans="1:8" x14ac:dyDescent="0.25">
      <c r="A17" s="670" t="s">
        <v>597</v>
      </c>
      <c r="B17" s="670"/>
      <c r="C17" s="670"/>
      <c r="D17" s="670"/>
      <c r="E17" s="505">
        <v>17</v>
      </c>
      <c r="F17" s="505">
        <v>109</v>
      </c>
      <c r="G17" s="88">
        <v>1</v>
      </c>
      <c r="H17"/>
    </row>
    <row r="18" spans="1:8" x14ac:dyDescent="0.25">
      <c r="A18" s="670" t="s">
        <v>11</v>
      </c>
      <c r="B18" s="670" t="s">
        <v>28</v>
      </c>
      <c r="C18" s="670" t="s">
        <v>114</v>
      </c>
      <c r="D18" s="670" t="s">
        <v>944</v>
      </c>
      <c r="E18" s="505">
        <v>87</v>
      </c>
      <c r="F18" s="505">
        <v>444</v>
      </c>
      <c r="G18" s="88">
        <v>1</v>
      </c>
      <c r="H18"/>
    </row>
    <row r="19" spans="1:8" x14ac:dyDescent="0.25">
      <c r="A19" s="670"/>
      <c r="B19" s="670" t="s">
        <v>23</v>
      </c>
      <c r="C19" s="670" t="s">
        <v>109</v>
      </c>
      <c r="D19" s="670" t="s">
        <v>944</v>
      </c>
      <c r="E19" s="505">
        <v>19</v>
      </c>
      <c r="F19" s="505">
        <v>142</v>
      </c>
      <c r="G19" s="88">
        <v>1</v>
      </c>
      <c r="H19"/>
    </row>
    <row r="20" spans="1:8" x14ac:dyDescent="0.25">
      <c r="A20" s="670"/>
      <c r="B20" s="670" t="s">
        <v>30</v>
      </c>
      <c r="C20" s="670" t="s">
        <v>116</v>
      </c>
      <c r="D20" s="670" t="s">
        <v>944</v>
      </c>
      <c r="E20" s="505">
        <v>228</v>
      </c>
      <c r="F20" s="505">
        <v>1377</v>
      </c>
      <c r="G20" s="88">
        <v>1</v>
      </c>
      <c r="H20"/>
    </row>
    <row r="21" spans="1:8" x14ac:dyDescent="0.25">
      <c r="A21" s="670"/>
      <c r="B21" s="670" t="s">
        <v>25</v>
      </c>
      <c r="C21" s="670" t="s">
        <v>111</v>
      </c>
      <c r="D21" s="670" t="s">
        <v>944</v>
      </c>
      <c r="E21" s="505">
        <v>86</v>
      </c>
      <c r="F21" s="505">
        <v>476</v>
      </c>
      <c r="G21" s="88">
        <v>1</v>
      </c>
      <c r="H21"/>
    </row>
    <row r="22" spans="1:8" x14ac:dyDescent="0.25">
      <c r="A22" s="670"/>
      <c r="B22" s="670" t="s">
        <v>513</v>
      </c>
      <c r="C22" s="670" t="s">
        <v>514</v>
      </c>
      <c r="D22" s="670" t="s">
        <v>944</v>
      </c>
      <c r="E22" s="505">
        <v>18</v>
      </c>
      <c r="F22" s="505">
        <v>72</v>
      </c>
      <c r="G22" s="88">
        <v>1</v>
      </c>
      <c r="H22"/>
    </row>
    <row r="23" spans="1:8" x14ac:dyDescent="0.25">
      <c r="A23" s="670"/>
      <c r="B23" s="670" t="s">
        <v>24</v>
      </c>
      <c r="C23" s="670" t="s">
        <v>110</v>
      </c>
      <c r="D23" s="670" t="s">
        <v>944</v>
      </c>
      <c r="E23" s="505">
        <v>203</v>
      </c>
      <c r="F23" s="505">
        <v>1420</v>
      </c>
      <c r="G23" s="88">
        <v>1</v>
      </c>
      <c r="H23"/>
    </row>
    <row r="24" spans="1:8" x14ac:dyDescent="0.25">
      <c r="A24" s="670"/>
      <c r="B24" s="670" t="s">
        <v>27</v>
      </c>
      <c r="C24" s="670" t="s">
        <v>113</v>
      </c>
      <c r="D24" s="670" t="s">
        <v>944</v>
      </c>
      <c r="E24" s="505">
        <v>275</v>
      </c>
      <c r="F24" s="505">
        <v>1707</v>
      </c>
      <c r="G24" s="88">
        <v>1</v>
      </c>
      <c r="H24"/>
    </row>
    <row r="25" spans="1:8" x14ac:dyDescent="0.25">
      <c r="A25" s="670" t="s">
        <v>949</v>
      </c>
      <c r="B25" s="670"/>
      <c r="C25" s="670"/>
      <c r="D25" s="670"/>
      <c r="E25" s="505">
        <v>916</v>
      </c>
      <c r="F25" s="505">
        <v>5638</v>
      </c>
      <c r="G25" s="88">
        <v>7</v>
      </c>
      <c r="H25"/>
    </row>
    <row r="26" spans="1:8" x14ac:dyDescent="0.25">
      <c r="A26" s="670" t="s">
        <v>13</v>
      </c>
      <c r="B26" s="670" t="s">
        <v>37</v>
      </c>
      <c r="C26" s="670" t="s">
        <v>123</v>
      </c>
      <c r="D26" s="670" t="s">
        <v>943</v>
      </c>
      <c r="E26" s="505">
        <v>21</v>
      </c>
      <c r="F26" s="505">
        <v>122</v>
      </c>
      <c r="G26" s="88">
        <v>1</v>
      </c>
      <c r="H26"/>
    </row>
    <row r="27" spans="1:8" x14ac:dyDescent="0.25">
      <c r="A27" s="670" t="s">
        <v>598</v>
      </c>
      <c r="B27" s="670"/>
      <c r="C27" s="670"/>
      <c r="D27" s="670"/>
      <c r="E27" s="505">
        <v>21</v>
      </c>
      <c r="F27" s="505">
        <v>122</v>
      </c>
      <c r="G27" s="88">
        <v>1</v>
      </c>
      <c r="H27"/>
    </row>
    <row r="28" spans="1:8" x14ac:dyDescent="0.25">
      <c r="A28" s="670" t="s">
        <v>15</v>
      </c>
      <c r="B28" s="670" t="s">
        <v>54</v>
      </c>
      <c r="C28" s="670" t="s">
        <v>140</v>
      </c>
      <c r="D28" s="670" t="s">
        <v>944</v>
      </c>
      <c r="E28" s="505">
        <v>32</v>
      </c>
      <c r="F28" s="505">
        <v>157</v>
      </c>
      <c r="G28" s="88">
        <v>1</v>
      </c>
      <c r="H28"/>
    </row>
    <row r="29" spans="1:8" x14ac:dyDescent="0.25">
      <c r="A29" s="670"/>
      <c r="B29" s="670" t="s">
        <v>53</v>
      </c>
      <c r="C29" s="670" t="s">
        <v>139</v>
      </c>
      <c r="D29" s="670" t="s">
        <v>944</v>
      </c>
      <c r="E29" s="505">
        <v>56</v>
      </c>
      <c r="F29" s="505">
        <v>332</v>
      </c>
      <c r="G29" s="88">
        <v>1</v>
      </c>
      <c r="H29"/>
    </row>
    <row r="30" spans="1:8" x14ac:dyDescent="0.25">
      <c r="A30" s="670" t="s">
        <v>600</v>
      </c>
      <c r="B30" s="670"/>
      <c r="C30" s="670"/>
      <c r="D30" s="670"/>
      <c r="E30" s="505">
        <v>88</v>
      </c>
      <c r="F30" s="505">
        <v>489</v>
      </c>
      <c r="G30" s="88">
        <v>2</v>
      </c>
      <c r="H30"/>
    </row>
    <row r="31" spans="1:8" x14ac:dyDescent="0.25">
      <c r="A31" s="670" t="s">
        <v>17</v>
      </c>
      <c r="B31" s="670" t="s">
        <v>74</v>
      </c>
      <c r="C31" s="670" t="s">
        <v>269</v>
      </c>
      <c r="D31" s="670" t="s">
        <v>943</v>
      </c>
      <c r="E31" s="505">
        <v>151</v>
      </c>
      <c r="F31" s="505">
        <v>654</v>
      </c>
      <c r="G31" s="88">
        <v>1</v>
      </c>
      <c r="H31"/>
    </row>
    <row r="32" spans="1:8" x14ac:dyDescent="0.25">
      <c r="A32" s="670"/>
      <c r="B32" s="670" t="s">
        <v>590</v>
      </c>
      <c r="C32" s="670" t="s">
        <v>592</v>
      </c>
      <c r="D32" s="670" t="s">
        <v>943</v>
      </c>
      <c r="E32" s="505">
        <v>249</v>
      </c>
      <c r="F32" s="505">
        <v>1282</v>
      </c>
      <c r="G32" s="88">
        <v>1</v>
      </c>
      <c r="H32"/>
    </row>
    <row r="33" spans="1:8" x14ac:dyDescent="0.25">
      <c r="A33" s="670"/>
      <c r="B33" s="670" t="s">
        <v>591</v>
      </c>
      <c r="C33" s="670" t="s">
        <v>593</v>
      </c>
      <c r="D33" s="670" t="s">
        <v>943</v>
      </c>
      <c r="E33" s="505">
        <v>420</v>
      </c>
      <c r="F33" s="505">
        <v>2200</v>
      </c>
      <c r="G33" s="88">
        <v>1</v>
      </c>
      <c r="H33"/>
    </row>
    <row r="34" spans="1:8" x14ac:dyDescent="0.25">
      <c r="A34" s="670"/>
      <c r="B34" s="670" t="s">
        <v>76</v>
      </c>
      <c r="C34" s="670" t="s">
        <v>162</v>
      </c>
      <c r="D34" s="670" t="s">
        <v>943</v>
      </c>
      <c r="E34" s="505">
        <v>72</v>
      </c>
      <c r="F34" s="505">
        <v>462</v>
      </c>
      <c r="G34" s="88">
        <v>1</v>
      </c>
      <c r="H34"/>
    </row>
    <row r="35" spans="1:8" x14ac:dyDescent="0.25">
      <c r="A35" s="670" t="s">
        <v>596</v>
      </c>
      <c r="B35" s="670"/>
      <c r="C35" s="670"/>
      <c r="D35" s="670"/>
      <c r="E35" s="505">
        <v>892</v>
      </c>
      <c r="F35" s="505">
        <v>4598</v>
      </c>
      <c r="G35" s="88">
        <v>4</v>
      </c>
      <c r="H35"/>
    </row>
    <row r="36" spans="1:8" x14ac:dyDescent="0.25">
      <c r="A36" s="670" t="s">
        <v>817</v>
      </c>
      <c r="B36" s="670" t="s">
        <v>35</v>
      </c>
      <c r="C36" s="670" t="s">
        <v>121</v>
      </c>
      <c r="D36" s="670" t="s">
        <v>943</v>
      </c>
      <c r="E36" s="505">
        <v>40</v>
      </c>
      <c r="F36" s="505">
        <v>204</v>
      </c>
      <c r="G36" s="88">
        <v>1</v>
      </c>
      <c r="H36"/>
    </row>
    <row r="37" spans="1:8" x14ac:dyDescent="0.25">
      <c r="A37" s="670" t="s">
        <v>818</v>
      </c>
      <c r="B37" s="670"/>
      <c r="C37" s="670"/>
      <c r="D37" s="670"/>
      <c r="E37" s="505">
        <v>40</v>
      </c>
      <c r="F37" s="505">
        <v>204</v>
      </c>
      <c r="G37" s="88">
        <v>1</v>
      </c>
      <c r="H37"/>
    </row>
    <row r="38" spans="1:8" x14ac:dyDescent="0.25">
      <c r="A38" s="670" t="s">
        <v>561</v>
      </c>
      <c r="B38" s="670" t="s">
        <v>441</v>
      </c>
      <c r="C38" s="670" t="s">
        <v>142</v>
      </c>
      <c r="D38" s="670" t="s">
        <v>943</v>
      </c>
      <c r="E38" s="505">
        <v>65</v>
      </c>
      <c r="F38" s="505">
        <v>327</v>
      </c>
      <c r="G38" s="88">
        <v>1</v>
      </c>
      <c r="H38"/>
    </row>
    <row r="39" spans="1:8" x14ac:dyDescent="0.25">
      <c r="A39" s="670" t="s">
        <v>942</v>
      </c>
      <c r="B39" s="670"/>
      <c r="C39" s="670"/>
      <c r="D39" s="670"/>
      <c r="E39" s="505">
        <v>65</v>
      </c>
      <c r="F39" s="505">
        <v>327</v>
      </c>
      <c r="G39" s="88">
        <v>1</v>
      </c>
      <c r="H39"/>
    </row>
    <row r="40" spans="1:8" x14ac:dyDescent="0.25">
      <c r="A40" s="670" t="s">
        <v>941</v>
      </c>
      <c r="B40" s="670" t="s">
        <v>31</v>
      </c>
      <c r="C40" s="670" t="s">
        <v>117</v>
      </c>
      <c r="D40" s="670" t="s">
        <v>944</v>
      </c>
      <c r="E40" s="505">
        <v>204</v>
      </c>
      <c r="F40" s="505">
        <v>1265</v>
      </c>
      <c r="G40" s="88">
        <v>1</v>
      </c>
      <c r="H40"/>
    </row>
    <row r="41" spans="1:8" x14ac:dyDescent="0.25">
      <c r="A41" s="670"/>
      <c r="B41" s="670" t="s">
        <v>34</v>
      </c>
      <c r="C41" s="670" t="s">
        <v>120</v>
      </c>
      <c r="D41" s="670" t="s">
        <v>943</v>
      </c>
      <c r="E41" s="505">
        <v>10</v>
      </c>
      <c r="F41" s="505">
        <v>64</v>
      </c>
      <c r="G41" s="88">
        <v>1</v>
      </c>
      <c r="H41"/>
    </row>
    <row r="42" spans="1:8" x14ac:dyDescent="0.25">
      <c r="A42" s="670"/>
      <c r="B42" s="670" t="s">
        <v>578</v>
      </c>
      <c r="C42" s="670" t="s">
        <v>579</v>
      </c>
      <c r="D42" s="670" t="s">
        <v>943</v>
      </c>
      <c r="E42" s="505">
        <v>32</v>
      </c>
      <c r="F42" s="505">
        <v>131</v>
      </c>
      <c r="G42" s="88">
        <v>1</v>
      </c>
      <c r="H42"/>
    </row>
    <row r="43" spans="1:8" x14ac:dyDescent="0.25">
      <c r="A43" s="670"/>
      <c r="B43" s="670" t="s">
        <v>32</v>
      </c>
      <c r="C43" s="670" t="s">
        <v>118</v>
      </c>
      <c r="D43" s="670" t="s">
        <v>944</v>
      </c>
      <c r="E43" s="505">
        <v>365</v>
      </c>
      <c r="F43" s="505">
        <v>2366</v>
      </c>
      <c r="G43" s="88">
        <v>1</v>
      </c>
      <c r="H43"/>
    </row>
    <row r="44" spans="1:8" x14ac:dyDescent="0.25">
      <c r="A44" s="670" t="s">
        <v>947</v>
      </c>
      <c r="B44" s="670"/>
      <c r="C44" s="670"/>
      <c r="D44" s="670"/>
      <c r="E44" s="505">
        <v>611</v>
      </c>
      <c r="F44" s="505">
        <v>3826</v>
      </c>
      <c r="G44" s="88">
        <v>4</v>
      </c>
      <c r="H44"/>
    </row>
    <row r="45" spans="1:8" x14ac:dyDescent="0.25">
      <c r="A45" s="670" t="s">
        <v>204</v>
      </c>
      <c r="B45" s="670"/>
      <c r="C45" s="670"/>
      <c r="D45" s="670"/>
      <c r="E45" s="505">
        <v>3574</v>
      </c>
      <c r="F45" s="505">
        <v>21294</v>
      </c>
      <c r="G45" s="88">
        <v>31</v>
      </c>
      <c r="H45"/>
    </row>
    <row r="46" spans="1:8" x14ac:dyDescent="0.25">
      <c r="A46"/>
      <c r="B46"/>
      <c r="C46"/>
      <c r="D46"/>
      <c r="E46"/>
      <c r="F46"/>
      <c r="G46"/>
      <c r="H46"/>
    </row>
    <row r="47" spans="1:8" x14ac:dyDescent="0.25">
      <c r="A47"/>
      <c r="B47"/>
      <c r="C47"/>
      <c r="D47"/>
      <c r="E47"/>
      <c r="F47"/>
      <c r="G47"/>
      <c r="H47"/>
    </row>
    <row r="48" spans="1:8" x14ac:dyDescent="0.25">
      <c r="A48"/>
      <c r="B48"/>
      <c r="C48"/>
      <c r="D48"/>
      <c r="E48"/>
      <c r="F48"/>
      <c r="G48"/>
      <c r="H48"/>
    </row>
    <row r="49" spans="1:8" x14ac:dyDescent="0.25">
      <c r="A49"/>
      <c r="B49"/>
      <c r="C49"/>
      <c r="D49"/>
      <c r="E49"/>
      <c r="F49"/>
      <c r="G49"/>
      <c r="H49"/>
    </row>
    <row r="50" spans="1:8" x14ac:dyDescent="0.25">
      <c r="A50"/>
      <c r="B50"/>
      <c r="C50"/>
      <c r="D50"/>
      <c r="E50"/>
      <c r="F50"/>
      <c r="G50"/>
      <c r="H50"/>
    </row>
    <row r="51" spans="1:8" x14ac:dyDescent="0.25">
      <c r="A51"/>
      <c r="B51"/>
      <c r="C51"/>
      <c r="D51"/>
      <c r="E51"/>
      <c r="F51"/>
      <c r="G51"/>
      <c r="H51"/>
    </row>
  </sheetData>
  <mergeCells count="2">
    <mergeCell ref="A2:C2"/>
    <mergeCell ref="A3:C3"/>
  </mergeCells>
  <pageMargins left="0.7" right="0.7" top="0.75" bottom="0.75" header="0.3" footer="0.3"/>
  <pageSetup paperSize="9" orientation="portrait" verticalDpi="0"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A375B30B-AA9A-4CAB-9059-805C7A84656D}">
            <xm:f>NOT(ISERROR(SEARCH("close",'Camp List'!R2)))</xm:f>
            <x14:dxf>
              <fill>
                <patternFill>
                  <bgColor rgb="FFFF0000"/>
                </patternFill>
              </fill>
            </x14:dxf>
          </x14:cfRule>
          <x14:cfRule type="containsText" priority="2" operator="containsText" text="open" id="{9F4D1FA4-A3F6-4B33-A84D-0CC6314AB6EC}">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7"/>
  <sheetViews>
    <sheetView workbookViewId="0">
      <selection activeCell="E19" sqref="E19"/>
    </sheetView>
  </sheetViews>
  <sheetFormatPr defaultColWidth="9.140625" defaultRowHeight="15" x14ac:dyDescent="0.25"/>
  <cols>
    <col min="1" max="1" width="2" style="1" customWidth="1"/>
    <col min="2" max="2" width="20.5703125" style="1" customWidth="1"/>
    <col min="3" max="3" width="28" style="1" bestFit="1" customWidth="1"/>
    <col min="4" max="4" width="19" style="1" customWidth="1"/>
    <col min="5" max="5" width="17.5703125" style="256" customWidth="1"/>
    <col min="6" max="6" width="7.5703125" style="326" customWidth="1"/>
    <col min="7" max="7" width="15.7109375" style="590" customWidth="1"/>
    <col min="8" max="16384" width="9.140625" style="1"/>
  </cols>
  <sheetData>
    <row r="1" spans="2:7" ht="12" customHeight="1" thickBot="1" x14ac:dyDescent="0.3"/>
    <row r="2" spans="2:7" s="555" customFormat="1" ht="12.75" x14ac:dyDescent="0.2">
      <c r="B2" s="556" t="s">
        <v>948</v>
      </c>
      <c r="C2" s="557"/>
      <c r="D2" s="557"/>
      <c r="E2" s="557"/>
      <c r="F2" s="557"/>
      <c r="G2" s="584"/>
    </row>
    <row r="3" spans="2:7" s="555" customFormat="1" ht="12.75" x14ac:dyDescent="0.2">
      <c r="B3" s="558">
        <f>Report_Date</f>
        <v>43190</v>
      </c>
      <c r="C3" s="559"/>
      <c r="D3" s="559"/>
      <c r="E3" s="559"/>
      <c r="F3" s="559"/>
      <c r="G3" s="585"/>
    </row>
    <row r="4" spans="2:7" s="555" customFormat="1" ht="13.5" thickBot="1" x14ac:dyDescent="0.25">
      <c r="B4" s="560"/>
      <c r="C4" s="561"/>
      <c r="D4" s="561"/>
      <c r="E4" s="561"/>
      <c r="F4" s="561"/>
      <c r="G4" s="586"/>
    </row>
    <row r="5" spans="2:7" s="555" customFormat="1" ht="13.5" thickBot="1" x14ac:dyDescent="0.25">
      <c r="B5" s="562" t="s">
        <v>329</v>
      </c>
      <c r="C5" s="563" t="s">
        <v>332</v>
      </c>
      <c r="D5" s="559"/>
      <c r="E5" s="559"/>
      <c r="F5" s="559"/>
      <c r="G5" s="585"/>
    </row>
    <row r="6" spans="2:7" s="555" customFormat="1" ht="13.5" thickBot="1" x14ac:dyDescent="0.25">
      <c r="B6" s="562" t="s">
        <v>22</v>
      </c>
      <c r="C6" s="563" t="s">
        <v>718</v>
      </c>
      <c r="D6" s="561"/>
      <c r="E6" s="561"/>
      <c r="F6" s="561"/>
      <c r="G6" s="586"/>
    </row>
    <row r="7" spans="2:7" s="555" customFormat="1" ht="13.5" thickBot="1" x14ac:dyDescent="0.25">
      <c r="B7" s="564"/>
      <c r="C7" s="559"/>
      <c r="D7" s="559"/>
      <c r="E7" s="559"/>
      <c r="F7" s="559"/>
      <c r="G7" s="587"/>
    </row>
    <row r="8" spans="2:7" s="555" customFormat="1" ht="13.5" thickBot="1" x14ac:dyDescent="0.25">
      <c r="B8" s="565" t="s">
        <v>0</v>
      </c>
      <c r="C8" s="566" t="s">
        <v>9</v>
      </c>
      <c r="D8" s="567" t="s">
        <v>8</v>
      </c>
      <c r="E8" s="583" t="s">
        <v>754</v>
      </c>
      <c r="F8" s="568" t="s">
        <v>826</v>
      </c>
      <c r="G8" s="569" t="s">
        <v>749</v>
      </c>
    </row>
    <row r="9" spans="2:7" s="555" customFormat="1" ht="12.75" x14ac:dyDescent="0.2">
      <c r="B9" s="1140" t="s">
        <v>18</v>
      </c>
      <c r="C9" s="578" t="s">
        <v>108</v>
      </c>
      <c r="D9" s="578" t="s">
        <v>189</v>
      </c>
      <c r="E9" s="571"/>
      <c r="F9" s="572"/>
      <c r="G9" s="612">
        <v>1</v>
      </c>
    </row>
    <row r="10" spans="2:7" s="555" customFormat="1" ht="12.75" x14ac:dyDescent="0.2">
      <c r="B10" s="1145"/>
      <c r="C10" s="578" t="s">
        <v>98</v>
      </c>
      <c r="D10" s="578" t="s">
        <v>184</v>
      </c>
      <c r="E10" s="573"/>
      <c r="F10" s="574"/>
      <c r="G10" s="613">
        <v>1</v>
      </c>
    </row>
    <row r="11" spans="2:7" s="575" customFormat="1" ht="12.75" x14ac:dyDescent="0.2">
      <c r="B11" s="1145"/>
      <c r="C11" s="578" t="s">
        <v>566</v>
      </c>
      <c r="D11" s="578" t="s">
        <v>570</v>
      </c>
      <c r="E11" s="573"/>
      <c r="F11" s="574"/>
      <c r="G11" s="613">
        <v>1</v>
      </c>
    </row>
    <row r="12" spans="2:7" s="555" customFormat="1" ht="12.75" x14ac:dyDescent="0.2">
      <c r="B12" s="1145"/>
      <c r="C12" s="578" t="s">
        <v>100</v>
      </c>
      <c r="D12" s="578" t="s">
        <v>186</v>
      </c>
      <c r="E12" s="573"/>
      <c r="F12" s="574"/>
      <c r="G12" s="613">
        <v>1</v>
      </c>
    </row>
    <row r="13" spans="2:7" s="555" customFormat="1" ht="12.75" x14ac:dyDescent="0.2">
      <c r="B13" s="1145"/>
      <c r="C13" s="578" t="s">
        <v>99</v>
      </c>
      <c r="D13" s="578" t="s">
        <v>185</v>
      </c>
      <c r="E13" s="573"/>
      <c r="F13" s="574"/>
      <c r="G13" s="613">
        <v>1</v>
      </c>
    </row>
    <row r="14" spans="2:7" s="555" customFormat="1" ht="12.75" x14ac:dyDescent="0.2">
      <c r="B14" s="1145"/>
      <c r="C14" s="578" t="s">
        <v>97</v>
      </c>
      <c r="D14" s="578" t="s">
        <v>183</v>
      </c>
      <c r="E14" s="573"/>
      <c r="F14" s="574"/>
      <c r="G14" s="613">
        <v>1</v>
      </c>
    </row>
    <row r="15" spans="2:7" s="555" customFormat="1" ht="12.75" x14ac:dyDescent="0.2">
      <c r="B15" s="1145"/>
      <c r="C15" s="578" t="s">
        <v>106</v>
      </c>
      <c r="D15" s="578" t="s">
        <v>188</v>
      </c>
      <c r="E15" s="573"/>
      <c r="F15" s="574"/>
      <c r="G15" s="613">
        <v>1</v>
      </c>
    </row>
    <row r="16" spans="2:7" s="555" customFormat="1" ht="12.75" x14ac:dyDescent="0.2">
      <c r="B16" s="1145"/>
      <c r="C16" s="578" t="s">
        <v>95</v>
      </c>
      <c r="D16" s="578" t="s">
        <v>181</v>
      </c>
      <c r="E16" s="573"/>
      <c r="F16" s="574"/>
      <c r="G16" s="613">
        <v>1</v>
      </c>
    </row>
    <row r="17" spans="2:9" s="555" customFormat="1" ht="12.75" x14ac:dyDescent="0.2">
      <c r="B17" s="1145"/>
      <c r="C17" s="578" t="s">
        <v>96</v>
      </c>
      <c r="D17" s="578" t="s">
        <v>182</v>
      </c>
      <c r="E17" s="573"/>
      <c r="F17" s="574"/>
      <c r="G17" s="613">
        <v>1</v>
      </c>
      <c r="I17" s="555" t="s">
        <v>724</v>
      </c>
    </row>
    <row r="18" spans="2:9" s="555" customFormat="1" ht="12.75" x14ac:dyDescent="0.2">
      <c r="B18" s="1145"/>
      <c r="C18" s="578" t="s">
        <v>567</v>
      </c>
      <c r="D18" s="578" t="s">
        <v>571</v>
      </c>
      <c r="E18" s="573"/>
      <c r="F18" s="574"/>
      <c r="G18" s="613">
        <v>1</v>
      </c>
    </row>
    <row r="19" spans="2:9" s="555" customFormat="1" ht="13.5" thickBot="1" x14ac:dyDescent="0.25">
      <c r="B19" s="1141"/>
      <c r="C19" s="578" t="s">
        <v>568</v>
      </c>
      <c r="D19" s="578" t="s">
        <v>572</v>
      </c>
      <c r="E19" s="573"/>
      <c r="F19" s="574"/>
      <c r="G19" s="613">
        <v>1</v>
      </c>
    </row>
    <row r="20" spans="2:9" s="555" customFormat="1" ht="13.5" thickBot="1" x14ac:dyDescent="0.25">
      <c r="B20" s="1142" t="s">
        <v>597</v>
      </c>
      <c r="C20" s="1143"/>
      <c r="D20" s="1144"/>
      <c r="E20" s="579"/>
      <c r="F20" s="580"/>
      <c r="G20" s="614">
        <v>11</v>
      </c>
    </row>
    <row r="21" spans="2:9" s="555" customFormat="1" ht="12.75" x14ac:dyDescent="0.2">
      <c r="B21" s="1140" t="s">
        <v>11</v>
      </c>
      <c r="C21" s="578" t="s">
        <v>26</v>
      </c>
      <c r="D21" s="578" t="s">
        <v>112</v>
      </c>
      <c r="E21" s="573"/>
      <c r="F21" s="574"/>
      <c r="G21" s="613">
        <v>1</v>
      </c>
    </row>
    <row r="22" spans="2:9" s="555" customFormat="1" ht="13.5" thickBot="1" x14ac:dyDescent="0.25">
      <c r="B22" s="1141"/>
      <c r="C22" s="578" t="s">
        <v>29</v>
      </c>
      <c r="D22" s="578" t="s">
        <v>115</v>
      </c>
      <c r="E22" s="573"/>
      <c r="F22" s="574"/>
      <c r="G22" s="613">
        <v>1</v>
      </c>
    </row>
    <row r="23" spans="2:9" s="555" customFormat="1" ht="13.5" thickBot="1" x14ac:dyDescent="0.25">
      <c r="B23" s="1142" t="s">
        <v>949</v>
      </c>
      <c r="C23" s="1143"/>
      <c r="D23" s="1144"/>
      <c r="E23" s="579"/>
      <c r="F23" s="580"/>
      <c r="G23" s="614">
        <v>2</v>
      </c>
    </row>
    <row r="24" spans="2:9" s="555" customFormat="1" ht="13.5" thickBot="1" x14ac:dyDescent="0.25">
      <c r="B24" s="570" t="s">
        <v>13</v>
      </c>
      <c r="C24" s="578" t="s">
        <v>498</v>
      </c>
      <c r="D24" s="578" t="s">
        <v>265</v>
      </c>
      <c r="E24" s="573"/>
      <c r="F24" s="574"/>
      <c r="G24" s="613">
        <v>1</v>
      </c>
    </row>
    <row r="25" spans="2:9" s="555" customFormat="1" ht="13.5" thickBot="1" x14ac:dyDescent="0.25">
      <c r="B25" s="1142" t="s">
        <v>598</v>
      </c>
      <c r="C25" s="1146"/>
      <c r="D25" s="1147"/>
      <c r="E25" s="576"/>
      <c r="F25" s="577"/>
      <c r="G25" s="615">
        <v>1</v>
      </c>
    </row>
    <row r="26" spans="2:9" s="555" customFormat="1" ht="12.75" x14ac:dyDescent="0.2">
      <c r="B26" s="1140" t="s">
        <v>16</v>
      </c>
      <c r="C26" s="578" t="s">
        <v>58</v>
      </c>
      <c r="D26" s="578" t="s">
        <v>144</v>
      </c>
      <c r="E26" s="573"/>
      <c r="F26" s="574"/>
      <c r="G26" s="613">
        <v>1</v>
      </c>
    </row>
    <row r="27" spans="2:9" s="555" customFormat="1" ht="13.5" thickBot="1" x14ac:dyDescent="0.25">
      <c r="B27" s="1141"/>
      <c r="C27" s="578" t="s">
        <v>57</v>
      </c>
      <c r="D27" s="578" t="s">
        <v>143</v>
      </c>
      <c r="E27" s="573"/>
      <c r="F27" s="574"/>
      <c r="G27" s="613">
        <v>1</v>
      </c>
    </row>
    <row r="28" spans="2:9" s="555" customFormat="1" ht="13.5" thickBot="1" x14ac:dyDescent="0.25">
      <c r="B28" s="1142" t="s">
        <v>599</v>
      </c>
      <c r="C28" s="1143"/>
      <c r="D28" s="1144"/>
      <c r="E28" s="579"/>
      <c r="F28" s="580"/>
      <c r="G28" s="614">
        <v>2</v>
      </c>
    </row>
    <row r="29" spans="2:9" s="555" customFormat="1" ht="12.75" x14ac:dyDescent="0.2">
      <c r="B29" s="1140" t="s">
        <v>17</v>
      </c>
      <c r="C29" s="578" t="s">
        <v>88</v>
      </c>
      <c r="D29" s="578" t="s">
        <v>174</v>
      </c>
      <c r="E29" s="573"/>
      <c r="F29" s="574"/>
      <c r="G29" s="613">
        <v>1</v>
      </c>
    </row>
    <row r="30" spans="2:9" s="555" customFormat="1" ht="12.75" x14ac:dyDescent="0.2">
      <c r="B30" s="1145"/>
      <c r="C30" s="578" t="s">
        <v>60</v>
      </c>
      <c r="D30" s="578" t="s">
        <v>146</v>
      </c>
      <c r="E30" s="573"/>
      <c r="F30" s="574"/>
      <c r="G30" s="613">
        <v>1</v>
      </c>
    </row>
    <row r="31" spans="2:9" s="555" customFormat="1" ht="12.75" x14ac:dyDescent="0.2">
      <c r="B31" s="1145"/>
      <c r="C31" s="578" t="s">
        <v>71</v>
      </c>
      <c r="D31" s="578" t="s">
        <v>157</v>
      </c>
      <c r="E31" s="573"/>
      <c r="F31" s="574"/>
      <c r="G31" s="613">
        <v>1</v>
      </c>
    </row>
    <row r="32" spans="2:9" s="555" customFormat="1" ht="12.75" x14ac:dyDescent="0.2">
      <c r="B32" s="1145"/>
      <c r="C32" s="578" t="s">
        <v>72</v>
      </c>
      <c r="D32" s="578" t="s">
        <v>158</v>
      </c>
      <c r="E32" s="573"/>
      <c r="F32" s="574"/>
      <c r="G32" s="613">
        <v>1</v>
      </c>
    </row>
    <row r="33" spans="2:7" s="555" customFormat="1" ht="12.75" x14ac:dyDescent="0.2">
      <c r="B33" s="1145"/>
      <c r="C33" s="578" t="s">
        <v>78</v>
      </c>
      <c r="D33" s="578" t="s">
        <v>164</v>
      </c>
      <c r="E33" s="573"/>
      <c r="F33" s="574"/>
      <c r="G33" s="613">
        <v>1</v>
      </c>
    </row>
    <row r="34" spans="2:7" x14ac:dyDescent="0.25">
      <c r="B34" s="1145"/>
      <c r="C34" s="578" t="s">
        <v>79</v>
      </c>
      <c r="D34" s="578" t="s">
        <v>165</v>
      </c>
      <c r="E34" s="573"/>
      <c r="F34" s="574"/>
      <c r="G34" s="613">
        <v>1</v>
      </c>
    </row>
    <row r="35" spans="2:7" x14ac:dyDescent="0.25">
      <c r="B35" s="1145"/>
      <c r="C35" s="578" t="s">
        <v>75</v>
      </c>
      <c r="D35" s="578" t="s">
        <v>161</v>
      </c>
      <c r="E35" s="573"/>
      <c r="F35" s="574"/>
      <c r="G35" s="613">
        <v>1</v>
      </c>
    </row>
    <row r="36" spans="2:7" x14ac:dyDescent="0.25">
      <c r="B36" s="1145"/>
      <c r="C36" s="578" t="s">
        <v>77</v>
      </c>
      <c r="D36" s="578" t="s">
        <v>163</v>
      </c>
      <c r="E36" s="573"/>
      <c r="F36" s="574"/>
      <c r="G36" s="613">
        <v>1</v>
      </c>
    </row>
    <row r="37" spans="2:7" x14ac:dyDescent="0.25">
      <c r="B37" s="1145"/>
      <c r="C37" s="578" t="s">
        <v>92</v>
      </c>
      <c r="D37" s="578" t="s">
        <v>178</v>
      </c>
      <c r="E37" s="573"/>
      <c r="F37" s="574"/>
      <c r="G37" s="613">
        <v>1</v>
      </c>
    </row>
    <row r="38" spans="2:7" x14ac:dyDescent="0.25">
      <c r="B38" s="1145"/>
      <c r="C38" s="578" t="s">
        <v>80</v>
      </c>
      <c r="D38" s="578" t="s">
        <v>166</v>
      </c>
      <c r="E38" s="573"/>
      <c r="F38" s="574"/>
      <c r="G38" s="613">
        <v>1</v>
      </c>
    </row>
    <row r="39" spans="2:7" x14ac:dyDescent="0.25">
      <c r="B39" s="1145"/>
      <c r="C39" s="578" t="s">
        <v>507</v>
      </c>
      <c r="D39" s="578" t="s">
        <v>508</v>
      </c>
      <c r="E39" s="573"/>
      <c r="F39" s="574"/>
      <c r="G39" s="613">
        <v>1</v>
      </c>
    </row>
    <row r="40" spans="2:7" x14ac:dyDescent="0.25">
      <c r="B40" s="1145"/>
      <c r="C40" s="578" t="s">
        <v>69</v>
      </c>
      <c r="D40" s="578" t="s">
        <v>155</v>
      </c>
      <c r="E40" s="573"/>
      <c r="F40" s="574"/>
      <c r="G40" s="613">
        <v>1</v>
      </c>
    </row>
    <row r="41" spans="2:7" x14ac:dyDescent="0.25">
      <c r="B41" s="1145"/>
      <c r="C41" s="578" t="s">
        <v>90</v>
      </c>
      <c r="D41" s="578" t="s">
        <v>176</v>
      </c>
      <c r="E41" s="573"/>
      <c r="F41" s="574"/>
      <c r="G41" s="613">
        <v>1</v>
      </c>
    </row>
    <row r="42" spans="2:7" x14ac:dyDescent="0.25">
      <c r="B42" s="1145"/>
      <c r="C42" s="578" t="s">
        <v>81</v>
      </c>
      <c r="D42" s="578" t="s">
        <v>167</v>
      </c>
      <c r="E42" s="573"/>
      <c r="F42" s="574"/>
      <c r="G42" s="613">
        <v>1</v>
      </c>
    </row>
    <row r="43" spans="2:7" x14ac:dyDescent="0.25">
      <c r="B43" s="1145"/>
      <c r="C43" s="578" t="s">
        <v>73</v>
      </c>
      <c r="D43" s="578" t="s">
        <v>159</v>
      </c>
      <c r="E43" s="573"/>
      <c r="F43" s="574"/>
      <c r="G43" s="613">
        <v>1</v>
      </c>
    </row>
    <row r="44" spans="2:7" x14ac:dyDescent="0.25">
      <c r="B44" s="1145"/>
      <c r="C44" s="578" t="s">
        <v>91</v>
      </c>
      <c r="D44" s="578" t="s">
        <v>177</v>
      </c>
      <c r="E44" s="573"/>
      <c r="F44" s="574"/>
      <c r="G44" s="613">
        <v>1</v>
      </c>
    </row>
    <row r="45" spans="2:7" x14ac:dyDescent="0.25">
      <c r="B45" s="1145"/>
      <c r="C45" s="578" t="s">
        <v>74</v>
      </c>
      <c r="D45" s="578" t="s">
        <v>160</v>
      </c>
      <c r="E45" s="573"/>
      <c r="F45" s="574"/>
      <c r="G45" s="613">
        <v>1</v>
      </c>
    </row>
    <row r="46" spans="2:7" x14ac:dyDescent="0.25">
      <c r="B46" s="1145"/>
      <c r="C46" s="578" t="s">
        <v>82</v>
      </c>
      <c r="D46" s="578" t="s">
        <v>168</v>
      </c>
      <c r="E46" s="573"/>
      <c r="F46" s="574"/>
      <c r="G46" s="613">
        <v>1</v>
      </c>
    </row>
    <row r="47" spans="2:7" x14ac:dyDescent="0.25">
      <c r="B47" s="1145"/>
      <c r="C47" s="578" t="s">
        <v>63</v>
      </c>
      <c r="D47" s="578" t="s">
        <v>149</v>
      </c>
      <c r="E47" s="573"/>
      <c r="F47" s="574"/>
      <c r="G47" s="613">
        <v>1</v>
      </c>
    </row>
    <row r="48" spans="2:7" x14ac:dyDescent="0.25">
      <c r="B48" s="1145"/>
      <c r="C48" s="578" t="s">
        <v>231</v>
      </c>
      <c r="D48" s="578" t="s">
        <v>266</v>
      </c>
      <c r="E48" s="573"/>
      <c r="F48" s="574"/>
      <c r="G48" s="613">
        <v>1</v>
      </c>
    </row>
    <row r="49" spans="2:7" x14ac:dyDescent="0.25">
      <c r="B49" s="1145"/>
      <c r="C49" s="578" t="s">
        <v>262</v>
      </c>
      <c r="D49" s="578" t="s">
        <v>503</v>
      </c>
      <c r="E49" s="573"/>
      <c r="F49" s="574"/>
      <c r="G49" s="613">
        <v>1</v>
      </c>
    </row>
    <row r="50" spans="2:7" x14ac:dyDescent="0.25">
      <c r="B50" s="1145"/>
      <c r="C50" s="578" t="s">
        <v>263</v>
      </c>
      <c r="D50" s="578" t="s">
        <v>504</v>
      </c>
      <c r="E50" s="573"/>
      <c r="F50" s="574"/>
      <c r="G50" s="613">
        <v>1</v>
      </c>
    </row>
    <row r="51" spans="2:7" x14ac:dyDescent="0.25">
      <c r="B51" s="1145"/>
      <c r="C51" s="578" t="s">
        <v>70</v>
      </c>
      <c r="D51" s="578" t="s">
        <v>156</v>
      </c>
      <c r="E51" s="573"/>
      <c r="F51" s="574"/>
      <c r="G51" s="613">
        <v>1</v>
      </c>
    </row>
    <row r="52" spans="2:7" x14ac:dyDescent="0.25">
      <c r="B52" s="1145"/>
      <c r="C52" s="578" t="s">
        <v>64</v>
      </c>
      <c r="D52" s="578" t="s">
        <v>150</v>
      </c>
      <c r="E52" s="573"/>
      <c r="F52" s="574"/>
      <c r="G52" s="613">
        <v>1</v>
      </c>
    </row>
    <row r="53" spans="2:7" x14ac:dyDescent="0.25">
      <c r="B53" s="1145"/>
      <c r="C53" s="578" t="s">
        <v>83</v>
      </c>
      <c r="D53" s="578" t="s">
        <v>169</v>
      </c>
      <c r="E53" s="573"/>
      <c r="F53" s="574"/>
      <c r="G53" s="613">
        <v>1</v>
      </c>
    </row>
    <row r="54" spans="2:7" x14ac:dyDescent="0.25">
      <c r="B54" s="1145"/>
      <c r="C54" s="578" t="s">
        <v>518</v>
      </c>
      <c r="D54" s="578" t="s">
        <v>519</v>
      </c>
      <c r="E54" s="573"/>
      <c r="F54" s="574"/>
      <c r="G54" s="613">
        <v>1</v>
      </c>
    </row>
    <row r="55" spans="2:7" x14ac:dyDescent="0.25">
      <c r="B55" s="1145"/>
      <c r="C55" s="578" t="s">
        <v>84</v>
      </c>
      <c r="D55" s="578" t="s">
        <v>170</v>
      </c>
      <c r="E55" s="573"/>
      <c r="F55" s="574"/>
      <c r="G55" s="613">
        <v>1</v>
      </c>
    </row>
    <row r="56" spans="2:7" x14ac:dyDescent="0.25">
      <c r="B56" s="1145"/>
      <c r="C56" s="578" t="s">
        <v>87</v>
      </c>
      <c r="D56" s="578" t="s">
        <v>173</v>
      </c>
      <c r="E56" s="573"/>
      <c r="F56" s="574"/>
      <c r="G56" s="613">
        <v>1</v>
      </c>
    </row>
    <row r="57" spans="2:7" x14ac:dyDescent="0.25">
      <c r="B57" s="1145"/>
      <c r="C57" s="578" t="s">
        <v>85</v>
      </c>
      <c r="D57" s="578" t="s">
        <v>171</v>
      </c>
      <c r="E57" s="573"/>
      <c r="F57" s="574"/>
      <c r="G57" s="613">
        <v>1</v>
      </c>
    </row>
    <row r="58" spans="2:7" x14ac:dyDescent="0.25">
      <c r="B58" s="1145"/>
      <c r="C58" s="578" t="s">
        <v>505</v>
      </c>
      <c r="D58" s="578" t="s">
        <v>506</v>
      </c>
      <c r="E58" s="573"/>
      <c r="F58" s="574"/>
      <c r="G58" s="613">
        <v>1</v>
      </c>
    </row>
    <row r="59" spans="2:7" x14ac:dyDescent="0.25">
      <c r="B59" s="1145"/>
      <c r="C59" s="578" t="s">
        <v>67</v>
      </c>
      <c r="D59" s="578" t="s">
        <v>153</v>
      </c>
      <c r="E59" s="573"/>
      <c r="F59" s="574"/>
      <c r="G59" s="613">
        <v>1</v>
      </c>
    </row>
    <row r="60" spans="2:7" x14ac:dyDescent="0.25">
      <c r="B60" s="1145"/>
      <c r="C60" s="578" t="s">
        <v>89</v>
      </c>
      <c r="D60" s="578" t="s">
        <v>175</v>
      </c>
      <c r="E60" s="573"/>
      <c r="F60" s="574"/>
      <c r="G60" s="613">
        <v>1</v>
      </c>
    </row>
    <row r="61" spans="2:7" x14ac:dyDescent="0.25">
      <c r="B61" s="1145"/>
      <c r="C61" s="578" t="s">
        <v>86</v>
      </c>
      <c r="D61" s="578" t="s">
        <v>172</v>
      </c>
      <c r="E61" s="573"/>
      <c r="F61" s="574"/>
      <c r="G61" s="613">
        <v>1</v>
      </c>
    </row>
    <row r="62" spans="2:7" x14ac:dyDescent="0.25">
      <c r="B62" s="1145"/>
      <c r="C62" s="578" t="s">
        <v>94</v>
      </c>
      <c r="D62" s="578" t="s">
        <v>180</v>
      </c>
      <c r="E62" s="573"/>
      <c r="F62" s="574"/>
      <c r="G62" s="613">
        <v>1</v>
      </c>
    </row>
    <row r="63" spans="2:7" ht="15.75" thickBot="1" x14ac:dyDescent="0.3">
      <c r="B63" s="1141"/>
      <c r="C63" s="578" t="s">
        <v>93</v>
      </c>
      <c r="D63" s="578" t="s">
        <v>179</v>
      </c>
      <c r="E63" s="573"/>
      <c r="F63" s="574"/>
      <c r="G63" s="613">
        <v>1</v>
      </c>
    </row>
    <row r="64" spans="2:7" ht="15.75" thickBot="1" x14ac:dyDescent="0.3">
      <c r="B64" s="1142" t="s">
        <v>596</v>
      </c>
      <c r="C64" s="1146"/>
      <c r="D64" s="1147"/>
      <c r="E64" s="579"/>
      <c r="F64" s="580"/>
      <c r="G64" s="614">
        <v>35</v>
      </c>
    </row>
    <row r="65" spans="2:7" ht="15.75" thickBot="1" x14ac:dyDescent="0.3">
      <c r="B65" s="570" t="s">
        <v>941</v>
      </c>
      <c r="C65" s="578" t="s">
        <v>33</v>
      </c>
      <c r="D65" s="578" t="s">
        <v>119</v>
      </c>
      <c r="E65" s="573"/>
      <c r="F65" s="574"/>
      <c r="G65" s="613">
        <v>1</v>
      </c>
    </row>
    <row r="66" spans="2:7" ht="15.75" thickBot="1" x14ac:dyDescent="0.3">
      <c r="B66" s="1142" t="s">
        <v>947</v>
      </c>
      <c r="C66" s="1143"/>
      <c r="D66" s="1144"/>
      <c r="E66" s="579"/>
      <c r="F66" s="580"/>
      <c r="G66" s="614">
        <v>1</v>
      </c>
    </row>
    <row r="67" spans="2:7" ht="15.75" thickBot="1" x14ac:dyDescent="0.3">
      <c r="B67" s="1137" t="s">
        <v>204</v>
      </c>
      <c r="C67" s="1138"/>
      <c r="D67" s="1139"/>
      <c r="E67" s="581"/>
      <c r="F67" s="582"/>
      <c r="G67" s="616">
        <v>52</v>
      </c>
    </row>
  </sheetData>
  <mergeCells count="11">
    <mergeCell ref="B9:B19"/>
    <mergeCell ref="B20:D20"/>
    <mergeCell ref="B21:B22"/>
    <mergeCell ref="B23:D23"/>
    <mergeCell ref="B25:D25"/>
    <mergeCell ref="B26:B27"/>
    <mergeCell ref="B28:D28"/>
    <mergeCell ref="B29:B63"/>
    <mergeCell ref="B64:D64"/>
    <mergeCell ref="B66:D66"/>
    <mergeCell ref="B67:D67"/>
  </mergeCells>
  <pageMargins left="0.7" right="0.7" top="0.75" bottom="0.75" header="0.3" footer="0.3"/>
  <pageSetup paperSize="9" scale="75" orientation="portrait"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C1:AA30"/>
  <sheetViews>
    <sheetView showZeros="0" zoomScale="80" zoomScaleNormal="80" workbookViewId="0">
      <selection activeCell="J35" sqref="J35"/>
    </sheetView>
  </sheetViews>
  <sheetFormatPr defaultColWidth="9.140625" defaultRowHeight="15" x14ac:dyDescent="0.25"/>
  <cols>
    <col min="1" max="1" width="2" style="6" customWidth="1"/>
    <col min="2" max="2" width="9.140625" style="6"/>
    <col min="3" max="3" width="11.28515625" style="6" bestFit="1" customWidth="1"/>
    <col min="4" max="4" width="9.140625" style="6"/>
    <col min="5" max="5" width="8.8554687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7" ht="14.25" customHeight="1" x14ac:dyDescent="0.25"/>
    <row r="2" spans="3:27" ht="29.25" customHeight="1" x14ac:dyDescent="0.55000000000000004">
      <c r="C2" s="99" t="s">
        <v>208</v>
      </c>
      <c r="D2" s="99"/>
      <c r="E2" s="99"/>
      <c r="F2" s="99"/>
      <c r="G2" s="99"/>
      <c r="H2" s="99"/>
      <c r="I2" s="99"/>
      <c r="J2" s="99"/>
      <c r="K2" s="99"/>
      <c r="L2" s="99"/>
      <c r="M2" s="99"/>
      <c r="N2" s="99"/>
      <c r="O2" s="99"/>
      <c r="P2" s="99"/>
      <c r="Q2" s="99"/>
      <c r="R2" s="99"/>
      <c r="S2" s="99"/>
      <c r="T2" s="99"/>
      <c r="U2" s="99"/>
      <c r="V2" s="99"/>
    </row>
    <row r="3" spans="3:27" ht="14.25" customHeight="1" x14ac:dyDescent="0.55000000000000004">
      <c r="C3" s="99"/>
      <c r="D3" s="99"/>
      <c r="E3" s="99"/>
      <c r="F3" s="99"/>
      <c r="G3" s="99"/>
      <c r="H3" s="99"/>
      <c r="I3" s="99"/>
      <c r="J3" s="99"/>
      <c r="K3" s="99"/>
      <c r="L3" s="99"/>
      <c r="M3" s="99"/>
      <c r="N3" s="99"/>
      <c r="O3" s="99"/>
      <c r="P3" s="99"/>
      <c r="Q3" s="99"/>
      <c r="R3" s="99"/>
      <c r="S3" s="99"/>
      <c r="T3" s="99"/>
      <c r="U3" s="99"/>
      <c r="V3" s="99"/>
    </row>
    <row r="4" spans="3:27" ht="14.25" customHeight="1" x14ac:dyDescent="0.55000000000000004">
      <c r="C4" s="99"/>
      <c r="D4" s="99"/>
      <c r="E4" s="99"/>
      <c r="F4" s="99"/>
      <c r="G4" s="99"/>
      <c r="H4" s="99"/>
      <c r="I4" s="99"/>
      <c r="J4" s="99"/>
      <c r="K4" s="99"/>
      <c r="L4" s="99"/>
      <c r="M4" s="99"/>
      <c r="N4" s="99"/>
      <c r="O4" s="99"/>
      <c r="P4" s="99"/>
      <c r="Q4" s="99"/>
      <c r="R4" s="99"/>
      <c r="S4" s="99"/>
      <c r="T4" s="99"/>
      <c r="U4" s="99"/>
      <c r="V4" s="99"/>
    </row>
    <row r="5" spans="3:27" ht="14.25" customHeight="1" x14ac:dyDescent="0.25">
      <c r="C5" s="1088">
        <f>Report_Date</f>
        <v>43190</v>
      </c>
      <c r="D5" s="1088"/>
      <c r="E5" s="1088"/>
      <c r="F5" s="1088"/>
      <c r="G5" s="1088"/>
      <c r="H5" s="1088"/>
      <c r="I5" s="1088"/>
      <c r="J5" s="1088"/>
      <c r="K5" s="1088"/>
      <c r="L5" s="1088"/>
      <c r="M5" s="1088"/>
      <c r="N5" s="1088"/>
      <c r="O5" s="1088"/>
      <c r="P5" s="101"/>
      <c r="Q5" s="101"/>
      <c r="R5" s="101"/>
    </row>
    <row r="6" spans="3:27" ht="14.25" customHeight="1" x14ac:dyDescent="0.25"/>
    <row r="7" spans="3:27" ht="14.25" customHeight="1" x14ac:dyDescent="0.25">
      <c r="C7" s="98" t="s">
        <v>225</v>
      </c>
      <c r="D7" s="98"/>
      <c r="E7" s="30"/>
      <c r="F7" s="128" t="s">
        <v>230</v>
      </c>
      <c r="G7" s="100"/>
      <c r="H7" s="100"/>
      <c r="I7" s="100"/>
      <c r="J7" s="100"/>
      <c r="K7" s="30"/>
      <c r="L7" s="128" t="s">
        <v>223</v>
      </c>
      <c r="M7" s="100"/>
      <c r="N7" s="100"/>
      <c r="O7" s="30"/>
      <c r="P7" s="100" t="s">
        <v>228</v>
      </c>
      <c r="Q7" s="100"/>
      <c r="R7" s="100"/>
      <c r="S7" s="30"/>
      <c r="T7" s="100" t="s">
        <v>229</v>
      </c>
      <c r="U7" s="100"/>
      <c r="V7" s="100"/>
    </row>
    <row r="8" spans="3:27" ht="14.25" customHeight="1" x14ac:dyDescent="0.25">
      <c r="C8" s="98"/>
      <c r="D8" s="98"/>
      <c r="E8" s="30"/>
      <c r="F8" s="30"/>
      <c r="G8" s="30"/>
      <c r="H8" s="30"/>
      <c r="I8" s="30"/>
      <c r="J8" s="30"/>
      <c r="K8" s="30"/>
      <c r="L8" s="30"/>
      <c r="M8" s="30"/>
      <c r="N8" s="30"/>
      <c r="O8" s="30"/>
      <c r="P8" s="30"/>
      <c r="Q8" s="30"/>
      <c r="R8" s="30"/>
      <c r="S8" s="30"/>
      <c r="T8" s="30"/>
      <c r="U8" s="30"/>
      <c r="V8" s="30"/>
      <c r="AA8" s="6">
        <f>COUNTIFS(Camp_List[TOWNSHIP_NAME],$AI22,Camp_List[Total],"&gt;0",Camp_List[Status],"open",Camp_List[Type of Accomodation],AP$21)</f>
        <v>0</v>
      </c>
    </row>
    <row r="9" spans="3:27" ht="14.25" customHeight="1" x14ac:dyDescent="0.25">
      <c r="C9" s="98"/>
      <c r="D9" s="98"/>
      <c r="E9" s="30"/>
      <c r="F9" s="30"/>
      <c r="G9" s="30"/>
      <c r="H9" s="30"/>
      <c r="I9" s="30"/>
      <c r="J9" s="30"/>
      <c r="K9" s="30"/>
      <c r="L9" s="145" t="s">
        <v>7</v>
      </c>
      <c r="M9" s="83" t="s">
        <v>6</v>
      </c>
      <c r="N9" s="62" t="s">
        <v>224</v>
      </c>
      <c r="O9" s="30"/>
      <c r="P9" s="28" t="s">
        <v>7</v>
      </c>
      <c r="Q9" s="61" t="s">
        <v>6</v>
      </c>
      <c r="R9" s="62" t="s">
        <v>224</v>
      </c>
      <c r="S9" s="30"/>
      <c r="T9" s="28" t="s">
        <v>7</v>
      </c>
      <c r="U9" s="29" t="s">
        <v>6</v>
      </c>
      <c r="V9" s="27" t="s">
        <v>224</v>
      </c>
    </row>
    <row r="10" spans="3:27" ht="14.25" customHeight="1" x14ac:dyDescent="0.25">
      <c r="C10" s="98"/>
      <c r="D10" s="98"/>
      <c r="E10" s="30"/>
      <c r="F10" s="30"/>
      <c r="G10" s="30"/>
      <c r="H10" s="30"/>
      <c r="I10" s="30"/>
      <c r="J10" s="30"/>
      <c r="K10" s="30"/>
      <c r="L10" s="30"/>
      <c r="M10" s="30"/>
      <c r="N10" s="30"/>
      <c r="O10" s="30"/>
      <c r="P10" s="30"/>
      <c r="Q10" s="30"/>
      <c r="R10" s="30"/>
      <c r="S10" s="30"/>
      <c r="T10" s="30"/>
      <c r="U10" s="30"/>
      <c r="V10" s="30"/>
      <c r="Y10" s="6">
        <f>COUNTIFS(Camp_List[TOWNSHIP_NAME],$AI22,Camp_List[Total],"&gt;0",Camp_List[Status],"open",Camp_List[Type of Accomodation],AP$21)</f>
        <v>0</v>
      </c>
    </row>
    <row r="11" spans="3:27" x14ac:dyDescent="0.25">
      <c r="C11" s="98"/>
      <c r="D11" s="98"/>
      <c r="E11" s="30"/>
      <c r="F11" s="30"/>
      <c r="G11" s="30"/>
      <c r="H11" s="30"/>
      <c r="I11" s="30"/>
      <c r="J11" s="30"/>
      <c r="K11" s="30"/>
      <c r="L11" s="30"/>
      <c r="M11" s="30"/>
      <c r="N11" s="30"/>
      <c r="O11" s="30"/>
      <c r="P11" s="30"/>
      <c r="Q11" s="30"/>
      <c r="R11" s="30"/>
      <c r="S11" s="30"/>
      <c r="T11" s="30"/>
      <c r="U11" s="30"/>
      <c r="V11" s="30"/>
    </row>
    <row r="12" spans="3:27" x14ac:dyDescent="0.25">
      <c r="C12" s="98"/>
      <c r="D12" s="98"/>
      <c r="E12" s="30"/>
      <c r="F12" s="30"/>
      <c r="G12" s="30"/>
      <c r="H12" s="30"/>
      <c r="I12" s="30"/>
      <c r="J12" s="30"/>
      <c r="K12" s="30"/>
      <c r="L12" s="30"/>
      <c r="M12" s="30"/>
      <c r="N12" s="30"/>
      <c r="O12" s="30"/>
      <c r="P12" s="30"/>
      <c r="Q12" s="30"/>
      <c r="R12" s="30"/>
      <c r="S12" s="30"/>
      <c r="T12" s="30"/>
      <c r="U12" s="30"/>
      <c r="V12" s="30"/>
    </row>
    <row r="14" spans="3:27" x14ac:dyDescent="0.25">
      <c r="C14" s="98" t="s">
        <v>226</v>
      </c>
      <c r="D14" s="98"/>
      <c r="E14" s="30"/>
      <c r="F14" s="30"/>
      <c r="G14" s="30"/>
      <c r="H14" s="30"/>
      <c r="I14" s="30"/>
      <c r="J14" s="30"/>
      <c r="K14" s="30"/>
      <c r="L14" s="30"/>
      <c r="M14" s="30"/>
      <c r="N14" s="30"/>
      <c r="O14" s="30"/>
      <c r="P14" s="30"/>
      <c r="Q14" s="30"/>
      <c r="R14" s="30"/>
      <c r="S14" s="30"/>
      <c r="T14" s="30"/>
      <c r="U14" s="30"/>
      <c r="V14" s="30"/>
    </row>
    <row r="15" spans="3:27" x14ac:dyDescent="0.25">
      <c r="C15" s="98"/>
      <c r="D15" s="98"/>
      <c r="E15" s="30"/>
      <c r="F15" s="30"/>
      <c r="G15" s="30"/>
      <c r="H15" s="30"/>
      <c r="I15" s="30"/>
      <c r="J15" s="30"/>
      <c r="K15" s="30"/>
      <c r="L15" s="30"/>
      <c r="M15" s="30"/>
      <c r="N15" s="30"/>
      <c r="O15" s="30"/>
      <c r="P15" s="30"/>
      <c r="Q15" s="30"/>
      <c r="R15" s="30"/>
      <c r="S15" s="30"/>
      <c r="T15" s="30"/>
      <c r="U15" s="30"/>
      <c r="V15" s="30"/>
    </row>
    <row r="16" spans="3:27" x14ac:dyDescent="0.25">
      <c r="C16" s="98"/>
      <c r="D16" s="98"/>
      <c r="E16" s="30"/>
      <c r="F16" s="30"/>
      <c r="G16" s="30"/>
      <c r="H16" s="30"/>
      <c r="I16" s="30"/>
      <c r="J16" s="30"/>
      <c r="K16" s="30"/>
      <c r="L16" s="61" t="s">
        <v>7</v>
      </c>
      <c r="M16" s="83" t="s">
        <v>6</v>
      </c>
      <c r="N16" s="81" t="s">
        <v>224</v>
      </c>
      <c r="O16" s="30"/>
      <c r="P16" s="28" t="s">
        <v>7</v>
      </c>
      <c r="Q16" s="61" t="s">
        <v>6</v>
      </c>
      <c r="R16" s="62" t="s">
        <v>224</v>
      </c>
      <c r="S16" s="30"/>
      <c r="T16" s="28" t="s">
        <v>7</v>
      </c>
      <c r="U16" s="29" t="s">
        <v>6</v>
      </c>
      <c r="V16" s="27" t="s">
        <v>224</v>
      </c>
    </row>
    <row r="17" spans="3:26" x14ac:dyDescent="0.25">
      <c r="C17" s="98"/>
      <c r="D17" s="98"/>
      <c r="E17" s="30"/>
      <c r="F17" s="30"/>
      <c r="G17" s="30"/>
      <c r="H17" s="30"/>
      <c r="I17" s="30"/>
      <c r="J17" s="30"/>
      <c r="K17" s="30"/>
      <c r="L17" s="30"/>
      <c r="M17" s="30"/>
      <c r="N17" s="30"/>
      <c r="O17" s="30"/>
      <c r="P17" s="30"/>
      <c r="Q17" s="30"/>
      <c r="R17" s="30"/>
      <c r="S17" s="30"/>
      <c r="T17" s="30"/>
      <c r="U17" s="30"/>
      <c r="V17" s="30"/>
    </row>
    <row r="18" spans="3:26" x14ac:dyDescent="0.25">
      <c r="C18" s="98"/>
      <c r="D18" s="98"/>
      <c r="E18" s="30"/>
      <c r="F18" s="30"/>
      <c r="G18" s="30"/>
      <c r="H18" s="30"/>
      <c r="I18" s="30"/>
      <c r="J18" s="30"/>
      <c r="K18" s="30"/>
      <c r="L18" s="30"/>
      <c r="M18" s="30"/>
      <c r="N18" s="30"/>
      <c r="O18" s="30"/>
      <c r="P18" s="30"/>
      <c r="Q18" s="30"/>
      <c r="R18" s="30"/>
      <c r="S18" s="30"/>
      <c r="T18" s="30"/>
      <c r="U18" s="30"/>
      <c r="V18" s="30"/>
    </row>
    <row r="19" spans="3:26" x14ac:dyDescent="0.25">
      <c r="C19" s="98"/>
      <c r="D19" s="98"/>
      <c r="E19" s="30"/>
      <c r="F19" s="30"/>
      <c r="G19" s="30"/>
      <c r="H19" s="30"/>
      <c r="I19" s="30"/>
      <c r="J19" s="30"/>
      <c r="K19" s="30"/>
      <c r="L19" s="30"/>
      <c r="M19" s="30"/>
      <c r="N19" s="30"/>
      <c r="O19" s="30"/>
      <c r="P19" s="30"/>
      <c r="Q19" s="30"/>
      <c r="R19" s="30"/>
      <c r="S19" s="30"/>
      <c r="T19" s="30"/>
      <c r="U19" s="30"/>
      <c r="V19" s="30"/>
    </row>
    <row r="21" spans="3:26" x14ac:dyDescent="0.25">
      <c r="C21" s="98" t="s">
        <v>227</v>
      </c>
      <c r="D21" s="98"/>
      <c r="E21" s="31"/>
      <c r="F21" s="31"/>
      <c r="G21" s="31"/>
      <c r="H21" s="31"/>
      <c r="I21" s="31"/>
      <c r="J21" s="31"/>
      <c r="K21" s="31"/>
      <c r="L21" s="30"/>
      <c r="M21" s="30"/>
      <c r="N21" s="30"/>
      <c r="O21" s="30"/>
      <c r="P21" s="30"/>
      <c r="Q21" s="30"/>
      <c r="R21" s="30"/>
      <c r="S21" s="30"/>
      <c r="T21" s="30"/>
      <c r="U21" s="30"/>
      <c r="V21" s="30"/>
    </row>
    <row r="22" spans="3:26" x14ac:dyDescent="0.25">
      <c r="C22" s="98"/>
      <c r="D22" s="98"/>
      <c r="E22" s="31"/>
      <c r="F22" s="31"/>
      <c r="G22" s="31"/>
      <c r="H22" s="31"/>
      <c r="I22" s="31"/>
      <c r="J22" s="31"/>
      <c r="K22" s="31"/>
      <c r="L22" s="61" t="s">
        <v>7</v>
      </c>
      <c r="M22" s="83" t="s">
        <v>6</v>
      </c>
      <c r="N22" s="31"/>
      <c r="O22" s="30"/>
      <c r="P22" s="30"/>
      <c r="Q22" s="30"/>
      <c r="R22" s="30"/>
      <c r="S22" s="30"/>
      <c r="T22" s="14"/>
      <c r="U22" s="14"/>
      <c r="V22" s="14"/>
    </row>
    <row r="23" spans="3:26" x14ac:dyDescent="0.25">
      <c r="C23" s="98"/>
      <c r="D23" s="98"/>
      <c r="E23" s="31"/>
      <c r="F23" s="31"/>
      <c r="G23" s="31"/>
      <c r="H23" s="31"/>
      <c r="I23" s="31"/>
      <c r="J23" s="31"/>
      <c r="K23" s="31"/>
      <c r="L23" s="62" t="s">
        <v>7</v>
      </c>
      <c r="M23" s="62" t="s">
        <v>6</v>
      </c>
      <c r="N23" s="62" t="s">
        <v>224</v>
      </c>
      <c r="O23" s="30"/>
      <c r="P23" s="28" t="s">
        <v>7</v>
      </c>
      <c r="Q23" s="61" t="s">
        <v>6</v>
      </c>
      <c r="R23" s="62" t="s">
        <v>224</v>
      </c>
      <c r="S23" s="30"/>
      <c r="T23" s="28" t="s">
        <v>7</v>
      </c>
      <c r="U23" s="29" t="s">
        <v>6</v>
      </c>
      <c r="V23" s="27" t="s">
        <v>224</v>
      </c>
    </row>
    <row r="24" spans="3:26" x14ac:dyDescent="0.25">
      <c r="C24" s="98"/>
      <c r="D24" s="98"/>
      <c r="E24" s="31"/>
      <c r="F24" s="31"/>
      <c r="G24" s="31"/>
      <c r="H24" s="31"/>
      <c r="I24" s="31"/>
      <c r="J24" s="31"/>
      <c r="K24" s="31"/>
      <c r="L24" s="31"/>
      <c r="M24" s="31"/>
      <c r="N24" s="31"/>
      <c r="O24" s="30"/>
      <c r="P24" s="30"/>
      <c r="Q24" s="30"/>
      <c r="R24" s="30"/>
      <c r="S24" s="30"/>
      <c r="T24" s="14"/>
      <c r="U24" s="14"/>
      <c r="V24" s="14"/>
    </row>
    <row r="25" spans="3:26" x14ac:dyDescent="0.25">
      <c r="Z25" s="6">
        <f>COUNTIFS(Camp_List[TOWNSHIP_NAME],$AI22,Camp_List[Total],"&gt;0",Camp_List[Status],"open",Camp_List[Type of Accomodation],AP$21)</f>
        <v>0</v>
      </c>
    </row>
    <row r="30" spans="3:26" x14ac:dyDescent="0.25">
      <c r="C30" s="426"/>
    </row>
  </sheetData>
  <mergeCells count="1">
    <mergeCell ref="C5:O5"/>
  </mergeCells>
  <hyperlinks>
    <hyperlink ref="M9" location="Kachin_CCCM_D!A1" display="Kachin"/>
    <hyperlink ref="L16" location="'Shelter Coverage &amp; Gaps'!A1" display="Rakhine"/>
    <hyperlink ref="M16" location="Kachin_CCCM_D!A1" display="Kachin"/>
    <hyperlink ref="M23" location="Kachin_CCCM_D!A1" display="Kachin"/>
    <hyperlink ref="M22" location="NFISummary!A1" display="Kachin"/>
    <hyperlink ref="L22" location="'NFI Summary'!R1C1" display="Rakhine"/>
    <hyperlink ref="L9" location="'CCCM Dashboard'!A1" display="Rakhine"/>
  </hyperlinks>
  <pageMargins left="0.7" right="0.7" top="0.75" bottom="0.75" header="0.3" footer="0.3"/>
  <pageSetup orientation="portrait" r:id="rId1"/>
  <drawing r:id="rId2"/>
  <legacyDrawing r:id="rId3"/>
  <controls>
    <mc:AlternateContent xmlns:mc="http://schemas.openxmlformats.org/markup-compatibility/2006">
      <mc:Choice Requires="x14">
        <control shapeId="1025" r:id="rId4" name="Print_Report">
          <controlPr defaultSize="0" autoLine="0" autoPict="0" r:id="rId5">
            <anchor moveWithCells="1">
              <from>
                <xdr:col>25</xdr:col>
                <xdr:colOff>247650</xdr:colOff>
                <xdr:row>13</xdr:row>
                <xdr:rowOff>161925</xdr:rowOff>
              </from>
              <to>
                <xdr:col>28</xdr:col>
                <xdr:colOff>9525</xdr:colOff>
                <xdr:row>15</xdr:row>
                <xdr:rowOff>104775</xdr:rowOff>
              </to>
            </anchor>
          </controlPr>
        </control>
      </mc:Choice>
      <mc:Fallback>
        <control shapeId="1025" r:id="rId4" name="Print_Report"/>
      </mc:Fallback>
    </mc:AlternateContent>
    <mc:AlternateContent xmlns:mc="http://schemas.openxmlformats.org/markup-compatibility/2006">
      <mc:Choice Requires="x14">
        <control shapeId="1027" r:id="rId6" name="Export_Data">
          <controlPr defaultSize="0" autoLine="0" autoPict="0" r:id="rId7">
            <anchor moveWithCells="1">
              <from>
                <xdr:col>25</xdr:col>
                <xdr:colOff>219075</xdr:colOff>
                <xdr:row>9</xdr:row>
                <xdr:rowOff>28575</xdr:rowOff>
              </from>
              <to>
                <xdr:col>27</xdr:col>
                <xdr:colOff>514350</xdr:colOff>
                <xdr:row>11</xdr:row>
                <xdr:rowOff>95250</xdr:rowOff>
              </to>
            </anchor>
          </controlPr>
        </control>
      </mc:Choice>
      <mc:Fallback>
        <control shapeId="1027" r:id="rId6" name="Export_Data"/>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181"/>
  <sheetViews>
    <sheetView showZeros="0" zoomScale="84" zoomScaleNormal="84" workbookViewId="0">
      <selection activeCell="F20" sqref="F20"/>
    </sheetView>
  </sheetViews>
  <sheetFormatPr defaultRowHeight="15" x14ac:dyDescent="0.25"/>
  <cols>
    <col min="1" max="1" width="20" style="87" customWidth="1"/>
    <col min="2" max="2" width="16.85546875" customWidth="1"/>
    <col min="3" max="3" width="25.140625" bestFit="1" customWidth="1"/>
    <col min="4" max="4" width="13.42578125" customWidth="1"/>
    <col min="5" max="5" width="17.140625" customWidth="1"/>
    <col min="6" max="6" width="25.5703125" customWidth="1"/>
    <col min="7" max="7" width="20.5703125" customWidth="1"/>
    <col min="8" max="8" width="18.5703125" customWidth="1"/>
    <col min="9" max="9" width="21" customWidth="1"/>
    <col min="10" max="12" width="19.28515625" customWidth="1"/>
    <col min="13" max="13" width="15" customWidth="1"/>
    <col min="14" max="14" width="15.7109375" customWidth="1"/>
    <col min="15" max="15" width="11" customWidth="1"/>
    <col min="16" max="16" width="18.85546875" style="669" customWidth="1"/>
    <col min="17" max="17" width="19.5703125" style="78" customWidth="1"/>
    <col min="18" max="19" width="15.42578125" style="78" customWidth="1"/>
    <col min="20" max="20" width="16.7109375" style="78" customWidth="1"/>
    <col min="21" max="21" width="15" customWidth="1"/>
    <col min="22" max="22" width="16" style="78" customWidth="1"/>
    <col min="23" max="23" width="12" style="5" customWidth="1"/>
    <col min="24" max="24" width="16.7109375" style="85" customWidth="1"/>
    <col min="25" max="25" width="11.7109375" customWidth="1"/>
    <col min="26" max="26" width="15.28515625" customWidth="1"/>
    <col min="27" max="27" width="66.28515625" style="38" customWidth="1"/>
    <col min="28" max="28" width="13.42578125" customWidth="1"/>
    <col min="29" max="29" width="19.28515625" customWidth="1"/>
    <col min="31" max="31" width="12.5703125" customWidth="1"/>
    <col min="32" max="32" width="1.5703125" customWidth="1"/>
    <col min="33" max="33" width="17.28515625" customWidth="1"/>
    <col min="34" max="34" width="14.5703125" customWidth="1"/>
    <col min="36" max="36" width="21.7109375" customWidth="1"/>
    <col min="37" max="37" width="9.140625" customWidth="1"/>
    <col min="38" max="38" width="5.28515625" customWidth="1"/>
    <col min="39" max="39" width="13.5703125" customWidth="1"/>
    <col min="40" max="40" width="25.5703125" customWidth="1"/>
    <col min="41" max="41" width="13.28515625" customWidth="1"/>
    <col min="42" max="42" width="17.28515625" customWidth="1"/>
    <col min="43" max="43" width="22.7109375" bestFit="1" customWidth="1"/>
    <col min="44" max="44" width="14.85546875" customWidth="1"/>
    <col min="45" max="45" width="17.5703125" customWidth="1"/>
    <col min="46" max="46" width="23.28515625" customWidth="1"/>
  </cols>
  <sheetData>
    <row r="1" spans="1:54" s="1" customFormat="1" ht="36" customHeight="1" x14ac:dyDescent="0.25">
      <c r="A1" s="185"/>
      <c r="B1" s="158"/>
      <c r="C1" s="158"/>
      <c r="D1" s="158"/>
      <c r="E1" s="158"/>
      <c r="F1" s="158"/>
      <c r="G1" s="158"/>
      <c r="H1" s="158"/>
      <c r="I1" s="158"/>
      <c r="J1" s="158"/>
      <c r="K1" s="158"/>
      <c r="L1" s="158"/>
      <c r="M1" s="158"/>
      <c r="N1" s="158"/>
      <c r="O1" s="158"/>
      <c r="P1" s="158"/>
      <c r="Q1" s="158"/>
      <c r="R1" s="158"/>
      <c r="S1" s="158"/>
      <c r="T1" s="158"/>
      <c r="U1" s="186"/>
      <c r="V1" s="186"/>
      <c r="W1" s="186"/>
      <c r="X1" s="786"/>
      <c r="Y1" s="788"/>
      <c r="Z1" s="792"/>
      <c r="AA1" s="38"/>
      <c r="AU1" s="5"/>
      <c r="BA1" s="57"/>
      <c r="BB1" s="57"/>
    </row>
    <row r="2" spans="1:54" s="1" customFormat="1" ht="21.75" customHeight="1" x14ac:dyDescent="0.25">
      <c r="A2" s="1148" t="s">
        <v>736</v>
      </c>
      <c r="B2" s="1149"/>
      <c r="C2" s="1149"/>
      <c r="D2" s="158"/>
      <c r="E2" s="158"/>
      <c r="F2" s="158"/>
      <c r="G2" s="158"/>
      <c r="H2" s="158"/>
      <c r="I2" s="158"/>
      <c r="J2" s="158"/>
      <c r="K2" s="158"/>
      <c r="L2" s="158"/>
      <c r="M2" s="158"/>
      <c r="N2" s="158"/>
      <c r="O2" s="158"/>
      <c r="P2" s="158"/>
      <c r="Q2" s="158"/>
      <c r="R2" s="158"/>
      <c r="S2" s="158"/>
      <c r="T2" s="785"/>
      <c r="U2" s="186"/>
      <c r="V2" s="186"/>
      <c r="W2" s="186"/>
      <c r="X2" s="786"/>
      <c r="Y2" s="154"/>
      <c r="Z2" s="161"/>
      <c r="AA2" s="38"/>
      <c r="AU2" s="5"/>
      <c r="BA2" s="57"/>
      <c r="BB2" s="57"/>
    </row>
    <row r="3" spans="1:54" s="1" customFormat="1" ht="21.75" customHeight="1" x14ac:dyDescent="0.25">
      <c r="A3" s="784">
        <f>Report_Date</f>
        <v>43190</v>
      </c>
      <c r="B3" s="782"/>
      <c r="C3" s="782"/>
      <c r="D3" s="56"/>
      <c r="E3" s="56"/>
      <c r="F3" s="56"/>
      <c r="G3" s="56"/>
      <c r="H3" s="56"/>
      <c r="I3" s="56"/>
      <c r="J3" s="56"/>
      <c r="K3" s="56"/>
      <c r="L3" s="56"/>
      <c r="M3" s="56"/>
      <c r="N3" s="56"/>
      <c r="O3" s="56"/>
      <c r="P3" s="56"/>
      <c r="Q3" s="56"/>
      <c r="R3" s="56"/>
      <c r="S3" s="56"/>
      <c r="T3" s="56"/>
      <c r="U3" s="783"/>
      <c r="V3" s="783"/>
      <c r="W3" s="783"/>
      <c r="X3" s="787"/>
      <c r="Y3" s="154"/>
      <c r="Z3" s="161"/>
      <c r="AA3" s="38"/>
      <c r="AU3" s="5">
        <v>0</v>
      </c>
      <c r="BA3" s="57"/>
      <c r="BB3" s="57"/>
    </row>
    <row r="4" spans="1:54" ht="57" customHeight="1" x14ac:dyDescent="0.25">
      <c r="A4" s="404" t="s">
        <v>484</v>
      </c>
      <c r="B4" s="187" t="s">
        <v>191</v>
      </c>
      <c r="C4" s="187" t="s">
        <v>202</v>
      </c>
      <c r="D4" s="187" t="s">
        <v>10</v>
      </c>
      <c r="E4" s="187" t="s">
        <v>1</v>
      </c>
      <c r="F4" s="187" t="s">
        <v>1094</v>
      </c>
      <c r="G4" s="187" t="s">
        <v>737</v>
      </c>
      <c r="H4" s="405" t="s">
        <v>482</v>
      </c>
      <c r="I4" s="405" t="s">
        <v>483</v>
      </c>
      <c r="J4" s="188" t="s">
        <v>738</v>
      </c>
      <c r="K4" s="188" t="s">
        <v>739</v>
      </c>
      <c r="L4" s="188" t="s">
        <v>740</v>
      </c>
      <c r="M4" s="189" t="s">
        <v>741</v>
      </c>
      <c r="N4" s="189" t="s">
        <v>742</v>
      </c>
      <c r="O4" s="189" t="s">
        <v>865</v>
      </c>
      <c r="P4" s="825" t="s">
        <v>1095</v>
      </c>
      <c r="Q4" s="389" t="s">
        <v>1088</v>
      </c>
      <c r="R4" s="389" t="s">
        <v>1089</v>
      </c>
      <c r="S4" s="389" t="s">
        <v>1090</v>
      </c>
      <c r="T4" s="190" t="s">
        <v>743</v>
      </c>
      <c r="U4" s="191" t="s">
        <v>757</v>
      </c>
      <c r="V4" s="191" t="s">
        <v>521</v>
      </c>
      <c r="W4" s="191" t="s">
        <v>329</v>
      </c>
      <c r="X4" s="189" t="s">
        <v>221</v>
      </c>
      <c r="Y4" s="189" t="s">
        <v>867</v>
      </c>
      <c r="Z4" s="406" t="s">
        <v>868</v>
      </c>
      <c r="AA4" s="804" t="s">
        <v>1038</v>
      </c>
      <c r="AU4" s="5">
        <v>0</v>
      </c>
    </row>
    <row r="5" spans="1:54" ht="29.25" customHeight="1" x14ac:dyDescent="0.25">
      <c r="A5" s="826">
        <v>42990</v>
      </c>
      <c r="B5" s="294" t="s">
        <v>1096</v>
      </c>
      <c r="C5" s="294" t="s">
        <v>1096</v>
      </c>
      <c r="D5" s="294" t="s">
        <v>7</v>
      </c>
      <c r="E5" s="306" t="s">
        <v>17</v>
      </c>
      <c r="F5" s="19" t="s">
        <v>66</v>
      </c>
      <c r="G5" s="19">
        <v>1</v>
      </c>
      <c r="H5" s="19"/>
      <c r="I5" s="19"/>
      <c r="J5" s="19"/>
      <c r="K5" s="19"/>
      <c r="L5" s="19"/>
      <c r="M5" s="19"/>
      <c r="N5" s="19"/>
      <c r="O5" s="19"/>
      <c r="P5" s="428">
        <v>2376</v>
      </c>
      <c r="Q5" s="824"/>
      <c r="R5" s="824"/>
      <c r="S5" s="391"/>
      <c r="T5" s="391">
        <v>2376</v>
      </c>
      <c r="U5" s="391">
        <f ca="1">IF(Data_Shelter_t[[#This Row],[Status]]="Open",Data_Shelter_t[[#This Row],[HH Covered]],0)</f>
        <v>2376</v>
      </c>
      <c r="V5" s="391" t="s">
        <v>152</v>
      </c>
      <c r="W5" s="392" t="str">
        <f ca="1">IFERROR(OFFSET(Camp_List[Status],MATCH(Data_Shelter_t[[#This Row],[Camp Name/ Relocation Sites]],Camp_List[Camp Name],0)-1,0,1,1),"")</f>
        <v>Open</v>
      </c>
      <c r="X5" s="393">
        <f ca="1">IFERROR(Data_Shelter_t[[#This Row],[HH Covered]]/OFFSET(Camp_List[HH],MATCH(Data_Shelter_t[[#This Row],[Camp Name/ Relocation Sites]],Camp_List[Camp Name],0)-1,0,1,1),"")</f>
        <v>1.0466960352422907</v>
      </c>
      <c r="Y5" s="391">
        <f>Data_Shelter_t[[#This Row],['# of Permanent House Planned (Target)]]+Data_Shelter_t[[#This Row],['# of Individual House Planned (Target)]]</f>
        <v>0</v>
      </c>
      <c r="Z5" s="391">
        <f>Data_Shelter_t[[#This Row],['# of Permanent House Built]]+Data_Shelter_t[[#This Row],['# of Individual House Built]]</f>
        <v>0</v>
      </c>
      <c r="AA5" s="827"/>
      <c r="AU5" s="5"/>
    </row>
    <row r="6" spans="1:54" s="5" customFormat="1" ht="23.25" customHeight="1" x14ac:dyDescent="0.25">
      <c r="A6" s="826">
        <v>42990</v>
      </c>
      <c r="B6" s="294" t="s">
        <v>1096</v>
      </c>
      <c r="C6" s="294" t="s">
        <v>1096</v>
      </c>
      <c r="D6" s="294" t="s">
        <v>7</v>
      </c>
      <c r="E6" s="306" t="s">
        <v>17</v>
      </c>
      <c r="F6" s="19" t="s">
        <v>61</v>
      </c>
      <c r="G6" s="19">
        <v>1</v>
      </c>
      <c r="H6" s="19"/>
      <c r="I6" s="19"/>
      <c r="J6" s="19"/>
      <c r="K6" s="19"/>
      <c r="L6" s="19"/>
      <c r="M6" s="19"/>
      <c r="N6" s="19"/>
      <c r="O6" s="19"/>
      <c r="P6" s="428">
        <v>507</v>
      </c>
      <c r="Q6" s="824"/>
      <c r="R6" s="824"/>
      <c r="S6" s="391"/>
      <c r="T6" s="391">
        <v>507</v>
      </c>
      <c r="U6" s="391">
        <f ca="1">IF(Data_Shelter_t[[#This Row],[Status]]="Open",Data_Shelter_t[[#This Row],[HH Covered]],0)</f>
        <v>507</v>
      </c>
      <c r="V6" s="294" t="s">
        <v>147</v>
      </c>
      <c r="W6" s="392" t="str">
        <f ca="1">IFERROR(OFFSET(Camp_List[Status],MATCH(Data_Shelter_t[[#This Row],[Camp Name/ Relocation Sites]],Camp_List[Camp Name],0)-1,0,1,1),"")</f>
        <v>Open</v>
      </c>
      <c r="X6" s="393">
        <f ca="1">IFERROR(Data_Shelter_t[[#This Row],[HH Covered]]/OFFSET(Camp_List[HH],MATCH(Data_Shelter_t[[#This Row],[Camp Name/ Relocation Sites]],Camp_List[Camp Name],0)-1,0,1,1),"")</f>
        <v>0.2556732223903177</v>
      </c>
      <c r="Y6" s="391">
        <f>Data_Shelter_t[[#This Row],['# of Permanent House Planned (Target)]]+Data_Shelter_t[[#This Row],['# of Individual House Planned (Target)]]</f>
        <v>0</v>
      </c>
      <c r="Z6" s="391">
        <f>Data_Shelter_t[[#This Row],['# of Permanent House Built]]+Data_Shelter_t[[#This Row],['# of Individual House Built]]</f>
        <v>0</v>
      </c>
      <c r="AA6" s="827"/>
    </row>
    <row r="7" spans="1:54" s="5" customFormat="1" ht="23.25" customHeight="1" x14ac:dyDescent="0.25">
      <c r="A7" s="1054">
        <v>42948</v>
      </c>
      <c r="B7" s="293" t="s">
        <v>282</v>
      </c>
      <c r="C7" s="293" t="s">
        <v>282</v>
      </c>
      <c r="D7" s="293" t="s">
        <v>7</v>
      </c>
      <c r="E7" s="295" t="s">
        <v>17</v>
      </c>
      <c r="F7" s="293" t="s">
        <v>582</v>
      </c>
      <c r="G7" s="670">
        <v>8</v>
      </c>
      <c r="H7" s="293"/>
      <c r="I7" s="293"/>
      <c r="J7" s="19">
        <v>10</v>
      </c>
      <c r="K7" s="670">
        <v>10</v>
      </c>
      <c r="L7" s="670"/>
      <c r="M7" s="670"/>
      <c r="N7" s="670"/>
      <c r="O7" s="293"/>
      <c r="P7" s="293"/>
      <c r="Q7" s="293"/>
      <c r="R7" s="293"/>
      <c r="S7" s="88"/>
      <c r="T7" s="88">
        <v>80</v>
      </c>
      <c r="U7" s="88">
        <f ca="1">IF(Data_Shelter_t[[#This Row],[Status]]="Open",Data_Shelter_t[[#This Row],[HH Covered]],0)</f>
        <v>80</v>
      </c>
      <c r="V7" s="294" t="s">
        <v>584</v>
      </c>
      <c r="W7" s="392" t="str">
        <f ca="1">IFERROR(OFFSET(Camp_List[Status],MATCH(Data_Shelter_t[[#This Row],[Camp Name/ Relocation Sites]],Camp_List[Camp Name],0)-1,0,1,1),"")</f>
        <v>Open</v>
      </c>
      <c r="X7" s="393">
        <f ca="1">IFERROR(Data_Shelter_t[[#This Row],[HH Covered]]/OFFSET(Camp_List[HH],MATCH(Data_Shelter_t[[#This Row],[Camp Name/ Relocation Sites]],Camp_List[Camp Name],0)-1,0,1,1),"")</f>
        <v>5.9701492537313432E-2</v>
      </c>
      <c r="Y7" s="391">
        <f>Data_Shelter_t[[#This Row],['# of Permanent House Planned (Target)]]+Data_Shelter_t[[#This Row],['# of Individual House Planned (Target)]]</f>
        <v>0</v>
      </c>
      <c r="Z7" s="391">
        <f>Data_Shelter_t[[#This Row],['# of Permanent House Built]]+Data_Shelter_t[[#This Row],['# of Individual House Built]]</f>
        <v>0</v>
      </c>
      <c r="AA7" s="38"/>
    </row>
    <row r="8" spans="1:54" ht="27" customHeight="1" x14ac:dyDescent="0.25">
      <c r="A8" s="826">
        <v>42947</v>
      </c>
      <c r="B8" s="294" t="s">
        <v>278</v>
      </c>
      <c r="C8" s="294" t="s">
        <v>278</v>
      </c>
      <c r="D8" s="294" t="s">
        <v>7</v>
      </c>
      <c r="E8" s="306" t="s">
        <v>13</v>
      </c>
      <c r="F8" s="294" t="s">
        <v>40</v>
      </c>
      <c r="G8" s="19">
        <v>1</v>
      </c>
      <c r="H8" s="294"/>
      <c r="I8" s="294"/>
      <c r="J8" s="19"/>
      <c r="K8" s="19"/>
      <c r="L8" s="19"/>
      <c r="M8" s="19"/>
      <c r="N8" s="19"/>
      <c r="O8" s="294"/>
      <c r="P8" s="428"/>
      <c r="Q8" s="391">
        <v>112</v>
      </c>
      <c r="R8" s="428">
        <v>112</v>
      </c>
      <c r="S8" s="391"/>
      <c r="T8" s="391">
        <v>112</v>
      </c>
      <c r="U8" s="391">
        <f ca="1">IF(Data_Shelter_t[[#This Row],[Status]]="Open",Data_Shelter_t[[#This Row],[HH Covered]],0)</f>
        <v>112</v>
      </c>
      <c r="V8" s="391" t="s">
        <v>126</v>
      </c>
      <c r="W8" s="392" t="str">
        <f ca="1">IFERROR(OFFSET(Camp_List[Status],MATCH(Data_Shelter_t[[#This Row],[Camp Name/ Relocation Sites]],Camp_List[Camp Name],0)-1,0,1,1),"")</f>
        <v>Open</v>
      </c>
      <c r="X8" s="393">
        <f ca="1">IFERROR(Data_Shelter_t[[#This Row],[HH Covered]]/OFFSET(Camp_List[HH],MATCH(Data_Shelter_t[[#This Row],[Camp Name/ Relocation Sites]],Camp_List[Camp Name],0)-1,0,1,1),"")</f>
        <v>8.339538346984364E-2</v>
      </c>
      <c r="Y8" s="19">
        <f>Data_Shelter_t[[#This Row],['# of Permanent House Planned (Target)]]+Data_Shelter_t[[#This Row],['# of Individual House Planned (Target)]]</f>
        <v>112</v>
      </c>
      <c r="Z8" s="19">
        <f>Data_Shelter_t[[#This Row],['# of Permanent House Built]]+Data_Shelter_t[[#This Row],['# of Individual House Built]]</f>
        <v>112</v>
      </c>
      <c r="AA8" s="16"/>
      <c r="AU8" s="5"/>
    </row>
    <row r="9" spans="1:54" s="5" customFormat="1" ht="23.25" customHeight="1" x14ac:dyDescent="0.25">
      <c r="A9" s="409">
        <v>42947</v>
      </c>
      <c r="B9" s="294" t="s">
        <v>1065</v>
      </c>
      <c r="C9" s="294" t="s">
        <v>1065</v>
      </c>
      <c r="D9" s="294" t="s">
        <v>7</v>
      </c>
      <c r="E9" s="306" t="s">
        <v>13</v>
      </c>
      <c r="F9" s="19" t="s">
        <v>40</v>
      </c>
      <c r="G9" s="19">
        <v>1</v>
      </c>
      <c r="H9" s="19"/>
      <c r="I9" s="19"/>
      <c r="J9" s="19"/>
      <c r="K9" s="19"/>
      <c r="L9" s="19"/>
      <c r="M9" s="19"/>
      <c r="N9" s="19"/>
      <c r="O9" s="19"/>
      <c r="P9" s="428"/>
      <c r="Q9" s="391">
        <v>480</v>
      </c>
      <c r="R9" s="806">
        <v>480</v>
      </c>
      <c r="S9" s="391"/>
      <c r="T9" s="391">
        <v>480</v>
      </c>
      <c r="U9" s="391">
        <f ca="1">IF(Data_Shelter_t[[#This Row],[Status]]="Open",Data_Shelter_t[[#This Row],[HH Covered]],0)</f>
        <v>480</v>
      </c>
      <c r="V9" s="391" t="s">
        <v>126</v>
      </c>
      <c r="W9" s="392" t="str">
        <f ca="1">IFERROR(OFFSET(Camp_List[Status],MATCH(Data_Shelter_t[[#This Row],[Camp Name/ Relocation Sites]],Camp_List[Camp Name],0)-1,0,1,1),"")</f>
        <v>Open</v>
      </c>
      <c r="X9" s="393">
        <f ca="1">IFERROR(Data_Shelter_t[[#This Row],[HH Covered]]/OFFSET(Camp_List[HH],MATCH(Data_Shelter_t[[#This Row],[Camp Name/ Relocation Sites]],Camp_List[Camp Name],0)-1,0,1,1),"")</f>
        <v>0.35740878629932987</v>
      </c>
      <c r="Y9" s="391">
        <f>Data_Shelter_t[[#This Row],['# of Permanent House Planned (Target)]]+Data_Shelter_t[[#This Row],['# of Individual House Planned (Target)]]</f>
        <v>480</v>
      </c>
      <c r="Z9" s="391">
        <f>Data_Shelter_t[[#This Row],['# of Permanent House Built]]+Data_Shelter_t[[#This Row],['# of Individual House Built]]</f>
        <v>480</v>
      </c>
      <c r="AA9" s="827"/>
    </row>
    <row r="10" spans="1:54" s="5" customFormat="1" ht="23.25" customHeight="1" x14ac:dyDescent="0.25">
      <c r="A10" s="826">
        <v>42947</v>
      </c>
      <c r="B10" s="294" t="s">
        <v>1082</v>
      </c>
      <c r="C10" s="294" t="s">
        <v>1082</v>
      </c>
      <c r="D10" s="294" t="s">
        <v>7</v>
      </c>
      <c r="E10" s="306" t="s">
        <v>13</v>
      </c>
      <c r="F10" s="19" t="s">
        <v>40</v>
      </c>
      <c r="G10" s="19">
        <v>1</v>
      </c>
      <c r="H10" s="19"/>
      <c r="I10" s="19"/>
      <c r="J10" s="19"/>
      <c r="K10" s="19"/>
      <c r="L10" s="19"/>
      <c r="M10" s="19"/>
      <c r="N10" s="19"/>
      <c r="O10" s="19"/>
      <c r="P10" s="428"/>
      <c r="Q10" s="391">
        <v>56</v>
      </c>
      <c r="R10" s="806">
        <v>56</v>
      </c>
      <c r="S10" s="391"/>
      <c r="T10" s="391">
        <v>56</v>
      </c>
      <c r="U10" s="391">
        <f ca="1">IF(Data_Shelter_t[[#This Row],[Status]]="Open",Data_Shelter_t[[#This Row],[HH Covered]],0)</f>
        <v>56</v>
      </c>
      <c r="V10" s="391" t="s">
        <v>126</v>
      </c>
      <c r="W10" s="392" t="str">
        <f ca="1">IFERROR(OFFSET(Camp_List[Status],MATCH(Data_Shelter_t[[#This Row],[Camp Name/ Relocation Sites]],Camp_List[Camp Name],0)-1,0,1,1),"")</f>
        <v>Open</v>
      </c>
      <c r="X10" s="393">
        <f ca="1">IFERROR(Data_Shelter_t[[#This Row],[HH Covered]]/OFFSET(Camp_List[HH],MATCH(Data_Shelter_t[[#This Row],[Camp Name/ Relocation Sites]],Camp_List[Camp Name],0)-1,0,1,1),"")</f>
        <v>4.169769173492182E-2</v>
      </c>
      <c r="Y10" s="391">
        <f>Data_Shelter_t[[#This Row],['# of Permanent House Planned (Target)]]+Data_Shelter_t[[#This Row],['# of Individual House Planned (Target)]]</f>
        <v>56</v>
      </c>
      <c r="Z10" s="391">
        <f>Data_Shelter_t[[#This Row],['# of Permanent House Built]]+Data_Shelter_t[[#This Row],['# of Individual House Built]]</f>
        <v>56</v>
      </c>
      <c r="AA10" s="827"/>
    </row>
    <row r="11" spans="1:54" s="5" customFormat="1" ht="23.25" customHeight="1" x14ac:dyDescent="0.25">
      <c r="A11" s="807">
        <v>42947</v>
      </c>
      <c r="B11" s="293" t="s">
        <v>278</v>
      </c>
      <c r="C11" s="293" t="s">
        <v>278</v>
      </c>
      <c r="D11" s="293" t="s">
        <v>7</v>
      </c>
      <c r="E11" s="295" t="s">
        <v>17</v>
      </c>
      <c r="F11" s="293" t="s">
        <v>59</v>
      </c>
      <c r="G11" s="670">
        <v>8</v>
      </c>
      <c r="H11" s="293"/>
      <c r="I11" s="293"/>
      <c r="J11" s="670">
        <v>52</v>
      </c>
      <c r="K11" s="670">
        <v>52</v>
      </c>
      <c r="L11" s="670"/>
      <c r="M11" s="670"/>
      <c r="N11" s="670"/>
      <c r="O11" s="293"/>
      <c r="P11" s="208"/>
      <c r="Q11" s="293"/>
      <c r="R11" s="293"/>
      <c r="S11" s="88"/>
      <c r="T11" s="88">
        <f>52*8</f>
        <v>416</v>
      </c>
      <c r="U11" s="88">
        <f ca="1">IF(Data_Shelter_t[[#This Row],[Status]]="Open",Data_Shelter_t[[#This Row],[HH Covered]],0)</f>
        <v>416</v>
      </c>
      <c r="V11" s="294" t="s">
        <v>145</v>
      </c>
      <c r="W11" s="414" t="str">
        <f ca="1">IFERROR(OFFSET(Camp_List[Status],MATCH(Data_Shelter_t[[#This Row],[Camp Name/ Relocation Sites]],Camp_List[Camp Name],0)-1,0,1,1),"")</f>
        <v>Open</v>
      </c>
      <c r="X11" s="393">
        <f ca="1">IFERROR(Data_Shelter_t[[#This Row],[HH Covered]]/OFFSET(Camp_List[HH],MATCH(Data_Shelter_t[[#This Row],[Camp Name/ Relocation Sites]],Camp_List[Camp Name],0)-1,0,1,1),"")</f>
        <v>1.0612244897959184</v>
      </c>
      <c r="Y11" s="670">
        <f>Data_Shelter_t[[#This Row],['# of Permanent House Planned (Target)]]+Data_Shelter_t[[#This Row],['# of Individual House Planned (Target)]]</f>
        <v>0</v>
      </c>
      <c r="Z11" s="670">
        <f>Data_Shelter_t[[#This Row],['# of Permanent House Built]]+Data_Shelter_t[[#This Row],['# of Individual House Built]]</f>
        <v>0</v>
      </c>
      <c r="AA11" s="38"/>
    </row>
    <row r="12" spans="1:54" s="5" customFormat="1" ht="23.25" customHeight="1" x14ac:dyDescent="0.25">
      <c r="A12" s="408">
        <v>42947</v>
      </c>
      <c r="B12" s="293" t="s">
        <v>278</v>
      </c>
      <c r="C12" s="293" t="s">
        <v>278</v>
      </c>
      <c r="D12" s="293" t="s">
        <v>7</v>
      </c>
      <c r="E12" s="295" t="s">
        <v>561</v>
      </c>
      <c r="F12" s="293" t="s">
        <v>56</v>
      </c>
      <c r="G12" s="26">
        <v>8</v>
      </c>
      <c r="H12" s="293"/>
      <c r="I12" s="293"/>
      <c r="J12" s="26">
        <v>22</v>
      </c>
      <c r="K12" s="26">
        <v>22</v>
      </c>
      <c r="L12" s="26"/>
      <c r="M12" s="26"/>
      <c r="N12" s="26"/>
      <c r="O12" s="293"/>
      <c r="P12" s="208"/>
      <c r="Q12" s="293"/>
      <c r="R12" s="293"/>
      <c r="S12" s="88"/>
      <c r="T12" s="88">
        <v>176</v>
      </c>
      <c r="U12" s="88">
        <f ca="1">IF(Data_Shelter_t[[#This Row],[Status]]="Open",Data_Shelter_t[[#This Row],[HH Covered]],0)</f>
        <v>176</v>
      </c>
      <c r="V12" s="294" t="s">
        <v>141</v>
      </c>
      <c r="W12" s="414" t="str">
        <f ca="1">IFERROR(OFFSET(Camp_List[Status],MATCH(Data_Shelter_t[[#This Row],[Camp Name/ Relocation Sites]],Camp_List[Camp Name],0)-1,0,1,1),"")</f>
        <v>Open</v>
      </c>
      <c r="X12" s="393">
        <f ca="1">IFERROR(Data_Shelter_t[[#This Row],[HH Covered]]/OFFSET(Camp_List[HH],MATCH(Data_Shelter_t[[#This Row],[Camp Name/ Relocation Sites]],Camp_List[Camp Name],0)-1,0,1,1),"")</f>
        <v>0.42409638554216866</v>
      </c>
      <c r="Y12" s="670">
        <f>Data_Shelter_t[[#This Row],['# of Permanent House Planned (Target)]]+Data_Shelter_t[[#This Row],['# of Individual House Planned (Target)]]</f>
        <v>0</v>
      </c>
      <c r="Z12" s="670">
        <f>Data_Shelter_t[[#This Row],['# of Permanent House Built]]+Data_Shelter_t[[#This Row],['# of Individual House Built]]</f>
        <v>0</v>
      </c>
      <c r="AA12" s="805" t="s">
        <v>1084</v>
      </c>
    </row>
    <row r="13" spans="1:54" s="5" customFormat="1" ht="23.25" customHeight="1" x14ac:dyDescent="0.25">
      <c r="A13" s="408">
        <v>42947</v>
      </c>
      <c r="B13" s="293" t="s">
        <v>283</v>
      </c>
      <c r="C13" s="293" t="s">
        <v>283</v>
      </c>
      <c r="D13" s="293" t="s">
        <v>7</v>
      </c>
      <c r="E13" s="295" t="s">
        <v>561</v>
      </c>
      <c r="F13" s="293" t="s">
        <v>56</v>
      </c>
      <c r="G13" s="26">
        <v>8</v>
      </c>
      <c r="H13" s="293"/>
      <c r="I13" s="293"/>
      <c r="J13" s="26">
        <v>31</v>
      </c>
      <c r="K13" s="26">
        <v>31</v>
      </c>
      <c r="L13" s="26"/>
      <c r="M13" s="26"/>
      <c r="N13" s="26"/>
      <c r="O13" s="293"/>
      <c r="P13" s="208"/>
      <c r="Q13" s="293"/>
      <c r="R13" s="293"/>
      <c r="S13" s="88"/>
      <c r="T13" s="88">
        <v>248</v>
      </c>
      <c r="U13" s="88">
        <f ca="1">IF(Data_Shelter_t[[#This Row],[Status]]="Open",Data_Shelter_t[[#This Row],[HH Covered]],0)</f>
        <v>248</v>
      </c>
      <c r="V13" s="294" t="s">
        <v>141</v>
      </c>
      <c r="W13" s="414" t="str">
        <f ca="1">IFERROR(OFFSET(Camp_List[Status],MATCH(Data_Shelter_t[[#This Row],[Camp Name/ Relocation Sites]],Camp_List[Camp Name],0)-1,0,1,1),"")</f>
        <v>Open</v>
      </c>
      <c r="X13" s="393">
        <f ca="1">IFERROR(Data_Shelter_t[[#This Row],[HH Covered]]/OFFSET(Camp_List[HH],MATCH(Data_Shelter_t[[#This Row],[Camp Name/ Relocation Sites]],Camp_List[Camp Name],0)-1,0,1,1),"")</f>
        <v>0.59759036144578315</v>
      </c>
      <c r="Y13" s="670">
        <f>Data_Shelter_t[[#This Row],['# of Permanent House Planned (Target)]]+Data_Shelter_t[[#This Row],['# of Individual House Planned (Target)]]</f>
        <v>0</v>
      </c>
      <c r="Z13" s="670">
        <f>Data_Shelter_t[[#This Row],['# of Permanent House Built]]+Data_Shelter_t[[#This Row],['# of Individual House Built]]</f>
        <v>0</v>
      </c>
      <c r="AA13" s="38"/>
    </row>
    <row r="14" spans="1:54" ht="23.25" customHeight="1" x14ac:dyDescent="0.25">
      <c r="A14" s="408">
        <v>42947</v>
      </c>
      <c r="B14" s="293" t="s">
        <v>278</v>
      </c>
      <c r="C14" s="293" t="s">
        <v>278</v>
      </c>
      <c r="D14" s="293" t="s">
        <v>7</v>
      </c>
      <c r="E14" s="295" t="s">
        <v>14</v>
      </c>
      <c r="F14" s="293" t="s">
        <v>45</v>
      </c>
      <c r="G14" s="26">
        <v>8</v>
      </c>
      <c r="H14" s="293"/>
      <c r="I14" s="293"/>
      <c r="J14" s="26">
        <v>9</v>
      </c>
      <c r="K14" s="26">
        <v>9</v>
      </c>
      <c r="L14" s="26"/>
      <c r="M14" s="26"/>
      <c r="N14" s="26"/>
      <c r="O14" s="293"/>
      <c r="P14" s="208"/>
      <c r="Q14" s="293"/>
      <c r="R14" s="293"/>
      <c r="S14" s="88"/>
      <c r="T14" s="88">
        <v>72</v>
      </c>
      <c r="U14" s="88">
        <f ca="1">IF(Data_Shelter_t[[#This Row],[Status]]="Open",Data_Shelter_t[[#This Row],[HH Covered]],0)</f>
        <v>72</v>
      </c>
      <c r="V14" s="294" t="s">
        <v>131</v>
      </c>
      <c r="W14" s="414" t="str">
        <f ca="1">IFERROR(OFFSET(Camp_List[Status],MATCH(Data_Shelter_t[[#This Row],[Camp Name/ Relocation Sites]],Camp_List[Camp Name],0)-1,0,1,1),"")</f>
        <v>Open</v>
      </c>
      <c r="X14" s="393">
        <f ca="1">IFERROR(Data_Shelter_t[[#This Row],[HH Covered]]/OFFSET(Camp_List[HH],MATCH(Data_Shelter_t[[#This Row],[Camp Name/ Relocation Sites]],Camp_List[Camp Name],0)-1,0,1,1),"")</f>
        <v>0.84705882352941175</v>
      </c>
      <c r="Y14" s="670">
        <f>Data_Shelter_t[[#This Row],['# of Permanent House Planned (Target)]]+Data_Shelter_t[[#This Row],['# of Individual House Planned (Target)]]</f>
        <v>0</v>
      </c>
      <c r="Z14" s="670">
        <f>Data_Shelter_t[[#This Row],['# of Permanent House Built]]+Data_Shelter_t[[#This Row],['# of Individual House Built]]</f>
        <v>0</v>
      </c>
      <c r="AU14" s="5"/>
    </row>
    <row r="15" spans="1:54" ht="23.25" customHeight="1" x14ac:dyDescent="0.25">
      <c r="A15" s="408">
        <v>42947</v>
      </c>
      <c r="B15" s="293" t="s">
        <v>1065</v>
      </c>
      <c r="C15" s="293" t="s">
        <v>1065</v>
      </c>
      <c r="D15" s="293" t="s">
        <v>7</v>
      </c>
      <c r="E15" s="295" t="s">
        <v>561</v>
      </c>
      <c r="F15" s="293" t="s">
        <v>441</v>
      </c>
      <c r="G15" s="26">
        <v>1</v>
      </c>
      <c r="H15" s="293"/>
      <c r="I15" s="293"/>
      <c r="J15" s="26"/>
      <c r="K15" s="26"/>
      <c r="L15" s="670"/>
      <c r="M15" s="26"/>
      <c r="N15" s="26"/>
      <c r="O15" s="293"/>
      <c r="P15" s="293"/>
      <c r="Q15" s="168">
        <v>65</v>
      </c>
      <c r="R15" s="419">
        <v>65</v>
      </c>
      <c r="S15" s="88"/>
      <c r="T15" s="88">
        <v>65</v>
      </c>
      <c r="U15" s="88">
        <f ca="1">IF(Data_Shelter_t[[#This Row],[Status]]="Open",Data_Shelter_t[[#This Row],[HH Covered]],0)</f>
        <v>0</v>
      </c>
      <c r="V15" s="294" t="s">
        <v>142</v>
      </c>
      <c r="W15" s="414" t="str">
        <f ca="1">IFERROR(OFFSET(Camp_List[Status],MATCH(Data_Shelter_t[[#This Row],[Camp Name/ Relocation Sites]],Camp_List[Camp Name],0)-1,0,1,1),"")</f>
        <v>Relocated</v>
      </c>
      <c r="X15" s="393">
        <f ca="1">IFERROR(Data_Shelter_t[[#This Row],[HH Covered]]/OFFSET(Camp_List[HH],MATCH(Data_Shelter_t[[#This Row],[Camp Name/ Relocation Sites]],Camp_List[Camp Name],0)-1,0,1,1),"")</f>
        <v>1</v>
      </c>
      <c r="Y15" s="670">
        <f>Data_Shelter_t[[#This Row],['# of Permanent House Planned (Target)]]+Data_Shelter_t[[#This Row],['# of Individual House Planned (Target)]]</f>
        <v>65</v>
      </c>
      <c r="Z15" s="670">
        <f>Data_Shelter_t[[#This Row],['# of Permanent House Built]]+Data_Shelter_t[[#This Row],['# of Individual House Built]]</f>
        <v>65</v>
      </c>
      <c r="AU15" s="5"/>
    </row>
    <row r="16" spans="1:54" ht="23.25" customHeight="1" x14ac:dyDescent="0.25">
      <c r="A16" s="408">
        <v>42916</v>
      </c>
      <c r="B16" s="293" t="s">
        <v>270</v>
      </c>
      <c r="C16" s="293" t="s">
        <v>270</v>
      </c>
      <c r="D16" s="293" t="s">
        <v>7</v>
      </c>
      <c r="E16" s="295" t="s">
        <v>17</v>
      </c>
      <c r="F16" s="293" t="s">
        <v>585</v>
      </c>
      <c r="G16" s="670">
        <v>8</v>
      </c>
      <c r="H16" s="293"/>
      <c r="I16" s="293"/>
      <c r="J16" s="670">
        <v>80</v>
      </c>
      <c r="K16" s="670">
        <v>80</v>
      </c>
      <c r="L16" s="670"/>
      <c r="M16" s="670"/>
      <c r="N16" s="670"/>
      <c r="O16" s="293"/>
      <c r="P16" s="208"/>
      <c r="Q16" s="293"/>
      <c r="R16" s="293"/>
      <c r="S16" s="88"/>
      <c r="T16" s="88">
        <v>640</v>
      </c>
      <c r="U16" s="88">
        <f ca="1">IF(Data_Shelter_t[[#This Row],[Status]]="Open",Data_Shelter_t[[#This Row],[HH Covered]],0)</f>
        <v>640</v>
      </c>
      <c r="V16" s="294" t="s">
        <v>502</v>
      </c>
      <c r="W16" s="414" t="str">
        <f ca="1">IFERROR(OFFSET(Camp_List[Status],MATCH(Data_Shelter_t[[#This Row],[Camp Name/ Relocation Sites]],Camp_List[Camp Name],0)-1,0,1,1),"")</f>
        <v>Open</v>
      </c>
      <c r="X16" s="393">
        <f ca="1">IFERROR(Data_Shelter_t[[#This Row],[HH Covered]]/OFFSET(Camp_List[HH],MATCH(Data_Shelter_t[[#This Row],[Camp Name/ Relocation Sites]],Camp_List[Camp Name],0)-1,0,1,1),"")</f>
        <v>0.87193460490463215</v>
      </c>
      <c r="Y16" s="670">
        <f>Data_Shelter_t[[#This Row],['# of Permanent House Planned (Target)]]+Data_Shelter_t[[#This Row],['# of Individual House Planned (Target)]]</f>
        <v>0</v>
      </c>
      <c r="Z16" s="670">
        <f>Data_Shelter_t[[#This Row],['# of Permanent House Built]]+Data_Shelter_t[[#This Row],['# of Individual House Built]]</f>
        <v>0</v>
      </c>
      <c r="AU16" s="5"/>
    </row>
    <row r="17" spans="1:47" s="78" customFormat="1" ht="23.25" customHeight="1" x14ac:dyDescent="0.25">
      <c r="A17" s="408">
        <v>42186</v>
      </c>
      <c r="B17" s="293" t="s">
        <v>278</v>
      </c>
      <c r="C17" s="293" t="s">
        <v>278</v>
      </c>
      <c r="D17" s="293" t="s">
        <v>7</v>
      </c>
      <c r="E17" s="295" t="s">
        <v>14</v>
      </c>
      <c r="F17" s="19" t="s">
        <v>52</v>
      </c>
      <c r="G17" s="19">
        <v>1</v>
      </c>
      <c r="H17" s="19"/>
      <c r="I17" s="19"/>
      <c r="J17" s="19"/>
      <c r="K17" s="19"/>
      <c r="L17" s="19"/>
      <c r="M17" s="19"/>
      <c r="N17" s="19"/>
      <c r="O17" s="19"/>
      <c r="P17" s="428"/>
      <c r="Q17" s="779">
        <v>97</v>
      </c>
      <c r="R17" s="806">
        <v>97</v>
      </c>
      <c r="S17" s="391"/>
      <c r="T17" s="391">
        <v>97</v>
      </c>
      <c r="U17" s="391">
        <f ca="1">IF(Data_Shelter_t[[#This Row],[Status]]="Open",Data_Shelter_t[[#This Row],[HH Covered]],0)</f>
        <v>0</v>
      </c>
      <c r="V17" s="391" t="s">
        <v>138</v>
      </c>
      <c r="W17" s="392" t="str">
        <f ca="1">IFERROR(OFFSET(Camp_List[Status],MATCH(Data_Shelter_t[[#This Row],[Camp Name/ Relocation Sites]],Camp_List[Camp Name],0)-1,0,1,1),"")</f>
        <v>Relocated</v>
      </c>
      <c r="X17" s="393">
        <f ca="1">IFERROR(Data_Shelter_t[[#This Row],[HH Covered]]/OFFSET(Camp_List[HH],MATCH(Data_Shelter_t[[#This Row],[Camp Name/ Relocation Sites]],Camp_List[Camp Name],0)-1,0,1,1),"")</f>
        <v>1</v>
      </c>
      <c r="Y17" s="391">
        <f>Data_Shelter_t[[#This Row],['# of Permanent House Planned (Target)]]+Data_Shelter_t[[#This Row],['# of Individual House Planned (Target)]]</f>
        <v>97</v>
      </c>
      <c r="Z17" s="391">
        <f>Data_Shelter_t[[#This Row],['# of Permanent House Built]]+Data_Shelter_t[[#This Row],['# of Individual House Built]]</f>
        <v>97</v>
      </c>
      <c r="AA17" s="791"/>
      <c r="AU17" s="5"/>
    </row>
    <row r="18" spans="1:47" ht="23.25" customHeight="1" x14ac:dyDescent="0.25">
      <c r="A18" s="408">
        <v>42186</v>
      </c>
      <c r="B18" s="293" t="s">
        <v>278</v>
      </c>
      <c r="C18" s="293" t="s">
        <v>278</v>
      </c>
      <c r="D18" s="293" t="s">
        <v>7</v>
      </c>
      <c r="E18" s="295" t="s">
        <v>11</v>
      </c>
      <c r="F18" s="293" t="s">
        <v>866</v>
      </c>
      <c r="G18" s="26">
        <v>1</v>
      </c>
      <c r="H18" s="293"/>
      <c r="I18" s="293"/>
      <c r="J18" s="26"/>
      <c r="K18" s="26"/>
      <c r="L18" s="26"/>
      <c r="M18" s="26"/>
      <c r="N18" s="26"/>
      <c r="O18" s="293"/>
      <c r="P18" s="208"/>
      <c r="Q18" s="208">
        <v>4</v>
      </c>
      <c r="R18" s="208">
        <v>4</v>
      </c>
      <c r="S18" s="208"/>
      <c r="T18" s="88">
        <v>4</v>
      </c>
      <c r="U18" s="88">
        <f ca="1">IF(Data_Shelter_t[[#This Row],[Status]]="Open",Data_Shelter_t[[#This Row],[HH Covered]],0)</f>
        <v>0</v>
      </c>
      <c r="V18" s="391" t="s">
        <v>870</v>
      </c>
      <c r="W18" s="392" t="str">
        <f ca="1">IFERROR(OFFSET(Camp_List[Status],MATCH(Data_Shelter_t[[#This Row],[Camp Name/ Relocation Sites]],Camp_List[Camp Name],0)-1,0,1,1),"")</f>
        <v/>
      </c>
      <c r="X18" s="393" t="str">
        <f ca="1">IFERROR(Data_Shelter_t[[#This Row],[HH Covered]]/OFFSET(Camp_List[HH],MATCH(Data_Shelter_t[[#This Row],[Camp Name/ Relocation Sites]],Camp_List[Camp Name],0)-1,0,1,1),"")</f>
        <v/>
      </c>
      <c r="Y18" s="19">
        <f>Data_Shelter_t[[#This Row],['# of Permanent House Planned (Target)]]+Data_Shelter_t[[#This Row],['# of Individual House Planned (Target)]]</f>
        <v>4</v>
      </c>
      <c r="Z18" s="19">
        <f>Data_Shelter_t[[#This Row],['# of Permanent House Built]]+Data_Shelter_t[[#This Row],['# of Individual House Built]]</f>
        <v>4</v>
      </c>
      <c r="AU18" s="5"/>
    </row>
    <row r="19" spans="1:47" ht="23.25" customHeight="1" x14ac:dyDescent="0.25">
      <c r="A19" s="408">
        <v>42186</v>
      </c>
      <c r="B19" s="293" t="s">
        <v>1085</v>
      </c>
      <c r="C19" s="293" t="s">
        <v>1085</v>
      </c>
      <c r="D19" s="293" t="s">
        <v>7</v>
      </c>
      <c r="E19" s="295" t="s">
        <v>941</v>
      </c>
      <c r="F19" s="293" t="s">
        <v>34</v>
      </c>
      <c r="G19" s="26">
        <v>1</v>
      </c>
      <c r="H19" s="293"/>
      <c r="I19" s="293"/>
      <c r="J19" s="26"/>
      <c r="K19" s="26"/>
      <c r="L19" s="26"/>
      <c r="M19" s="26"/>
      <c r="N19" s="26"/>
      <c r="O19" s="293"/>
      <c r="P19" s="208"/>
      <c r="Q19" s="88">
        <v>10</v>
      </c>
      <c r="R19" s="208">
        <v>10</v>
      </c>
      <c r="S19" s="88"/>
      <c r="T19" s="88">
        <v>10</v>
      </c>
      <c r="U19" s="88">
        <f ca="1">IF(Data_Shelter_t[[#This Row],[Status]]="Open",Data_Shelter_t[[#This Row],[HH Covered]],0)</f>
        <v>0</v>
      </c>
      <c r="V19" s="391" t="s">
        <v>120</v>
      </c>
      <c r="W19" s="392" t="str">
        <f ca="1">IFERROR(OFFSET(Camp_List[Status],MATCH(Data_Shelter_t[[#This Row],[Camp Name/ Relocation Sites]],Camp_List[Camp Name],0)-1,0,1,1),"")</f>
        <v>Relocated</v>
      </c>
      <c r="X19" s="393">
        <f ca="1">IFERROR(Data_Shelter_t[[#This Row],[HH Covered]]/OFFSET(Camp_List[HH],MATCH(Data_Shelter_t[[#This Row],[Camp Name/ Relocation Sites]],Camp_List[Camp Name],0)-1,0,1,1),"")</f>
        <v>1</v>
      </c>
      <c r="Y19" s="19">
        <f>Data_Shelter_t[[#This Row],['# of Permanent House Planned (Target)]]+Data_Shelter_t[[#This Row],['# of Individual House Planned (Target)]]</f>
        <v>10</v>
      </c>
      <c r="Z19" s="19">
        <f>Data_Shelter_t[[#This Row],['# of Permanent House Built]]+Data_Shelter_t[[#This Row],['# of Individual House Built]]</f>
        <v>10</v>
      </c>
      <c r="AU19" s="5"/>
    </row>
    <row r="20" spans="1:47" s="5" customFormat="1" ht="23.25" customHeight="1" x14ac:dyDescent="0.25">
      <c r="A20" s="408">
        <v>42186</v>
      </c>
      <c r="B20" s="293" t="s">
        <v>278</v>
      </c>
      <c r="C20" s="293" t="s">
        <v>278</v>
      </c>
      <c r="D20" s="293" t="s">
        <v>7</v>
      </c>
      <c r="E20" s="295" t="s">
        <v>941</v>
      </c>
      <c r="F20" s="293" t="s">
        <v>578</v>
      </c>
      <c r="G20" s="26">
        <v>1</v>
      </c>
      <c r="H20" s="293"/>
      <c r="I20" s="293"/>
      <c r="J20" s="26"/>
      <c r="K20" s="26"/>
      <c r="L20" s="26"/>
      <c r="M20" s="26"/>
      <c r="N20" s="26"/>
      <c r="O20" s="293"/>
      <c r="P20" s="208"/>
      <c r="Q20" s="88">
        <v>32</v>
      </c>
      <c r="R20" s="208">
        <v>32</v>
      </c>
      <c r="S20" s="88"/>
      <c r="T20" s="88">
        <v>32</v>
      </c>
      <c r="U20" s="88">
        <f ca="1">IF(Data_Shelter_t[[#This Row],[Status]]="Open",Data_Shelter_t[[#This Row],[HH Covered]],0)</f>
        <v>0</v>
      </c>
      <c r="V20" s="391" t="s">
        <v>579</v>
      </c>
      <c r="W20" s="392" t="str">
        <f ca="1">IFERROR(OFFSET(Camp_List[Status],MATCH(Data_Shelter_t[[#This Row],[Camp Name/ Relocation Sites]],Camp_List[Camp Name],0)-1,0,1,1),"")</f>
        <v>Relocated</v>
      </c>
      <c r="X20" s="393">
        <f ca="1">IFERROR(Data_Shelter_t[[#This Row],[HH Covered]]/OFFSET(Camp_List[HH],MATCH(Data_Shelter_t[[#This Row],[Camp Name/ Relocation Sites]],Camp_List[Camp Name],0)-1,0,1,1),"")</f>
        <v>1</v>
      </c>
      <c r="Y20" s="19">
        <f>Data_Shelter_t[[#This Row],['# of Permanent House Planned (Target)]]+Data_Shelter_t[[#This Row],['# of Individual House Planned (Target)]]</f>
        <v>32</v>
      </c>
      <c r="Z20" s="19">
        <f>Data_Shelter_t[[#This Row],['# of Permanent House Built]]+Data_Shelter_t[[#This Row],['# of Individual House Built]]</f>
        <v>32</v>
      </c>
      <c r="AA20" s="38"/>
    </row>
    <row r="21" spans="1:47" ht="23.25" customHeight="1" x14ac:dyDescent="0.25">
      <c r="A21" s="408">
        <v>42186</v>
      </c>
      <c r="B21" s="293" t="s">
        <v>278</v>
      </c>
      <c r="C21" s="293" t="s">
        <v>278</v>
      </c>
      <c r="D21" s="293" t="s">
        <v>7</v>
      </c>
      <c r="E21" s="295" t="s">
        <v>817</v>
      </c>
      <c r="F21" s="293" t="s">
        <v>35</v>
      </c>
      <c r="G21" s="670">
        <v>1</v>
      </c>
      <c r="H21" s="293"/>
      <c r="I21" s="293"/>
      <c r="J21" s="670"/>
      <c r="K21" s="670"/>
      <c r="L21" s="670"/>
      <c r="M21" s="670"/>
      <c r="N21" s="670"/>
      <c r="O21" s="293"/>
      <c r="P21" s="208"/>
      <c r="Q21" s="88">
        <v>40</v>
      </c>
      <c r="R21" s="208">
        <v>40</v>
      </c>
      <c r="S21" s="88"/>
      <c r="T21" s="88">
        <v>40</v>
      </c>
      <c r="U21" s="88">
        <f ca="1">IF(Data_Shelter_t[[#This Row],[Status]]="Open",Data_Shelter_t[[#This Row],[HH Covered]],0)</f>
        <v>0</v>
      </c>
      <c r="V21" s="391" t="s">
        <v>121</v>
      </c>
      <c r="W21" s="392" t="str">
        <f ca="1">IFERROR(OFFSET(Camp_List[Status],MATCH(Data_Shelter_t[[#This Row],[Camp Name/ Relocation Sites]],Camp_List[Camp Name],0)-1,0,1,1),"")</f>
        <v>Relocated</v>
      </c>
      <c r="X21" s="393">
        <f ca="1">IFERROR(Data_Shelter_t[[#This Row],[HH Covered]]/OFFSET(Camp_List[HH],MATCH(Data_Shelter_t[[#This Row],[Camp Name/ Relocation Sites]],Camp_List[Camp Name],0)-1,0,1,1),"")</f>
        <v>1</v>
      </c>
      <c r="Y21" s="19">
        <f>Data_Shelter_t[[#This Row],['# of Permanent House Planned (Target)]]+Data_Shelter_t[[#This Row],['# of Individual House Planned (Target)]]</f>
        <v>40</v>
      </c>
      <c r="Z21" s="19">
        <f>Data_Shelter_t[[#This Row],['# of Permanent House Built]]+Data_Shelter_t[[#This Row],['# of Individual House Built]]</f>
        <v>40</v>
      </c>
      <c r="AU21" s="5"/>
    </row>
    <row r="22" spans="1:47" ht="23.25" customHeight="1" x14ac:dyDescent="0.25">
      <c r="A22" s="408">
        <v>42186</v>
      </c>
      <c r="B22" s="293" t="s">
        <v>270</v>
      </c>
      <c r="C22" s="293" t="s">
        <v>270</v>
      </c>
      <c r="D22" s="293" t="s">
        <v>7</v>
      </c>
      <c r="E22" s="295" t="s">
        <v>17</v>
      </c>
      <c r="F22" s="293" t="s">
        <v>590</v>
      </c>
      <c r="G22" s="26">
        <v>1</v>
      </c>
      <c r="H22" s="293"/>
      <c r="I22" s="293"/>
      <c r="J22" s="670"/>
      <c r="K22" s="26"/>
      <c r="L22" s="26"/>
      <c r="M22" s="26"/>
      <c r="N22" s="26"/>
      <c r="O22" s="293"/>
      <c r="P22" s="208"/>
      <c r="Q22" s="208">
        <v>72</v>
      </c>
      <c r="R22" s="208">
        <v>72</v>
      </c>
      <c r="S22" s="208"/>
      <c r="T22" s="88">
        <v>72</v>
      </c>
      <c r="U22" s="88">
        <f ca="1">IF(Data_Shelter_t[[#This Row],[Status]]="Open",Data_Shelter_t[[#This Row],[HH Covered]],0)</f>
        <v>0</v>
      </c>
      <c r="V22" s="391" t="s">
        <v>162</v>
      </c>
      <c r="W22" s="392" t="str">
        <f ca="1">IFERROR(OFFSET(Camp_List[Status],MATCH(Data_Shelter_t[[#This Row],[Camp Name/ Relocation Sites]],Camp_List[Camp Name],0)-1,0,1,1),"")</f>
        <v>Relocated</v>
      </c>
      <c r="X22" s="393">
        <f ca="1">IFERROR(Data_Shelter_t[[#This Row],[HH Covered]]/OFFSET(Camp_List[HH],MATCH(Data_Shelter_t[[#This Row],[Camp Name/ Relocation Sites]],Camp_List[Camp Name],0)-1,0,1,1),"")</f>
        <v>0.28915662650602408</v>
      </c>
      <c r="Y22" s="19">
        <f>Data_Shelter_t[[#This Row],['# of Permanent House Planned (Target)]]+Data_Shelter_t[[#This Row],['# of Individual House Planned (Target)]]</f>
        <v>72</v>
      </c>
      <c r="Z22" s="19">
        <f>Data_Shelter_t[[#This Row],['# of Permanent House Built]]+Data_Shelter_t[[#This Row],['# of Individual House Built]]</f>
        <v>72</v>
      </c>
      <c r="AU22" s="5"/>
    </row>
    <row r="23" spans="1:47" ht="23.25" customHeight="1" x14ac:dyDescent="0.25">
      <c r="A23" s="408">
        <v>42186</v>
      </c>
      <c r="B23" s="293" t="s">
        <v>278</v>
      </c>
      <c r="C23" s="293" t="s">
        <v>278</v>
      </c>
      <c r="D23" s="293" t="s">
        <v>7</v>
      </c>
      <c r="E23" s="295" t="s">
        <v>14</v>
      </c>
      <c r="F23" s="293" t="s">
        <v>44</v>
      </c>
      <c r="G23" s="670">
        <v>1</v>
      </c>
      <c r="H23" s="293"/>
      <c r="I23" s="293"/>
      <c r="J23" s="670"/>
      <c r="K23" s="670"/>
      <c r="L23" s="670"/>
      <c r="M23" s="670"/>
      <c r="N23" s="670"/>
      <c r="O23" s="293"/>
      <c r="P23" s="208"/>
      <c r="Q23" s="88">
        <v>24</v>
      </c>
      <c r="R23" s="419">
        <v>24</v>
      </c>
      <c r="S23" s="88"/>
      <c r="T23" s="88">
        <v>24</v>
      </c>
      <c r="U23" s="88">
        <f ca="1">IF(Data_Shelter_t[[#This Row],[Status]]="Open",Data_Shelter_t[[#This Row],[HH Covered]],0)</f>
        <v>0</v>
      </c>
      <c r="V23" s="391" t="s">
        <v>130</v>
      </c>
      <c r="W23" s="392" t="str">
        <f ca="1">IFERROR(OFFSET(Camp_List[Status],MATCH(Data_Shelter_t[[#This Row],[Camp Name/ Relocation Sites]],Camp_List[Camp Name],0)-1,0,1,1),"")</f>
        <v>Returned</v>
      </c>
      <c r="X23" s="393">
        <f ca="1">IFERROR(Data_Shelter_t[[#This Row],[HH Covered]]/OFFSET(Camp_List[HH],MATCH(Data_Shelter_t[[#This Row],[Camp Name/ Relocation Sites]],Camp_List[Camp Name],0)-1,0,1,1),"")</f>
        <v>1</v>
      </c>
      <c r="Y23" s="19">
        <f>Data_Shelter_t[[#This Row],['# of Permanent House Planned (Target)]]+Data_Shelter_t[[#This Row],['# of Individual House Planned (Target)]]</f>
        <v>24</v>
      </c>
      <c r="Z23" s="670">
        <f>Data_Shelter_t[[#This Row],['# of Permanent House Built]]+Data_Shelter_t[[#This Row],['# of Individual House Built]]</f>
        <v>24</v>
      </c>
      <c r="AU23" s="5"/>
    </row>
    <row r="24" spans="1:47" s="78" customFormat="1" ht="23.25" customHeight="1" x14ac:dyDescent="0.25">
      <c r="A24" s="408">
        <v>42186</v>
      </c>
      <c r="B24" s="293" t="s">
        <v>278</v>
      </c>
      <c r="C24" s="293" t="s">
        <v>278</v>
      </c>
      <c r="D24" s="293" t="s">
        <v>7</v>
      </c>
      <c r="E24" s="295" t="s">
        <v>14</v>
      </c>
      <c r="F24" s="293" t="s">
        <v>47</v>
      </c>
      <c r="G24" s="26">
        <v>1</v>
      </c>
      <c r="H24" s="293"/>
      <c r="I24" s="293"/>
      <c r="J24" s="26"/>
      <c r="K24" s="26"/>
      <c r="L24" s="26"/>
      <c r="M24" s="26"/>
      <c r="N24" s="26"/>
      <c r="O24" s="293"/>
      <c r="P24" s="208"/>
      <c r="Q24" s="88">
        <v>14</v>
      </c>
      <c r="R24" s="419">
        <v>14</v>
      </c>
      <c r="S24" s="88"/>
      <c r="T24" s="88">
        <v>14</v>
      </c>
      <c r="U24" s="88">
        <f ca="1">IF(Data_Shelter_t[[#This Row],[Status]]="Open",Data_Shelter_t[[#This Row],[HH Covered]],0)</f>
        <v>0</v>
      </c>
      <c r="V24" s="391" t="s">
        <v>133</v>
      </c>
      <c r="W24" s="392" t="str">
        <f ca="1">IFERROR(OFFSET(Camp_List[Status],MATCH(Data_Shelter_t[[#This Row],[Camp Name/ Relocation Sites]],Camp_List[Camp Name],0)-1,0,1,1),"")</f>
        <v>Returned</v>
      </c>
      <c r="X24" s="393">
        <f ca="1">IFERROR(Data_Shelter_t[[#This Row],[HH Covered]]/OFFSET(Camp_List[HH],MATCH(Data_Shelter_t[[#This Row],[Camp Name/ Relocation Sites]],Camp_List[Camp Name],0)-1,0,1,1),"")</f>
        <v>1</v>
      </c>
      <c r="Y24" s="19">
        <f>Data_Shelter_t[[#This Row],['# of Permanent House Planned (Target)]]+Data_Shelter_t[[#This Row],['# of Individual House Planned (Target)]]</f>
        <v>14</v>
      </c>
      <c r="Z24" s="670">
        <f>Data_Shelter_t[[#This Row],['# of Permanent House Built]]+Data_Shelter_t[[#This Row],['# of Individual House Built]]</f>
        <v>14</v>
      </c>
      <c r="AA24" s="38"/>
      <c r="AU24" s="5"/>
    </row>
    <row r="25" spans="1:47" s="78" customFormat="1" ht="23.25" customHeight="1" x14ac:dyDescent="0.25">
      <c r="A25" s="408">
        <v>42186</v>
      </c>
      <c r="B25" s="293" t="s">
        <v>278</v>
      </c>
      <c r="C25" s="293" t="s">
        <v>278</v>
      </c>
      <c r="D25" s="293" t="s">
        <v>7</v>
      </c>
      <c r="E25" s="295" t="s">
        <v>14</v>
      </c>
      <c r="F25" s="293" t="s">
        <v>46</v>
      </c>
      <c r="G25" s="26">
        <v>1</v>
      </c>
      <c r="H25" s="293"/>
      <c r="I25" s="293"/>
      <c r="J25" s="26"/>
      <c r="K25" s="26"/>
      <c r="L25" s="26"/>
      <c r="M25" s="26"/>
      <c r="N25" s="26"/>
      <c r="O25" s="293"/>
      <c r="P25" s="208"/>
      <c r="Q25" s="88">
        <v>100</v>
      </c>
      <c r="R25" s="419">
        <v>100</v>
      </c>
      <c r="S25" s="88"/>
      <c r="T25" s="88">
        <v>100</v>
      </c>
      <c r="U25" s="88">
        <f ca="1">IF(Data_Shelter_t[[#This Row],[Status]]="Open",Data_Shelter_t[[#This Row],[HH Covered]],0)</f>
        <v>0</v>
      </c>
      <c r="V25" s="391" t="s">
        <v>132</v>
      </c>
      <c r="W25" s="392" t="str">
        <f ca="1">IFERROR(OFFSET(Camp_List[Status],MATCH(Data_Shelter_t[[#This Row],[Camp Name/ Relocation Sites]],Camp_List[Camp Name],0)-1,0,1,1),"")</f>
        <v>Returned</v>
      </c>
      <c r="X25" s="393">
        <f ca="1">IFERROR(Data_Shelter_t[[#This Row],[HH Covered]]/OFFSET(Camp_List[HH],MATCH(Data_Shelter_t[[#This Row],[Camp Name/ Relocation Sites]],Camp_List[Camp Name],0)-1,0,1,1),"")</f>
        <v>1</v>
      </c>
      <c r="Y25" s="19">
        <f>Data_Shelter_t[[#This Row],['# of Permanent House Planned (Target)]]+Data_Shelter_t[[#This Row],['# of Individual House Planned (Target)]]</f>
        <v>100</v>
      </c>
      <c r="Z25" s="670">
        <f>Data_Shelter_t[[#This Row],['# of Permanent House Built]]+Data_Shelter_t[[#This Row],['# of Individual House Built]]</f>
        <v>100</v>
      </c>
      <c r="AA25" s="38"/>
      <c r="AU25" s="5"/>
    </row>
    <row r="26" spans="1:47" ht="23.25" customHeight="1" x14ac:dyDescent="0.25">
      <c r="A26" s="408">
        <v>42186</v>
      </c>
      <c r="B26" s="293" t="s">
        <v>278</v>
      </c>
      <c r="C26" s="293" t="s">
        <v>278</v>
      </c>
      <c r="D26" s="293" t="s">
        <v>7</v>
      </c>
      <c r="E26" s="295" t="s">
        <v>14</v>
      </c>
      <c r="F26" s="293" t="s">
        <v>42</v>
      </c>
      <c r="G26" s="26">
        <v>1</v>
      </c>
      <c r="H26" s="293"/>
      <c r="I26" s="293"/>
      <c r="J26" s="26"/>
      <c r="K26" s="26"/>
      <c r="L26" s="26"/>
      <c r="M26" s="26"/>
      <c r="N26" s="26"/>
      <c r="O26" s="293"/>
      <c r="P26" s="208"/>
      <c r="Q26" s="88">
        <v>18</v>
      </c>
      <c r="R26" s="419">
        <v>18</v>
      </c>
      <c r="S26" s="88"/>
      <c r="T26" s="88">
        <v>18</v>
      </c>
      <c r="U26" s="88">
        <f ca="1">IF(Data_Shelter_t[[#This Row],[Status]]="Open",Data_Shelter_t[[#This Row],[HH Covered]],0)</f>
        <v>0</v>
      </c>
      <c r="V26" s="391" t="s">
        <v>128</v>
      </c>
      <c r="W26" s="392" t="str">
        <f ca="1">IFERROR(OFFSET(Camp_List[Status],MATCH(Data_Shelter_t[[#This Row],[Camp Name/ Relocation Sites]],Camp_List[Camp Name],0)-1,0,1,1),"")</f>
        <v>Returned</v>
      </c>
      <c r="X26" s="393">
        <f ca="1">IFERROR(Data_Shelter_t[[#This Row],[HH Covered]]/OFFSET(Camp_List[HH],MATCH(Data_Shelter_t[[#This Row],[Camp Name/ Relocation Sites]],Camp_List[Camp Name],0)-1,0,1,1),"")</f>
        <v>1</v>
      </c>
      <c r="Y26" s="19">
        <f>Data_Shelter_t[[#This Row],['# of Permanent House Planned (Target)]]+Data_Shelter_t[[#This Row],['# of Individual House Planned (Target)]]</f>
        <v>18</v>
      </c>
      <c r="Z26" s="670">
        <f>Data_Shelter_t[[#This Row],['# of Permanent House Built]]+Data_Shelter_t[[#This Row],['# of Individual House Built]]</f>
        <v>18</v>
      </c>
      <c r="AU26" s="5"/>
    </row>
    <row r="27" spans="1:47" s="78" customFormat="1" ht="23.25" customHeight="1" x14ac:dyDescent="0.25">
      <c r="A27" s="408">
        <v>42186</v>
      </c>
      <c r="B27" s="293" t="s">
        <v>278</v>
      </c>
      <c r="C27" s="293" t="s">
        <v>278</v>
      </c>
      <c r="D27" s="293" t="s">
        <v>7</v>
      </c>
      <c r="E27" s="295" t="s">
        <v>14</v>
      </c>
      <c r="F27" s="293" t="s">
        <v>43</v>
      </c>
      <c r="G27" s="26">
        <v>1</v>
      </c>
      <c r="H27" s="293"/>
      <c r="I27" s="293"/>
      <c r="J27" s="26"/>
      <c r="K27" s="26"/>
      <c r="L27" s="26"/>
      <c r="M27" s="26"/>
      <c r="N27" s="26"/>
      <c r="O27" s="293"/>
      <c r="P27" s="208"/>
      <c r="Q27" s="88">
        <v>63</v>
      </c>
      <c r="R27" s="419">
        <v>63</v>
      </c>
      <c r="S27" s="88"/>
      <c r="T27" s="88">
        <v>63</v>
      </c>
      <c r="U27" s="88">
        <f ca="1">IF(Data_Shelter_t[[#This Row],[Status]]="Open",Data_Shelter_t[[#This Row],[HH Covered]],0)</f>
        <v>0</v>
      </c>
      <c r="V27" s="391" t="s">
        <v>129</v>
      </c>
      <c r="W27" s="392" t="str">
        <f ca="1">IFERROR(OFFSET(Camp_List[Status],MATCH(Data_Shelter_t[[#This Row],[Camp Name/ Relocation Sites]],Camp_List[Camp Name],0)-1,0,1,1),"")</f>
        <v>Returned</v>
      </c>
      <c r="X27" s="393">
        <f ca="1">IFERROR(Data_Shelter_t[[#This Row],[HH Covered]]/OFFSET(Camp_List[HH],MATCH(Data_Shelter_t[[#This Row],[Camp Name/ Relocation Sites]],Camp_List[Camp Name],0)-1,0,1,1),"")</f>
        <v>1</v>
      </c>
      <c r="Y27" s="19">
        <f>Data_Shelter_t[[#This Row],['# of Permanent House Planned (Target)]]+Data_Shelter_t[[#This Row],['# of Individual House Planned (Target)]]</f>
        <v>63</v>
      </c>
      <c r="Z27" s="670">
        <f>Data_Shelter_t[[#This Row],['# of Permanent House Built]]+Data_Shelter_t[[#This Row],['# of Individual House Built]]</f>
        <v>63</v>
      </c>
      <c r="AA27" s="38"/>
      <c r="AU27" s="5"/>
    </row>
    <row r="28" spans="1:47" ht="23.25" customHeight="1" x14ac:dyDescent="0.25">
      <c r="A28" s="408">
        <v>42186</v>
      </c>
      <c r="B28" s="293" t="s">
        <v>1065</v>
      </c>
      <c r="C28" s="293" t="s">
        <v>1065</v>
      </c>
      <c r="D28" s="293" t="s">
        <v>7</v>
      </c>
      <c r="E28" s="295" t="s">
        <v>11</v>
      </c>
      <c r="F28" s="293" t="s">
        <v>28</v>
      </c>
      <c r="G28" s="26">
        <v>1</v>
      </c>
      <c r="H28" s="293"/>
      <c r="I28" s="293"/>
      <c r="J28" s="26"/>
      <c r="K28" s="26" t="s">
        <v>724</v>
      </c>
      <c r="L28" s="26"/>
      <c r="M28" s="26"/>
      <c r="N28" s="26"/>
      <c r="O28" s="293"/>
      <c r="P28" s="208"/>
      <c r="Q28" s="88">
        <v>44</v>
      </c>
      <c r="R28" s="419">
        <v>44</v>
      </c>
      <c r="S28" s="88"/>
      <c r="T28" s="88">
        <v>44</v>
      </c>
      <c r="U28" s="88">
        <f ca="1">IF(Data_Shelter_t[[#This Row],[Status]]="Open",Data_Shelter_t[[#This Row],[HH Covered]],0)</f>
        <v>0</v>
      </c>
      <c r="V28" s="391" t="s">
        <v>114</v>
      </c>
      <c r="W28" s="392" t="str">
        <f ca="1">IFERROR(OFFSET(Camp_List[Status],MATCH(Data_Shelter_t[[#This Row],[Camp Name/ Relocation Sites]],Camp_List[Camp Name],0)-1,0,1,1),"")</f>
        <v>Returned</v>
      </c>
      <c r="X28" s="393">
        <f ca="1">IFERROR(Data_Shelter_t[[#This Row],[HH Covered]]/OFFSET(Camp_List[HH],MATCH(Data_Shelter_t[[#This Row],[Camp Name/ Relocation Sites]],Camp_List[Camp Name],0)-1,0,1,1),"")</f>
        <v>0.50574712643678166</v>
      </c>
      <c r="Y28" s="19">
        <f>Data_Shelter_t[[#This Row],['# of Permanent House Planned (Target)]]+Data_Shelter_t[[#This Row],['# of Individual House Planned (Target)]]</f>
        <v>44</v>
      </c>
      <c r="Z28" s="19">
        <f>Data_Shelter_t[[#This Row],['# of Permanent House Built]]+Data_Shelter_t[[#This Row],['# of Individual House Built]]</f>
        <v>44</v>
      </c>
      <c r="AU28" s="5"/>
    </row>
    <row r="29" spans="1:47" ht="23.25" customHeight="1" x14ac:dyDescent="0.25">
      <c r="A29" s="408">
        <v>42186</v>
      </c>
      <c r="B29" s="293" t="s">
        <v>278</v>
      </c>
      <c r="C29" s="293" t="s">
        <v>278</v>
      </c>
      <c r="D29" s="293" t="s">
        <v>7</v>
      </c>
      <c r="E29" s="295" t="s">
        <v>11</v>
      </c>
      <c r="F29" s="293" t="s">
        <v>23</v>
      </c>
      <c r="G29" s="26">
        <v>1</v>
      </c>
      <c r="H29" s="293"/>
      <c r="I29" s="293"/>
      <c r="J29" s="26"/>
      <c r="K29" s="26"/>
      <c r="L29" s="26"/>
      <c r="M29" s="26"/>
      <c r="N29" s="26"/>
      <c r="O29" s="293"/>
      <c r="P29" s="208"/>
      <c r="Q29" s="88">
        <v>19</v>
      </c>
      <c r="R29" s="208">
        <v>19</v>
      </c>
      <c r="S29" s="88"/>
      <c r="T29" s="88">
        <v>19</v>
      </c>
      <c r="U29" s="88">
        <f ca="1">IF(Data_Shelter_t[[#This Row],[Status]]="Open",Data_Shelter_t[[#This Row],[HH Covered]],0)</f>
        <v>0</v>
      </c>
      <c r="V29" s="391" t="s">
        <v>109</v>
      </c>
      <c r="W29" s="392" t="str">
        <f ca="1">IFERROR(OFFSET(Camp_List[Status],MATCH(Data_Shelter_t[[#This Row],[Camp Name/ Relocation Sites]],Camp_List[Camp Name],0)-1,0,1,1),"")</f>
        <v>Returned</v>
      </c>
      <c r="X29" s="393">
        <f ca="1">IFERROR(Data_Shelter_t[[#This Row],[HH Covered]]/OFFSET(Camp_List[HH],MATCH(Data_Shelter_t[[#This Row],[Camp Name/ Relocation Sites]],Camp_List[Camp Name],0)-1,0,1,1),"")</f>
        <v>1</v>
      </c>
      <c r="Y29" s="19">
        <f>Data_Shelter_t[[#This Row],['# of Permanent House Planned (Target)]]+Data_Shelter_t[[#This Row],['# of Individual House Planned (Target)]]</f>
        <v>19</v>
      </c>
      <c r="Z29" s="19">
        <f>Data_Shelter_t[[#This Row],['# of Permanent House Built]]+Data_Shelter_t[[#This Row],['# of Individual House Built]]</f>
        <v>19</v>
      </c>
      <c r="AU29" s="5"/>
    </row>
    <row r="30" spans="1:47" s="5" customFormat="1" ht="23.25" customHeight="1" x14ac:dyDescent="0.25">
      <c r="A30" s="408">
        <v>42186</v>
      </c>
      <c r="B30" s="293" t="s">
        <v>1085</v>
      </c>
      <c r="C30" s="293" t="s">
        <v>1085</v>
      </c>
      <c r="D30" s="293" t="s">
        <v>7</v>
      </c>
      <c r="E30" s="295" t="s">
        <v>11</v>
      </c>
      <c r="F30" s="293" t="s">
        <v>30</v>
      </c>
      <c r="G30" s="26">
        <v>1</v>
      </c>
      <c r="H30" s="293"/>
      <c r="I30" s="293"/>
      <c r="J30" s="26"/>
      <c r="K30" s="26"/>
      <c r="L30" s="26"/>
      <c r="M30" s="26"/>
      <c r="N30" s="26"/>
      <c r="O30" s="293"/>
      <c r="P30" s="208"/>
      <c r="Q30" s="88">
        <v>110</v>
      </c>
      <c r="R30" s="208">
        <v>110</v>
      </c>
      <c r="S30" s="88"/>
      <c r="T30" s="88">
        <v>110</v>
      </c>
      <c r="U30" s="88">
        <f ca="1">IF(Data_Shelter_t[[#This Row],[Status]]="Open",Data_Shelter_t[[#This Row],[HH Covered]],0)</f>
        <v>0</v>
      </c>
      <c r="V30" s="391" t="s">
        <v>116</v>
      </c>
      <c r="W30" s="392" t="str">
        <f ca="1">IFERROR(OFFSET(Camp_List[Status],MATCH(Data_Shelter_t[[#This Row],[Camp Name/ Relocation Sites]],Camp_List[Camp Name],0)-1,0,1,1),"")</f>
        <v>Returned</v>
      </c>
      <c r="X30" s="393">
        <f ca="1">IFERROR(Data_Shelter_t[[#This Row],[HH Covered]]/OFFSET(Camp_List[HH],MATCH(Data_Shelter_t[[#This Row],[Camp Name/ Relocation Sites]],Camp_List[Camp Name],0)-1,0,1,1),"")</f>
        <v>0.48245614035087719</v>
      </c>
      <c r="Y30" s="19">
        <f>Data_Shelter_t[[#This Row],['# of Permanent House Planned (Target)]]+Data_Shelter_t[[#This Row],['# of Individual House Planned (Target)]]</f>
        <v>110</v>
      </c>
      <c r="Z30" s="19">
        <f>Data_Shelter_t[[#This Row],['# of Permanent House Built]]+Data_Shelter_t[[#This Row],['# of Individual House Built]]</f>
        <v>110</v>
      </c>
      <c r="AA30" s="38"/>
    </row>
    <row r="31" spans="1:47" ht="23.25" customHeight="1" x14ac:dyDescent="0.25">
      <c r="A31" s="408">
        <v>42186</v>
      </c>
      <c r="B31" s="293" t="s">
        <v>1085</v>
      </c>
      <c r="C31" s="293" t="s">
        <v>1085</v>
      </c>
      <c r="D31" s="293" t="s">
        <v>7</v>
      </c>
      <c r="E31" s="295" t="s">
        <v>11</v>
      </c>
      <c r="F31" s="293" t="s">
        <v>25</v>
      </c>
      <c r="G31" s="26">
        <v>1</v>
      </c>
      <c r="H31" s="293"/>
      <c r="I31" s="293"/>
      <c r="J31" s="26"/>
      <c r="K31" s="26"/>
      <c r="L31" s="26"/>
      <c r="M31" s="26"/>
      <c r="N31" s="26"/>
      <c r="O31" s="293"/>
      <c r="P31" s="208"/>
      <c r="Q31" s="88">
        <v>86</v>
      </c>
      <c r="R31" s="208">
        <v>86</v>
      </c>
      <c r="S31" s="88"/>
      <c r="T31" s="88">
        <v>86</v>
      </c>
      <c r="U31" s="88">
        <f ca="1">IF(Data_Shelter_t[[#This Row],[Status]]="Open",Data_Shelter_t[[#This Row],[HH Covered]],0)</f>
        <v>0</v>
      </c>
      <c r="V31" s="391" t="s">
        <v>111</v>
      </c>
      <c r="W31" s="392" t="str">
        <f ca="1">IFERROR(OFFSET(Camp_List[Status],MATCH(Data_Shelter_t[[#This Row],[Camp Name/ Relocation Sites]],Camp_List[Camp Name],0)-1,0,1,1),"")</f>
        <v>Returned</v>
      </c>
      <c r="X31" s="393">
        <f ca="1">IFERROR(Data_Shelter_t[[#This Row],[HH Covered]]/OFFSET(Camp_List[HH],MATCH(Data_Shelter_t[[#This Row],[Camp Name/ Relocation Sites]],Camp_List[Camp Name],0)-1,0,1,1),"")</f>
        <v>1</v>
      </c>
      <c r="Y31" s="19">
        <f>Data_Shelter_t[[#This Row],['# of Permanent House Planned (Target)]]+Data_Shelter_t[[#This Row],['# of Individual House Planned (Target)]]</f>
        <v>86</v>
      </c>
      <c r="Z31" s="19">
        <f>Data_Shelter_t[[#This Row],['# of Permanent House Built]]+Data_Shelter_t[[#This Row],['# of Individual House Built]]</f>
        <v>86</v>
      </c>
      <c r="AU31" s="5"/>
    </row>
    <row r="32" spans="1:47" ht="23.25" customHeight="1" x14ac:dyDescent="0.25">
      <c r="A32" s="408">
        <v>42186</v>
      </c>
      <c r="B32" s="293" t="s">
        <v>278</v>
      </c>
      <c r="C32" s="293" t="s">
        <v>278</v>
      </c>
      <c r="D32" s="293" t="s">
        <v>7</v>
      </c>
      <c r="E32" s="295" t="s">
        <v>11</v>
      </c>
      <c r="F32" s="293" t="s">
        <v>513</v>
      </c>
      <c r="G32" s="26">
        <v>1</v>
      </c>
      <c r="H32" s="293"/>
      <c r="I32" s="293"/>
      <c r="J32" s="26"/>
      <c r="K32" s="26"/>
      <c r="L32" s="26"/>
      <c r="M32" s="26"/>
      <c r="N32" s="26"/>
      <c r="O32" s="293"/>
      <c r="P32" s="208"/>
      <c r="Q32" s="168">
        <v>18</v>
      </c>
      <c r="R32" s="208">
        <v>18</v>
      </c>
      <c r="S32" s="88"/>
      <c r="T32" s="88">
        <v>18</v>
      </c>
      <c r="U32" s="88">
        <f ca="1">IF(Data_Shelter_t[[#This Row],[Status]]="Open",Data_Shelter_t[[#This Row],[HH Covered]],0)</f>
        <v>0</v>
      </c>
      <c r="V32" s="391" t="s">
        <v>514</v>
      </c>
      <c r="W32" s="392" t="str">
        <f ca="1">IFERROR(OFFSET(Camp_List[Status],MATCH(Data_Shelter_t[[#This Row],[Camp Name/ Relocation Sites]],Camp_List[Camp Name],0)-1,0,1,1),"")</f>
        <v>Returned</v>
      </c>
      <c r="X32" s="393">
        <f ca="1">IFERROR(Data_Shelter_t[[#This Row],[HH Covered]]/OFFSET(Camp_List[HH],MATCH(Data_Shelter_t[[#This Row],[Camp Name/ Relocation Sites]],Camp_List[Camp Name],0)-1,0,1,1),"")</f>
        <v>1</v>
      </c>
      <c r="Y32" s="19">
        <f>Data_Shelter_t[[#This Row],['# of Permanent House Planned (Target)]]+Data_Shelter_t[[#This Row],['# of Individual House Planned (Target)]]</f>
        <v>18</v>
      </c>
      <c r="Z32" s="19">
        <f>Data_Shelter_t[[#This Row],['# of Permanent House Built]]+Data_Shelter_t[[#This Row],['# of Individual House Built]]</f>
        <v>18</v>
      </c>
      <c r="AU32" s="5"/>
    </row>
    <row r="33" spans="1:47" ht="23.25" customHeight="1" x14ac:dyDescent="0.25">
      <c r="A33" s="408">
        <v>42186</v>
      </c>
      <c r="B33" s="293" t="s">
        <v>1085</v>
      </c>
      <c r="C33" s="293" t="s">
        <v>1085</v>
      </c>
      <c r="D33" s="293" t="s">
        <v>7</v>
      </c>
      <c r="E33" s="295" t="s">
        <v>11</v>
      </c>
      <c r="F33" s="293" t="s">
        <v>24</v>
      </c>
      <c r="G33" s="26">
        <v>1</v>
      </c>
      <c r="H33" s="293"/>
      <c r="I33" s="293"/>
      <c r="J33" s="26"/>
      <c r="K33" s="26"/>
      <c r="L33" s="26"/>
      <c r="M33" s="26"/>
      <c r="N33" s="26"/>
      <c r="O33" s="293"/>
      <c r="P33" s="208"/>
      <c r="Q33" s="88">
        <v>203</v>
      </c>
      <c r="R33" s="208">
        <v>203</v>
      </c>
      <c r="S33" s="88"/>
      <c r="T33" s="88">
        <v>203</v>
      </c>
      <c r="U33" s="88">
        <f ca="1">IF(Data_Shelter_t[[#This Row],[Status]]="Open",Data_Shelter_t[[#This Row],[HH Covered]],0)</f>
        <v>0</v>
      </c>
      <c r="V33" s="391" t="s">
        <v>110</v>
      </c>
      <c r="W33" s="392" t="str">
        <f ca="1">IFERROR(OFFSET(Camp_List[Status],MATCH(Data_Shelter_t[[#This Row],[Camp Name/ Relocation Sites]],Camp_List[Camp Name],0)-1,0,1,1),"")</f>
        <v>Returned</v>
      </c>
      <c r="X33" s="393">
        <f ca="1">IFERROR(Data_Shelter_t[[#This Row],[HH Covered]]/OFFSET(Camp_List[HH],MATCH(Data_Shelter_t[[#This Row],[Camp Name/ Relocation Sites]],Camp_List[Camp Name],0)-1,0,1,1),"")</f>
        <v>1</v>
      </c>
      <c r="Y33" s="19">
        <f>Data_Shelter_t[[#This Row],['# of Permanent House Planned (Target)]]+Data_Shelter_t[[#This Row],['# of Individual House Planned (Target)]]</f>
        <v>203</v>
      </c>
      <c r="Z33" s="19">
        <f>Data_Shelter_t[[#This Row],['# of Permanent House Built]]+Data_Shelter_t[[#This Row],['# of Individual House Built]]</f>
        <v>203</v>
      </c>
      <c r="AU33" s="5"/>
    </row>
    <row r="34" spans="1:47" ht="23.25" customHeight="1" x14ac:dyDescent="0.25">
      <c r="A34" s="408">
        <v>42186</v>
      </c>
      <c r="B34" s="293" t="s">
        <v>1085</v>
      </c>
      <c r="C34" s="293" t="s">
        <v>1085</v>
      </c>
      <c r="D34" s="293" t="s">
        <v>7</v>
      </c>
      <c r="E34" s="295" t="s">
        <v>11</v>
      </c>
      <c r="F34" s="293" t="s">
        <v>27</v>
      </c>
      <c r="G34" s="26">
        <v>1</v>
      </c>
      <c r="H34" s="293"/>
      <c r="I34" s="293"/>
      <c r="J34" s="26"/>
      <c r="K34" s="26"/>
      <c r="L34" s="26"/>
      <c r="M34" s="26"/>
      <c r="N34" s="26"/>
      <c r="O34" s="293"/>
      <c r="P34" s="208"/>
      <c r="Q34" s="88">
        <v>275</v>
      </c>
      <c r="R34" s="208">
        <v>275</v>
      </c>
      <c r="S34" s="88"/>
      <c r="T34" s="88">
        <v>275</v>
      </c>
      <c r="U34" s="88">
        <f ca="1">IF(Data_Shelter_t[[#This Row],[Status]]="Open",Data_Shelter_t[[#This Row],[HH Covered]],0)</f>
        <v>0</v>
      </c>
      <c r="V34" s="391" t="s">
        <v>113</v>
      </c>
      <c r="W34" s="392" t="str">
        <f ca="1">IFERROR(OFFSET(Camp_List[Status],MATCH(Data_Shelter_t[[#This Row],[Camp Name/ Relocation Sites]],Camp_List[Camp Name],0)-1,0,1,1),"")</f>
        <v>Returned</v>
      </c>
      <c r="X34" s="393">
        <f ca="1">IFERROR(Data_Shelter_t[[#This Row],[HH Covered]]/OFFSET(Camp_List[HH],MATCH(Data_Shelter_t[[#This Row],[Camp Name/ Relocation Sites]],Camp_List[Camp Name],0)-1,0,1,1),"")</f>
        <v>1</v>
      </c>
      <c r="Y34" s="19">
        <f>Data_Shelter_t[[#This Row],['# of Permanent House Planned (Target)]]+Data_Shelter_t[[#This Row],['# of Individual House Planned (Target)]]</f>
        <v>275</v>
      </c>
      <c r="Z34" s="19">
        <f>Data_Shelter_t[[#This Row],['# of Permanent House Built]]+Data_Shelter_t[[#This Row],['# of Individual House Built]]</f>
        <v>275</v>
      </c>
      <c r="AU34" s="5"/>
    </row>
    <row r="35" spans="1:47" ht="23.25" customHeight="1" x14ac:dyDescent="0.25">
      <c r="A35" s="408">
        <v>42186</v>
      </c>
      <c r="B35" s="293" t="s">
        <v>1085</v>
      </c>
      <c r="C35" s="293" t="s">
        <v>1085</v>
      </c>
      <c r="D35" s="293" t="s">
        <v>7</v>
      </c>
      <c r="E35" s="295" t="s">
        <v>941</v>
      </c>
      <c r="F35" s="293" t="s">
        <v>31</v>
      </c>
      <c r="G35" s="670">
        <v>1</v>
      </c>
      <c r="H35" s="293"/>
      <c r="I35" s="293"/>
      <c r="J35" s="670"/>
      <c r="K35" s="670"/>
      <c r="L35" s="670"/>
      <c r="M35" s="670"/>
      <c r="N35" s="670"/>
      <c r="O35" s="293"/>
      <c r="P35" s="208"/>
      <c r="Q35" s="88">
        <v>204</v>
      </c>
      <c r="R35" s="208">
        <v>204</v>
      </c>
      <c r="S35" s="88"/>
      <c r="T35" s="88">
        <v>204</v>
      </c>
      <c r="U35" s="88">
        <f ca="1">IF(Data_Shelter_t[[#This Row],[Status]]="Open",Data_Shelter_t[[#This Row],[HH Covered]],0)</f>
        <v>0</v>
      </c>
      <c r="V35" s="391" t="s">
        <v>117</v>
      </c>
      <c r="W35" s="392" t="str">
        <f ca="1">IFERROR(OFFSET(Camp_List[Status],MATCH(Data_Shelter_t[[#This Row],[Camp Name/ Relocation Sites]],Camp_List[Camp Name],0)-1,0,1,1),"")</f>
        <v>Returned</v>
      </c>
      <c r="X35" s="393">
        <f ca="1">IFERROR(Data_Shelter_t[[#This Row],[HH Covered]]/OFFSET(Camp_List[HH],MATCH(Data_Shelter_t[[#This Row],[Camp Name/ Relocation Sites]],Camp_List[Camp Name],0)-1,0,1,1),"")</f>
        <v>1</v>
      </c>
      <c r="Y35" s="19">
        <f>Data_Shelter_t[[#This Row],['# of Permanent House Planned (Target)]]+Data_Shelter_t[[#This Row],['# of Individual House Planned (Target)]]</f>
        <v>204</v>
      </c>
      <c r="Z35" s="19">
        <f>Data_Shelter_t[[#This Row],['# of Permanent House Built]]+Data_Shelter_t[[#This Row],['# of Individual House Built]]</f>
        <v>204</v>
      </c>
      <c r="AU35" s="5"/>
    </row>
    <row r="36" spans="1:47" s="5" customFormat="1" ht="23.25" customHeight="1" x14ac:dyDescent="0.25">
      <c r="A36" s="408">
        <v>42186</v>
      </c>
      <c r="B36" s="293" t="s">
        <v>1085</v>
      </c>
      <c r="C36" s="293" t="s">
        <v>1085</v>
      </c>
      <c r="D36" s="293" t="s">
        <v>7</v>
      </c>
      <c r="E36" s="295" t="s">
        <v>941</v>
      </c>
      <c r="F36" s="293" t="s">
        <v>32</v>
      </c>
      <c r="G36" s="670">
        <v>1</v>
      </c>
      <c r="H36" s="293"/>
      <c r="I36" s="293"/>
      <c r="J36" s="670"/>
      <c r="K36" s="670"/>
      <c r="L36" s="670"/>
      <c r="M36" s="670"/>
      <c r="N36" s="670"/>
      <c r="O36" s="293"/>
      <c r="P36" s="208"/>
      <c r="Q36" s="88">
        <v>365</v>
      </c>
      <c r="R36" s="208">
        <v>365</v>
      </c>
      <c r="S36" s="88"/>
      <c r="T36" s="88">
        <v>365</v>
      </c>
      <c r="U36" s="88">
        <f ca="1">IF(Data_Shelter_t[[#This Row],[Status]]="Open",Data_Shelter_t[[#This Row],[HH Covered]],0)</f>
        <v>0</v>
      </c>
      <c r="V36" s="391" t="s">
        <v>118</v>
      </c>
      <c r="W36" s="392" t="str">
        <f ca="1">IFERROR(OFFSET(Camp_List[Status],MATCH(Data_Shelter_t[[#This Row],[Camp Name/ Relocation Sites]],Camp_List[Camp Name],0)-1,0,1,1),"")</f>
        <v>Returned</v>
      </c>
      <c r="X36" s="393">
        <f ca="1">IFERROR(Data_Shelter_t[[#This Row],[HH Covered]]/OFFSET(Camp_List[HH],MATCH(Data_Shelter_t[[#This Row],[Camp Name/ Relocation Sites]],Camp_List[Camp Name],0)-1,0,1,1),"")</f>
        <v>1</v>
      </c>
      <c r="Y36" s="19">
        <f>Data_Shelter_t[[#This Row],['# of Permanent House Planned (Target)]]+Data_Shelter_t[[#This Row],['# of Individual House Planned (Target)]]</f>
        <v>365</v>
      </c>
      <c r="Z36" s="19">
        <f>Data_Shelter_t[[#This Row],['# of Permanent House Built]]+Data_Shelter_t[[#This Row],['# of Individual House Built]]</f>
        <v>365</v>
      </c>
      <c r="AA36" s="38"/>
    </row>
    <row r="37" spans="1:47" s="5" customFormat="1" ht="23.25" customHeight="1" x14ac:dyDescent="0.25">
      <c r="A37" s="408">
        <v>42186</v>
      </c>
      <c r="B37" s="293" t="s">
        <v>278</v>
      </c>
      <c r="C37" s="293" t="s">
        <v>278</v>
      </c>
      <c r="D37" s="293" t="s">
        <v>7</v>
      </c>
      <c r="E37" s="295" t="s">
        <v>15</v>
      </c>
      <c r="F37" s="293" t="s">
        <v>54</v>
      </c>
      <c r="G37" s="670">
        <v>1</v>
      </c>
      <c r="H37" s="293"/>
      <c r="I37" s="293"/>
      <c r="J37" s="670"/>
      <c r="K37" s="670"/>
      <c r="L37" s="670"/>
      <c r="M37" s="670"/>
      <c r="N37" s="670"/>
      <c r="O37" s="293"/>
      <c r="P37" s="208"/>
      <c r="Q37" s="88">
        <v>32</v>
      </c>
      <c r="R37" s="208">
        <v>32</v>
      </c>
      <c r="S37" s="88"/>
      <c r="T37" s="88">
        <v>32</v>
      </c>
      <c r="U37" s="88">
        <f ca="1">IF(Data_Shelter_t[[#This Row],[Status]]="Open",Data_Shelter_t[[#This Row],[HH Covered]],0)</f>
        <v>0</v>
      </c>
      <c r="V37" s="391" t="s">
        <v>140</v>
      </c>
      <c r="W37" s="392" t="str">
        <f ca="1">IFERROR(OFFSET(Camp_List[Status],MATCH(Data_Shelter_t[[#This Row],[Camp Name/ Relocation Sites]],Camp_List[Camp Name],0)-1,0,1,1),"")</f>
        <v>Returned</v>
      </c>
      <c r="X37" s="393">
        <f ca="1">IFERROR(Data_Shelter_t[[#This Row],[HH Covered]]/OFFSET(Camp_List[HH],MATCH(Data_Shelter_t[[#This Row],[Camp Name/ Relocation Sites]],Camp_List[Camp Name],0)-1,0,1,1),"")</f>
        <v>1</v>
      </c>
      <c r="Y37" s="19">
        <f>Data_Shelter_t[[#This Row],['# of Permanent House Planned (Target)]]+Data_Shelter_t[[#This Row],['# of Individual House Planned (Target)]]</f>
        <v>32</v>
      </c>
      <c r="Z37" s="19">
        <f>Data_Shelter_t[[#This Row],['# of Permanent House Built]]+Data_Shelter_t[[#This Row],['# of Individual House Built]]</f>
        <v>32</v>
      </c>
      <c r="AA37" s="38"/>
    </row>
    <row r="38" spans="1:47" s="78" customFormat="1" ht="23.25" customHeight="1" x14ac:dyDescent="0.25">
      <c r="A38" s="408">
        <v>42186</v>
      </c>
      <c r="B38" s="293" t="s">
        <v>278</v>
      </c>
      <c r="C38" s="293" t="s">
        <v>278</v>
      </c>
      <c r="D38" s="293" t="s">
        <v>7</v>
      </c>
      <c r="E38" s="295" t="s">
        <v>15</v>
      </c>
      <c r="F38" s="293" t="s">
        <v>53</v>
      </c>
      <c r="G38" s="670">
        <v>1</v>
      </c>
      <c r="H38" s="293"/>
      <c r="I38" s="293"/>
      <c r="J38" s="670"/>
      <c r="K38" s="670"/>
      <c r="L38" s="670"/>
      <c r="M38" s="670"/>
      <c r="N38" s="670"/>
      <c r="O38" s="293"/>
      <c r="P38" s="208"/>
      <c r="Q38" s="88">
        <v>56</v>
      </c>
      <c r="R38" s="208">
        <v>56</v>
      </c>
      <c r="S38" s="88"/>
      <c r="T38" s="88">
        <v>56</v>
      </c>
      <c r="U38" s="88">
        <f ca="1">IF(Data_Shelter_t[[#This Row],[Status]]="Open",Data_Shelter_t[[#This Row],[HH Covered]],0)</f>
        <v>0</v>
      </c>
      <c r="V38" s="391" t="s">
        <v>139</v>
      </c>
      <c r="W38" s="392" t="str">
        <f ca="1">IFERROR(OFFSET(Camp_List[Status],MATCH(Data_Shelter_t[[#This Row],[Camp Name/ Relocation Sites]],Camp_List[Camp Name],0)-1,0,1,1),"")</f>
        <v>Returned</v>
      </c>
      <c r="X38" s="393">
        <f ca="1">IFERROR(Data_Shelter_t[[#This Row],[HH Covered]]/OFFSET(Camp_List[HH],MATCH(Data_Shelter_t[[#This Row],[Camp Name/ Relocation Sites]],Camp_List[Camp Name],0)-1,0,1,1),"")</f>
        <v>1</v>
      </c>
      <c r="Y38" s="19">
        <f>Data_Shelter_t[[#This Row],['# of Permanent House Planned (Target)]]+Data_Shelter_t[[#This Row],['# of Individual House Planned (Target)]]</f>
        <v>56</v>
      </c>
      <c r="Z38" s="19">
        <f>Data_Shelter_t[[#This Row],['# of Permanent House Built]]+Data_Shelter_t[[#This Row],['# of Individual House Built]]</f>
        <v>56</v>
      </c>
      <c r="AA38" s="38"/>
      <c r="AU38" s="5"/>
    </row>
    <row r="39" spans="1:47" ht="26.25" customHeight="1" x14ac:dyDescent="0.25">
      <c r="A39" s="408">
        <v>42186</v>
      </c>
      <c r="B39" s="293" t="s">
        <v>278</v>
      </c>
      <c r="C39" s="293" t="s">
        <v>278</v>
      </c>
      <c r="D39" s="293" t="s">
        <v>7</v>
      </c>
      <c r="E39" s="295" t="s">
        <v>14</v>
      </c>
      <c r="F39" s="293" t="s">
        <v>49</v>
      </c>
      <c r="G39" s="670">
        <v>1</v>
      </c>
      <c r="H39" s="293"/>
      <c r="I39" s="293"/>
      <c r="J39" s="670"/>
      <c r="K39" s="670"/>
      <c r="L39" s="670"/>
      <c r="M39" s="670"/>
      <c r="N39" s="670"/>
      <c r="O39" s="293"/>
      <c r="P39" s="208"/>
      <c r="Q39" s="88">
        <v>116</v>
      </c>
      <c r="R39" s="419">
        <v>116</v>
      </c>
      <c r="S39" s="88"/>
      <c r="T39" s="88">
        <v>116</v>
      </c>
      <c r="U39" s="88">
        <f ca="1">IF(Data_Shelter_t[[#This Row],[Status]]="Open",Data_Shelter_t[[#This Row],[HH Covered]],0)</f>
        <v>0</v>
      </c>
      <c r="V39" s="391" t="s">
        <v>135</v>
      </c>
      <c r="W39" s="392" t="str">
        <f ca="1">IFERROR(OFFSET(Camp_List[Status],MATCH(Data_Shelter_t[[#This Row],[Camp Name/ Relocation Sites]],Camp_List[Camp Name],0)-1,0,1,1),"")</f>
        <v>Returned</v>
      </c>
      <c r="X39" s="393">
        <f ca="1">IFERROR(Data_Shelter_t[[#This Row],[HH Covered]]/OFFSET(Camp_List[HH],MATCH(Data_Shelter_t[[#This Row],[Camp Name/ Relocation Sites]],Camp_List[Camp Name],0)-1,0,1,1),"")</f>
        <v>1</v>
      </c>
      <c r="Y39" s="391">
        <f>Data_Shelter_t[[#This Row],['# of Permanent House Planned (Target)]]+Data_Shelter_t[[#This Row],['# of Individual House Planned (Target)]]</f>
        <v>116</v>
      </c>
      <c r="Z39" s="391">
        <f>Data_Shelter_t[[#This Row],['# of Permanent House Built]]+Data_Shelter_t[[#This Row],['# of Individual House Built]]</f>
        <v>116</v>
      </c>
      <c r="AA39" s="791"/>
      <c r="AU39" s="5"/>
    </row>
    <row r="40" spans="1:47" ht="23.25" customHeight="1" x14ac:dyDescent="0.25">
      <c r="A40" s="408">
        <v>42186</v>
      </c>
      <c r="B40" s="293" t="s">
        <v>278</v>
      </c>
      <c r="C40" s="293" t="s">
        <v>278</v>
      </c>
      <c r="D40" s="293" t="s">
        <v>7</v>
      </c>
      <c r="E40" s="295" t="s">
        <v>14</v>
      </c>
      <c r="F40" s="293" t="s">
        <v>48</v>
      </c>
      <c r="G40" s="26">
        <v>1</v>
      </c>
      <c r="H40" s="293"/>
      <c r="I40" s="293"/>
      <c r="J40" s="26"/>
      <c r="K40" s="26"/>
      <c r="L40" s="26"/>
      <c r="M40" s="26"/>
      <c r="N40" s="26"/>
      <c r="O40" s="293"/>
      <c r="P40" s="208"/>
      <c r="Q40" s="88">
        <v>236</v>
      </c>
      <c r="R40" s="419">
        <v>236</v>
      </c>
      <c r="S40" s="88"/>
      <c r="T40" s="88">
        <v>236</v>
      </c>
      <c r="U40" s="88">
        <f ca="1">IF(Data_Shelter_t[[#This Row],[Status]]="Open",Data_Shelter_t[[#This Row],[HH Covered]],0)</f>
        <v>0</v>
      </c>
      <c r="V40" s="391" t="s">
        <v>134</v>
      </c>
      <c r="W40" s="392" t="str">
        <f ca="1">IFERROR(OFFSET(Camp_List[Status],MATCH(Data_Shelter_t[[#This Row],[Camp Name/ Relocation Sites]],Camp_List[Camp Name],0)-1,0,1,1),"")</f>
        <v>Returned</v>
      </c>
      <c r="X40" s="393">
        <f ca="1">IFERROR(Data_Shelter_t[[#This Row],[HH Covered]]/OFFSET(Camp_List[HH],MATCH(Data_Shelter_t[[#This Row],[Camp Name/ Relocation Sites]],Camp_List[Camp Name],0)-1,0,1,1),"")</f>
        <v>1</v>
      </c>
      <c r="Y40" s="391">
        <f>Data_Shelter_t[[#This Row],['# of Permanent House Planned (Target)]]+Data_Shelter_t[[#This Row],['# of Individual House Planned (Target)]]</f>
        <v>236</v>
      </c>
      <c r="Z40" s="391">
        <f>Data_Shelter_t[[#This Row],['# of Permanent House Built]]+Data_Shelter_t[[#This Row],['# of Individual House Built]]</f>
        <v>236</v>
      </c>
      <c r="AA40" s="791"/>
      <c r="AU40" s="5"/>
    </row>
    <row r="41" spans="1:47" ht="23.25" customHeight="1" x14ac:dyDescent="0.25">
      <c r="A41" s="408">
        <v>42186</v>
      </c>
      <c r="B41" s="293" t="s">
        <v>278</v>
      </c>
      <c r="C41" s="293" t="s">
        <v>278</v>
      </c>
      <c r="D41" s="293" t="s">
        <v>7</v>
      </c>
      <c r="E41" s="295" t="s">
        <v>14</v>
      </c>
      <c r="F41" s="293" t="s">
        <v>51</v>
      </c>
      <c r="G41" s="670">
        <v>1</v>
      </c>
      <c r="H41" s="293"/>
      <c r="I41" s="293"/>
      <c r="J41" s="670"/>
      <c r="K41" s="670"/>
      <c r="L41" s="670"/>
      <c r="M41" s="670"/>
      <c r="N41" s="670"/>
      <c r="O41" s="293"/>
      <c r="P41" s="208"/>
      <c r="Q41" s="88">
        <v>144</v>
      </c>
      <c r="R41" s="208">
        <v>144</v>
      </c>
      <c r="S41" s="88"/>
      <c r="T41" s="88">
        <v>144</v>
      </c>
      <c r="U41" s="88">
        <f ca="1">IF(Data_Shelter_t[[#This Row],[Status]]="Open",Data_Shelter_t[[#This Row],[HH Covered]],0)</f>
        <v>0</v>
      </c>
      <c r="V41" s="391" t="s">
        <v>137</v>
      </c>
      <c r="W41" s="392" t="str">
        <f ca="1">IFERROR(OFFSET(Camp_List[Status],MATCH(Data_Shelter_t[[#This Row],[Camp Name/ Relocation Sites]],Camp_List[Camp Name],0)-1,0,1,1),"")</f>
        <v>Returned</v>
      </c>
      <c r="X41" s="393">
        <f ca="1">IFERROR(Data_Shelter_t[[#This Row],[HH Covered]]/OFFSET(Camp_List[HH],MATCH(Data_Shelter_t[[#This Row],[Camp Name/ Relocation Sites]],Camp_List[Camp Name],0)-1,0,1,1),"")</f>
        <v>1</v>
      </c>
      <c r="Y41" s="391">
        <f>Data_Shelter_t[[#This Row],['# of Permanent House Planned (Target)]]+Data_Shelter_t[[#This Row],['# of Individual House Planned (Target)]]</f>
        <v>144</v>
      </c>
      <c r="Z41" s="391">
        <f>Data_Shelter_t[[#This Row],['# of Permanent House Built]]+Data_Shelter_t[[#This Row],['# of Individual House Built]]</f>
        <v>144</v>
      </c>
      <c r="AA41" s="791"/>
      <c r="AU41" s="669"/>
    </row>
    <row r="42" spans="1:47" ht="23.25" customHeight="1" x14ac:dyDescent="0.25">
      <c r="A42" s="408">
        <v>42186</v>
      </c>
      <c r="B42" s="293" t="s">
        <v>278</v>
      </c>
      <c r="C42" s="293" t="s">
        <v>278</v>
      </c>
      <c r="D42" s="293" t="s">
        <v>7</v>
      </c>
      <c r="E42" s="295" t="s">
        <v>14</v>
      </c>
      <c r="F42" s="19" t="s">
        <v>50</v>
      </c>
      <c r="G42" s="19">
        <v>1</v>
      </c>
      <c r="H42" s="19"/>
      <c r="I42" s="19"/>
      <c r="J42" s="19"/>
      <c r="K42" s="19"/>
      <c r="L42" s="19"/>
      <c r="M42" s="19"/>
      <c r="N42" s="19"/>
      <c r="O42" s="19"/>
      <c r="P42" s="428"/>
      <c r="Q42" s="391">
        <v>112</v>
      </c>
      <c r="R42" s="428">
        <v>112</v>
      </c>
      <c r="S42" s="391"/>
      <c r="T42" s="391">
        <v>112</v>
      </c>
      <c r="U42" s="391">
        <f ca="1">IF(Data_Shelter_t[[#This Row],[Status]]="Open",Data_Shelter_t[[#This Row],[HH Covered]],0)</f>
        <v>0</v>
      </c>
      <c r="V42" s="391" t="s">
        <v>136</v>
      </c>
      <c r="W42" s="392" t="str">
        <f ca="1">IFERROR(OFFSET(Camp_List[Status],MATCH(Data_Shelter_t[[#This Row],[Camp Name/ Relocation Sites]],Camp_List[Camp Name],0)-1,0,1,1),"")</f>
        <v>Returned</v>
      </c>
      <c r="X42" s="393">
        <f ca="1">IFERROR(Data_Shelter_t[[#This Row],[HH Covered]]/OFFSET(Camp_List[HH],MATCH(Data_Shelter_t[[#This Row],[Camp Name/ Relocation Sites]],Camp_List[Camp Name],0)-1,0,1,1),"")</f>
        <v>1</v>
      </c>
      <c r="Y42" s="391">
        <f>Data_Shelter_t[[#This Row],['# of Permanent House Planned (Target)]]+Data_Shelter_t[[#This Row],['# of Individual House Planned (Target)]]</f>
        <v>112</v>
      </c>
      <c r="Z42" s="391">
        <f>Data_Shelter_t[[#This Row],['# of Permanent House Built]]+Data_Shelter_t[[#This Row],['# of Individual House Built]]</f>
        <v>112</v>
      </c>
      <c r="AA42" s="791"/>
      <c r="AU42" s="669"/>
    </row>
    <row r="43" spans="1:47" ht="23.25" customHeight="1" x14ac:dyDescent="0.25">
      <c r="A43" s="408">
        <v>42186</v>
      </c>
      <c r="B43" s="293" t="s">
        <v>1085</v>
      </c>
      <c r="C43" s="293" t="s">
        <v>1085</v>
      </c>
      <c r="D43" s="293" t="s">
        <v>7</v>
      </c>
      <c r="E43" s="295" t="s">
        <v>11</v>
      </c>
      <c r="F43" s="19" t="s">
        <v>28</v>
      </c>
      <c r="G43" s="19">
        <v>1</v>
      </c>
      <c r="H43" s="19"/>
      <c r="I43" s="19"/>
      <c r="J43" s="19"/>
      <c r="K43" s="19"/>
      <c r="L43" s="19"/>
      <c r="M43" s="19"/>
      <c r="N43" s="19"/>
      <c r="O43" s="19"/>
      <c r="P43" s="428"/>
      <c r="Q43" s="391">
        <v>43</v>
      </c>
      <c r="R43" s="806">
        <v>43</v>
      </c>
      <c r="S43" s="391"/>
      <c r="T43" s="391">
        <v>43</v>
      </c>
      <c r="U43" s="391">
        <f ca="1">IF(Data_Shelter_t[[#This Row],[Status]]="Open",Data_Shelter_t[[#This Row],[HH Covered]],0)</f>
        <v>0</v>
      </c>
      <c r="V43" s="391" t="s">
        <v>114</v>
      </c>
      <c r="W43" s="392" t="str">
        <f ca="1">IFERROR(OFFSET(Camp_List[Status],MATCH(Data_Shelter_t[[#This Row],[Camp Name/ Relocation Sites]],Camp_List[Camp Name],0)-1,0,1,1),"")</f>
        <v>Returned</v>
      </c>
      <c r="X43" s="393">
        <f ca="1">IFERROR(Data_Shelter_t[[#This Row],[HH Covered]]/OFFSET(Camp_List[HH],MATCH(Data_Shelter_t[[#This Row],[Camp Name/ Relocation Sites]],Camp_List[Camp Name],0)-1,0,1,1),"")</f>
        <v>0.4942528735632184</v>
      </c>
      <c r="Y43" s="391">
        <f>Data_Shelter_t[[#This Row],['# of Permanent House Planned (Target)]]+Data_Shelter_t[[#This Row],['# of Individual House Planned (Target)]]</f>
        <v>43</v>
      </c>
      <c r="Z43" s="391">
        <f>Data_Shelter_t[[#This Row],['# of Permanent House Built]]+Data_Shelter_t[[#This Row],['# of Individual House Built]]</f>
        <v>43</v>
      </c>
      <c r="AA43" s="791"/>
      <c r="AU43" s="669"/>
    </row>
    <row r="44" spans="1:47" ht="23.25" customHeight="1" x14ac:dyDescent="0.25">
      <c r="A44" s="408">
        <v>42186</v>
      </c>
      <c r="B44" s="293" t="s">
        <v>1085</v>
      </c>
      <c r="C44" s="293" t="s">
        <v>1085</v>
      </c>
      <c r="D44" s="293" t="s">
        <v>7</v>
      </c>
      <c r="E44" s="295" t="s">
        <v>11</v>
      </c>
      <c r="F44" s="19" t="s">
        <v>30</v>
      </c>
      <c r="G44" s="19">
        <v>1</v>
      </c>
      <c r="H44" s="19"/>
      <c r="I44" s="19"/>
      <c r="J44" s="19"/>
      <c r="K44" s="19"/>
      <c r="L44" s="19"/>
      <c r="M44" s="19"/>
      <c r="N44" s="19"/>
      <c r="O44" s="19"/>
      <c r="P44" s="428"/>
      <c r="Q44" s="391">
        <v>114</v>
      </c>
      <c r="R44" s="806">
        <v>114</v>
      </c>
      <c r="S44" s="391"/>
      <c r="T44" s="391">
        <v>114</v>
      </c>
      <c r="U44" s="391">
        <f ca="1">IF(Data_Shelter_t[[#This Row],[Status]]="Open",Data_Shelter_t[[#This Row],[HH Covered]],0)</f>
        <v>0</v>
      </c>
      <c r="V44" s="391" t="s">
        <v>116</v>
      </c>
      <c r="W44" s="392" t="str">
        <f ca="1">IFERROR(OFFSET(Camp_List[Status],MATCH(Data_Shelter_t[[#This Row],[Camp Name/ Relocation Sites]],Camp_List[Camp Name],0)-1,0,1,1),"")</f>
        <v>Returned</v>
      </c>
      <c r="X44" s="393">
        <f ca="1">IFERROR(Data_Shelter_t[[#This Row],[HH Covered]]/OFFSET(Camp_List[HH],MATCH(Data_Shelter_t[[#This Row],[Camp Name/ Relocation Sites]],Camp_List[Camp Name],0)-1,0,1,1),"")</f>
        <v>0.5</v>
      </c>
      <c r="Y44" s="391">
        <f>Data_Shelter_t[[#This Row],['# of Permanent House Planned (Target)]]+Data_Shelter_t[[#This Row],['# of Individual House Planned (Target)]]</f>
        <v>114</v>
      </c>
      <c r="Z44" s="391">
        <f>Data_Shelter_t[[#This Row],['# of Permanent House Built]]+Data_Shelter_t[[#This Row],['# of Individual House Built]]</f>
        <v>114</v>
      </c>
      <c r="AA44" s="791"/>
      <c r="AU44" s="669"/>
    </row>
    <row r="45" spans="1:47" ht="23.25" customHeight="1" x14ac:dyDescent="0.25">
      <c r="A45" s="408">
        <v>42030</v>
      </c>
      <c r="B45" s="293" t="s">
        <v>270</v>
      </c>
      <c r="C45" s="293" t="s">
        <v>270</v>
      </c>
      <c r="D45" s="293" t="s">
        <v>7</v>
      </c>
      <c r="E45" s="295" t="s">
        <v>13</v>
      </c>
      <c r="F45" s="19" t="s">
        <v>40</v>
      </c>
      <c r="G45" s="19">
        <v>1</v>
      </c>
      <c r="H45" s="19">
        <v>110</v>
      </c>
      <c r="I45" s="19">
        <v>110</v>
      </c>
      <c r="J45" s="19"/>
      <c r="K45" s="19"/>
      <c r="L45" s="19"/>
      <c r="M45" s="19"/>
      <c r="N45" s="19"/>
      <c r="O45" s="19"/>
      <c r="P45" s="428"/>
      <c r="Q45" s="294"/>
      <c r="R45" s="294"/>
      <c r="S45" s="391"/>
      <c r="T45" s="391">
        <v>0</v>
      </c>
      <c r="U45" s="391">
        <f ca="1">IF(Data_Shelter_t[[#This Row],[Status]]="Open",Data_Shelter_t[[#This Row],[HH Covered]],0)</f>
        <v>0</v>
      </c>
      <c r="V45" s="391"/>
      <c r="W45" s="392" t="str">
        <f ca="1">IFERROR(OFFSET(Camp_List[Status],MATCH(Data_Shelter_t[[#This Row],[Camp Name/ Relocation Sites]],Camp_List[Camp Name],0)-1,0,1,1),"")</f>
        <v>Open</v>
      </c>
      <c r="X45" s="393">
        <f ca="1">IFERROR(Data_Shelter_t[[#This Row],[HH Covered]]/OFFSET(Camp_List[HH],MATCH(Data_Shelter_t[[#This Row],[Camp Name/ Relocation Sites]],Camp_List[Camp Name],0)-1,0,1,1),"")</f>
        <v>0</v>
      </c>
      <c r="Y45" s="391">
        <f>Data_Shelter_t[[#This Row],['# of Permanent House Planned (Target)]]+Data_Shelter_t[[#This Row],['# of Individual House Planned (Target)]]</f>
        <v>0</v>
      </c>
      <c r="Z45" s="391">
        <f>Data_Shelter_t[[#This Row],['# of Permanent House Built]]+Data_Shelter_t[[#This Row],['# of Individual House Built]]</f>
        <v>0</v>
      </c>
      <c r="AA45" s="791"/>
      <c r="AU45" s="669"/>
    </row>
    <row r="46" spans="1:47" ht="23.25" customHeight="1" x14ac:dyDescent="0.25">
      <c r="A46" s="408">
        <v>42005</v>
      </c>
      <c r="B46" s="293" t="s">
        <v>273</v>
      </c>
      <c r="C46" s="293" t="s">
        <v>273</v>
      </c>
      <c r="D46" s="293" t="s">
        <v>7</v>
      </c>
      <c r="E46" s="295" t="s">
        <v>17</v>
      </c>
      <c r="F46" s="293" t="s">
        <v>580</v>
      </c>
      <c r="G46" s="26">
        <v>8</v>
      </c>
      <c r="H46" s="293"/>
      <c r="I46" s="293"/>
      <c r="J46" s="26">
        <v>4</v>
      </c>
      <c r="K46" s="26">
        <v>4</v>
      </c>
      <c r="L46" s="26"/>
      <c r="M46" s="26"/>
      <c r="N46" s="26"/>
      <c r="O46" s="293"/>
      <c r="P46" s="293"/>
      <c r="Q46" s="293"/>
      <c r="R46" s="293"/>
      <c r="S46" s="88"/>
      <c r="T46" s="88">
        <v>32</v>
      </c>
      <c r="U46" s="391">
        <f ca="1">IF(Data_Shelter_t[[#This Row],[Status]]="Open",Data_Shelter_t[[#This Row],[HH Covered]],0)</f>
        <v>32</v>
      </c>
      <c r="V46" s="294" t="s">
        <v>269</v>
      </c>
      <c r="W46" s="392" t="str">
        <f ca="1">IFERROR(OFFSET(Camp_List[Status],MATCH(Data_Shelter_t[[#This Row],[Camp Name/ Relocation Sites]],Camp_List[Camp Name],0)-1,0,1,1),"")</f>
        <v>Open</v>
      </c>
      <c r="X46" s="393">
        <f ca="1">IFERROR(Data_Shelter_t[[#This Row],[HH Covered]]/OFFSET(Camp_List[HH],MATCH(Data_Shelter_t[[#This Row],[Camp Name/ Relocation Sites]],Camp_List[Camp Name],0)-1,0,1,1),"")</f>
        <v>5.1529790660225443E-2</v>
      </c>
      <c r="Y46" s="391">
        <f>Data_Shelter_t[[#This Row],['# of Permanent House Planned (Target)]]+Data_Shelter_t[[#This Row],['# of Individual House Planned (Target)]]</f>
        <v>0</v>
      </c>
      <c r="Z46" s="391">
        <f>Data_Shelter_t[[#This Row],['# of Permanent House Built]]+Data_Shelter_t[[#This Row],['# of Individual House Built]]</f>
        <v>0</v>
      </c>
      <c r="AU46" s="669"/>
    </row>
    <row r="47" spans="1:47" ht="23.25" customHeight="1" x14ac:dyDescent="0.25">
      <c r="A47" s="408">
        <v>42005</v>
      </c>
      <c r="B47" s="293" t="s">
        <v>273</v>
      </c>
      <c r="C47" s="293" t="s">
        <v>273</v>
      </c>
      <c r="D47" s="293" t="s">
        <v>7</v>
      </c>
      <c r="E47" s="295" t="s">
        <v>17</v>
      </c>
      <c r="F47" s="293" t="s">
        <v>68</v>
      </c>
      <c r="G47" s="26">
        <v>8</v>
      </c>
      <c r="H47" s="293"/>
      <c r="I47" s="293"/>
      <c r="J47" s="670">
        <v>2</v>
      </c>
      <c r="K47" s="26">
        <v>2</v>
      </c>
      <c r="L47" s="26"/>
      <c r="M47" s="26"/>
      <c r="N47" s="26"/>
      <c r="O47" s="293"/>
      <c r="P47" s="293"/>
      <c r="Q47" s="293"/>
      <c r="R47" s="293"/>
      <c r="S47" s="88"/>
      <c r="T47" s="88">
        <v>16</v>
      </c>
      <c r="U47" s="391">
        <f ca="1">IF(Data_Shelter_t[[#This Row],[Status]]="Open",Data_Shelter_t[[#This Row],[HH Covered]],0)</f>
        <v>16</v>
      </c>
      <c r="V47" s="294" t="s">
        <v>154</v>
      </c>
      <c r="W47" s="392" t="str">
        <f ca="1">IFERROR(OFFSET(Camp_List[Status],MATCH(Data_Shelter_t[[#This Row],[Camp Name/ Relocation Sites]],Camp_List[Camp Name],0)-1,0,1,1),"")</f>
        <v>Open</v>
      </c>
      <c r="X47" s="393">
        <f ca="1">IFERROR(Data_Shelter_t[[#This Row],[HH Covered]]/OFFSET(Camp_List[HH],MATCH(Data_Shelter_t[[#This Row],[Camp Name/ Relocation Sites]],Camp_List[Camp Name],0)-1,0,1,1),"")</f>
        <v>1.6309887869520898E-2</v>
      </c>
      <c r="Y47" s="391">
        <f>Data_Shelter_t[[#This Row],['# of Permanent House Planned (Target)]]+Data_Shelter_t[[#This Row],['# of Individual House Planned (Target)]]</f>
        <v>0</v>
      </c>
      <c r="Z47" s="391">
        <f>Data_Shelter_t[[#This Row],['# of Permanent House Built]]+Data_Shelter_t[[#This Row],['# of Individual House Built]]</f>
        <v>0</v>
      </c>
      <c r="AU47" s="669"/>
    </row>
    <row r="48" spans="1:47" ht="23.25" customHeight="1" x14ac:dyDescent="0.25">
      <c r="A48" s="408">
        <v>41548</v>
      </c>
      <c r="B48" s="293" t="s">
        <v>595</v>
      </c>
      <c r="C48" s="293" t="s">
        <v>595</v>
      </c>
      <c r="D48" s="293" t="s">
        <v>7</v>
      </c>
      <c r="E48" s="295" t="s">
        <v>18</v>
      </c>
      <c r="F48" s="293" t="s">
        <v>466</v>
      </c>
      <c r="G48" s="26">
        <v>1</v>
      </c>
      <c r="H48" s="293"/>
      <c r="I48" s="293"/>
      <c r="J48" s="26"/>
      <c r="K48" s="26"/>
      <c r="L48" s="26"/>
      <c r="M48" s="26">
        <v>15</v>
      </c>
      <c r="N48" s="26">
        <v>15</v>
      </c>
      <c r="O48" s="293"/>
      <c r="P48" s="208"/>
      <c r="Q48" s="293"/>
      <c r="R48" s="293"/>
      <c r="S48" s="88"/>
      <c r="T48" s="88">
        <v>15</v>
      </c>
      <c r="U48" s="88">
        <f ca="1">IF(Data_Shelter_t[[#This Row],[Status]]="Open",Data_Shelter_t[[#This Row],[HH Covered]],0)</f>
        <v>0</v>
      </c>
      <c r="V48" s="294" t="s">
        <v>870</v>
      </c>
      <c r="W48" s="414" t="str">
        <f ca="1">IFERROR(OFFSET(Camp_List[Status],MATCH(Data_Shelter_t[[#This Row],[Camp Name/ Relocation Sites]],Camp_List[Camp Name],0)-1,0,1,1),"")</f>
        <v/>
      </c>
      <c r="X48" s="393" t="str">
        <f ca="1">IFERROR(Data_Shelter_t[[#This Row],[HH Covered]]/OFFSET(Camp_List[HH],MATCH(Data_Shelter_t[[#This Row],[Camp Name/ Relocation Sites]],Camp_List[Camp Name],0)-1,0,1,1),"")</f>
        <v/>
      </c>
      <c r="Y48" s="26">
        <f>Data_Shelter_t[[#This Row],['# of Permanent House Planned (Target)]]+Data_Shelter_t[[#This Row],['# of Individual House Planned (Target)]]</f>
        <v>15</v>
      </c>
      <c r="Z48" s="670">
        <f>Data_Shelter_t[[#This Row],['# of Permanent House Built]]+Data_Shelter_t[[#This Row],['# of Individual House Built]]</f>
        <v>15</v>
      </c>
      <c r="AU48" s="669"/>
    </row>
    <row r="49" spans="1:47" ht="23.25" customHeight="1" x14ac:dyDescent="0.25">
      <c r="A49" s="408">
        <v>41548</v>
      </c>
      <c r="B49" s="293" t="s">
        <v>595</v>
      </c>
      <c r="C49" s="293" t="s">
        <v>595</v>
      </c>
      <c r="D49" s="293" t="s">
        <v>7</v>
      </c>
      <c r="E49" s="295" t="s">
        <v>18</v>
      </c>
      <c r="F49" s="293" t="s">
        <v>465</v>
      </c>
      <c r="G49" s="26">
        <v>1</v>
      </c>
      <c r="H49" s="293"/>
      <c r="I49" s="293"/>
      <c r="J49" s="26"/>
      <c r="K49" s="26"/>
      <c r="L49" s="26"/>
      <c r="M49" s="26">
        <v>2</v>
      </c>
      <c r="N49" s="26">
        <v>2</v>
      </c>
      <c r="O49" s="293"/>
      <c r="P49" s="208"/>
      <c r="Q49" s="293"/>
      <c r="R49" s="293"/>
      <c r="S49" s="88"/>
      <c r="T49" s="88">
        <v>2</v>
      </c>
      <c r="U49" s="88">
        <f ca="1">IF(Data_Shelter_t[[#This Row],[Status]]="Open",Data_Shelter_t[[#This Row],[HH Covered]],0)</f>
        <v>0</v>
      </c>
      <c r="V49" s="294" t="s">
        <v>870</v>
      </c>
      <c r="W49" s="414" t="str">
        <f ca="1">IFERROR(OFFSET(Camp_List[Status],MATCH(Data_Shelter_t[[#This Row],[Camp Name/ Relocation Sites]],Camp_List[Camp Name],0)-1,0,1,1),"")</f>
        <v/>
      </c>
      <c r="X49" s="393" t="str">
        <f ca="1">IFERROR(Data_Shelter_t[[#This Row],[HH Covered]]/OFFSET(Camp_List[HH],MATCH(Data_Shelter_t[[#This Row],[Camp Name/ Relocation Sites]],Camp_List[Camp Name],0)-1,0,1,1),"")</f>
        <v/>
      </c>
      <c r="Y49" s="26">
        <f>Data_Shelter_t[[#This Row],['# of Permanent House Planned (Target)]]+Data_Shelter_t[[#This Row],['# of Individual House Planned (Target)]]</f>
        <v>2</v>
      </c>
      <c r="Z49" s="19">
        <f>Data_Shelter_t[[#This Row],['# of Permanent House Built]]+Data_Shelter_t[[#This Row],['# of Individual House Built]]</f>
        <v>2</v>
      </c>
      <c r="AU49" s="669"/>
    </row>
    <row r="50" spans="1:47" ht="23.25" customHeight="1" x14ac:dyDescent="0.25">
      <c r="A50" s="408">
        <v>41548</v>
      </c>
      <c r="B50" s="293" t="s">
        <v>595</v>
      </c>
      <c r="C50" s="293" t="s">
        <v>595</v>
      </c>
      <c r="D50" s="293" t="s">
        <v>7</v>
      </c>
      <c r="E50" s="295" t="s">
        <v>18</v>
      </c>
      <c r="F50" s="293" t="s">
        <v>467</v>
      </c>
      <c r="G50" s="26">
        <v>1</v>
      </c>
      <c r="H50" s="293"/>
      <c r="I50" s="293"/>
      <c r="J50" s="26"/>
      <c r="K50" s="26"/>
      <c r="L50" s="26"/>
      <c r="M50" s="26">
        <v>22</v>
      </c>
      <c r="N50" s="26">
        <v>22</v>
      </c>
      <c r="O50" s="293"/>
      <c r="P50" s="208"/>
      <c r="Q50" s="293"/>
      <c r="R50" s="293"/>
      <c r="S50" s="88"/>
      <c r="T50" s="88">
        <v>22</v>
      </c>
      <c r="U50" s="88">
        <f ca="1">IF(Data_Shelter_t[[#This Row],[Status]]="Open",Data_Shelter_t[[#This Row],[HH Covered]],0)</f>
        <v>0</v>
      </c>
      <c r="V50" s="294" t="s">
        <v>870</v>
      </c>
      <c r="W50" s="414" t="str">
        <f ca="1">IFERROR(OFFSET(Camp_List[Status],MATCH(Data_Shelter_t[[#This Row],[Camp Name/ Relocation Sites]],Camp_List[Camp Name],0)-1,0,1,1),"")</f>
        <v/>
      </c>
      <c r="X50" s="393" t="str">
        <f ca="1">IFERROR(Data_Shelter_t[[#This Row],[HH Covered]]/OFFSET(Camp_List[HH],MATCH(Data_Shelter_t[[#This Row],[Camp Name/ Relocation Sites]],Camp_List[Camp Name],0)-1,0,1,1),"")</f>
        <v/>
      </c>
      <c r="Y50" s="26">
        <f>Data_Shelter_t[[#This Row],['# of Permanent House Planned (Target)]]+Data_Shelter_t[[#This Row],['# of Individual House Planned (Target)]]</f>
        <v>22</v>
      </c>
      <c r="Z50" s="19">
        <f>Data_Shelter_t[[#This Row],['# of Permanent House Built]]+Data_Shelter_t[[#This Row],['# of Individual House Built]]</f>
        <v>22</v>
      </c>
      <c r="AU50" s="669"/>
    </row>
    <row r="51" spans="1:47" ht="23.25" customHeight="1" x14ac:dyDescent="0.25">
      <c r="A51" s="408">
        <v>41548</v>
      </c>
      <c r="B51" s="293" t="s">
        <v>594</v>
      </c>
      <c r="C51" s="293" t="s">
        <v>594</v>
      </c>
      <c r="D51" s="293" t="s">
        <v>7</v>
      </c>
      <c r="E51" s="295" t="s">
        <v>18</v>
      </c>
      <c r="F51" s="293" t="s">
        <v>467</v>
      </c>
      <c r="G51" s="670">
        <v>1</v>
      </c>
      <c r="H51" s="293"/>
      <c r="I51" s="293"/>
      <c r="J51" s="670"/>
      <c r="K51" s="670"/>
      <c r="L51" s="670"/>
      <c r="M51" s="670">
        <v>25</v>
      </c>
      <c r="N51" s="670">
        <v>25</v>
      </c>
      <c r="O51" s="293"/>
      <c r="P51" s="208"/>
      <c r="Q51" s="293"/>
      <c r="R51" s="293"/>
      <c r="S51" s="88"/>
      <c r="T51" s="88">
        <v>25</v>
      </c>
      <c r="U51" s="88">
        <f ca="1">IF(Data_Shelter_t[[#This Row],[Status]]="Open",Data_Shelter_t[[#This Row],[HH Covered]],0)</f>
        <v>0</v>
      </c>
      <c r="V51" s="294" t="s">
        <v>870</v>
      </c>
      <c r="W51" s="414" t="str">
        <f ca="1">IFERROR(OFFSET(Camp_List[Status],MATCH(Data_Shelter_t[[#This Row],[Camp Name/ Relocation Sites]],Camp_List[Camp Name],0)-1,0,1,1),"")</f>
        <v/>
      </c>
      <c r="X51" s="393" t="str">
        <f ca="1">IFERROR(Data_Shelter_t[[#This Row],[HH Covered]]/OFFSET(Camp_List[HH],MATCH(Data_Shelter_t[[#This Row],[Camp Name/ Relocation Sites]],Camp_List[Camp Name],0)-1,0,1,1),"")</f>
        <v/>
      </c>
      <c r="Y51" s="26">
        <f>Data_Shelter_t[[#This Row],['# of Permanent House Planned (Target)]]+Data_Shelter_t[[#This Row],['# of Individual House Planned (Target)]]</f>
        <v>25</v>
      </c>
      <c r="Z51" s="670">
        <f>Data_Shelter_t[[#This Row],['# of Permanent House Built]]+Data_Shelter_t[[#This Row],['# of Individual House Built]]</f>
        <v>25</v>
      </c>
      <c r="AU51" s="669"/>
    </row>
    <row r="52" spans="1:47" ht="23.25" customHeight="1" x14ac:dyDescent="0.25">
      <c r="A52" s="408">
        <v>41548</v>
      </c>
      <c r="B52" s="293" t="s">
        <v>595</v>
      </c>
      <c r="C52" s="293" t="s">
        <v>595</v>
      </c>
      <c r="D52" s="293" t="s">
        <v>7</v>
      </c>
      <c r="E52" s="295" t="s">
        <v>18</v>
      </c>
      <c r="F52" s="293" t="s">
        <v>464</v>
      </c>
      <c r="G52" s="26">
        <v>1</v>
      </c>
      <c r="H52" s="293"/>
      <c r="I52" s="293"/>
      <c r="J52" s="670"/>
      <c r="K52" s="26"/>
      <c r="L52" s="26"/>
      <c r="M52" s="26">
        <v>77</v>
      </c>
      <c r="N52" s="26">
        <v>77</v>
      </c>
      <c r="O52" s="293"/>
      <c r="P52" s="208"/>
      <c r="Q52" s="293"/>
      <c r="R52" s="293"/>
      <c r="S52" s="88"/>
      <c r="T52" s="88">
        <v>77</v>
      </c>
      <c r="U52" s="88">
        <f ca="1">IF(Data_Shelter_t[[#This Row],[Status]]="Open",Data_Shelter_t[[#This Row],[HH Covered]],0)</f>
        <v>0</v>
      </c>
      <c r="V52" s="294" t="s">
        <v>870</v>
      </c>
      <c r="W52" s="414" t="str">
        <f ca="1">IFERROR(OFFSET(Camp_List[Status],MATCH(Data_Shelter_t[[#This Row],[Camp Name/ Relocation Sites]],Camp_List[Camp Name],0)-1,0,1,1),"")</f>
        <v/>
      </c>
      <c r="X52" s="393" t="str">
        <f ca="1">IFERROR(Data_Shelter_t[[#This Row],[HH Covered]]/OFFSET(Camp_List[HH],MATCH(Data_Shelter_t[[#This Row],[Camp Name/ Relocation Sites]],Camp_List[Camp Name],0)-1,0,1,1),"")</f>
        <v/>
      </c>
      <c r="Y52" s="670">
        <f>Data_Shelter_t[[#This Row],['# of Permanent House Planned (Target)]]+Data_Shelter_t[[#This Row],['# of Individual House Planned (Target)]]</f>
        <v>77</v>
      </c>
      <c r="Z52" s="670">
        <f>Data_Shelter_t[[#This Row],['# of Permanent House Built]]+Data_Shelter_t[[#This Row],['# of Individual House Built]]</f>
        <v>77</v>
      </c>
      <c r="AU52" s="669"/>
    </row>
    <row r="53" spans="1:47" ht="23.25" customHeight="1" x14ac:dyDescent="0.25">
      <c r="A53" s="408">
        <v>41548</v>
      </c>
      <c r="B53" s="293" t="s">
        <v>595</v>
      </c>
      <c r="C53" s="293" t="s">
        <v>595</v>
      </c>
      <c r="D53" s="293" t="s">
        <v>7</v>
      </c>
      <c r="E53" s="295" t="s">
        <v>18</v>
      </c>
      <c r="F53" s="293" t="s">
        <v>463</v>
      </c>
      <c r="G53" s="670">
        <v>1</v>
      </c>
      <c r="H53" s="293"/>
      <c r="I53" s="293"/>
      <c r="J53" s="670"/>
      <c r="K53" s="670"/>
      <c r="L53" s="670"/>
      <c r="M53" s="670">
        <v>9</v>
      </c>
      <c r="N53" s="670">
        <v>9</v>
      </c>
      <c r="O53" s="293"/>
      <c r="P53" s="208"/>
      <c r="Q53" s="293"/>
      <c r="R53" s="293"/>
      <c r="S53" s="88"/>
      <c r="T53" s="88">
        <v>9</v>
      </c>
      <c r="U53" s="88">
        <f ca="1">IF(Data_Shelter_t[[#This Row],[Status]]="Open",Data_Shelter_t[[#This Row],[HH Covered]],0)</f>
        <v>0</v>
      </c>
      <c r="V53" s="294" t="s">
        <v>870</v>
      </c>
      <c r="W53" s="414" t="str">
        <f ca="1">IFERROR(OFFSET(Camp_List[Status],MATCH(Data_Shelter_t[[#This Row],[Camp Name/ Relocation Sites]],Camp_List[Camp Name],0)-1,0,1,1),"")</f>
        <v/>
      </c>
      <c r="X53" s="393" t="str">
        <f ca="1">IFERROR(Data_Shelter_t[[#This Row],[HH Covered]]/OFFSET(Camp_List[HH],MATCH(Data_Shelter_t[[#This Row],[Camp Name/ Relocation Sites]],Camp_List[Camp Name],0)-1,0,1,1),"")</f>
        <v/>
      </c>
      <c r="Y53" s="670">
        <f>Data_Shelter_t[[#This Row],['# of Permanent House Planned (Target)]]+Data_Shelter_t[[#This Row],['# of Individual House Planned (Target)]]</f>
        <v>9</v>
      </c>
      <c r="Z53" s="19">
        <f>Data_Shelter_t[[#This Row],['# of Permanent House Built]]+Data_Shelter_t[[#This Row],['# of Individual House Built]]</f>
        <v>9</v>
      </c>
      <c r="AU53" s="669"/>
    </row>
    <row r="54" spans="1:47" ht="23.25" customHeight="1" x14ac:dyDescent="0.25">
      <c r="A54" s="408">
        <v>41548</v>
      </c>
      <c r="B54" s="293" t="s">
        <v>273</v>
      </c>
      <c r="C54" s="293" t="s">
        <v>273</v>
      </c>
      <c r="D54" s="293" t="s">
        <v>7</v>
      </c>
      <c r="E54" s="295" t="s">
        <v>13</v>
      </c>
      <c r="F54" s="293" t="s">
        <v>38</v>
      </c>
      <c r="G54" s="26">
        <v>8</v>
      </c>
      <c r="H54" s="293"/>
      <c r="I54" s="293"/>
      <c r="J54" s="26">
        <v>96</v>
      </c>
      <c r="K54" s="26">
        <v>96</v>
      </c>
      <c r="L54" s="19">
        <v>0</v>
      </c>
      <c r="M54" s="26"/>
      <c r="N54" s="26"/>
      <c r="O54" s="293"/>
      <c r="P54" s="208"/>
      <c r="Q54" s="293"/>
      <c r="R54" s="293"/>
      <c r="S54" s="88"/>
      <c r="T54" s="88">
        <v>768</v>
      </c>
      <c r="U54" s="88">
        <f ca="1">IF(Data_Shelter_t[[#This Row],[Status]]="Open",Data_Shelter_t[[#This Row],[HH Covered]],0)</f>
        <v>768</v>
      </c>
      <c r="V54" s="294" t="s">
        <v>124</v>
      </c>
      <c r="W54" s="414" t="str">
        <f ca="1">IFERROR(OFFSET(Camp_List[Status],MATCH(Data_Shelter_t[[#This Row],[Camp Name/ Relocation Sites]],Camp_List[Camp Name],0)-1,0,1,1),"")</f>
        <v>Open</v>
      </c>
      <c r="X54" s="393">
        <f ca="1">IFERROR(Data_Shelter_t[[#This Row],[HH Covered]]/OFFSET(Camp_List[HH],MATCH(Data_Shelter_t[[#This Row],[Camp Name/ Relocation Sites]],Camp_List[Camp Name],0)-1,0,1,1),"")</f>
        <v>0.62035541195476573</v>
      </c>
      <c r="Y54" s="26">
        <f>Data_Shelter_t[[#This Row],['# of Permanent House Planned (Target)]]+Data_Shelter_t[[#This Row],['# of Individual House Planned (Target)]]</f>
        <v>0</v>
      </c>
      <c r="Z54" s="670">
        <f>Data_Shelter_t[[#This Row],['# of Permanent House Built]]+Data_Shelter_t[[#This Row],['# of Individual House Built]]</f>
        <v>0</v>
      </c>
      <c r="AU54" s="669"/>
    </row>
    <row r="55" spans="1:47" ht="23.25" customHeight="1" x14ac:dyDescent="0.25">
      <c r="A55" s="408">
        <v>41548</v>
      </c>
      <c r="B55" s="293" t="s">
        <v>425</v>
      </c>
      <c r="C55" s="293" t="s">
        <v>425</v>
      </c>
      <c r="D55" s="293" t="s">
        <v>7</v>
      </c>
      <c r="E55" s="295" t="s">
        <v>17</v>
      </c>
      <c r="F55" s="293" t="s">
        <v>581</v>
      </c>
      <c r="G55" s="26">
        <v>8</v>
      </c>
      <c r="H55" s="293"/>
      <c r="I55" s="293"/>
      <c r="J55" s="19">
        <v>50</v>
      </c>
      <c r="K55" s="26">
        <v>50</v>
      </c>
      <c r="L55" s="26"/>
      <c r="M55" s="26"/>
      <c r="N55" s="26"/>
      <c r="O55" s="293"/>
      <c r="P55" s="208"/>
      <c r="Q55" s="293"/>
      <c r="R55" s="293"/>
      <c r="S55" s="88"/>
      <c r="T55" s="88">
        <v>400</v>
      </c>
      <c r="U55" s="88">
        <f ca="1">IF(Data_Shelter_t[[#This Row],[Status]]="Open",Data_Shelter_t[[#This Row],[HH Covered]],0)</f>
        <v>400</v>
      </c>
      <c r="V55" s="294" t="s">
        <v>583</v>
      </c>
      <c r="W55" s="414" t="str">
        <f ca="1">IFERROR(OFFSET(Camp_List[Status],MATCH(Data_Shelter_t[[#This Row],[Camp Name/ Relocation Sites]],Camp_List[Camp Name],0)-1,0,1,1),"")</f>
        <v>Open</v>
      </c>
      <c r="X55" s="393">
        <f ca="1">IFERROR(Data_Shelter_t[[#This Row],[HH Covered]]/OFFSET(Camp_List[HH],MATCH(Data_Shelter_t[[#This Row],[Camp Name/ Relocation Sites]],Camp_List[Camp Name],0)-1,0,1,1),"")</f>
        <v>0.38910505836575876</v>
      </c>
      <c r="Y55" s="26">
        <f>Data_Shelter_t[[#This Row],['# of Permanent House Planned (Target)]]+Data_Shelter_t[[#This Row],['# of Individual House Planned (Target)]]</f>
        <v>0</v>
      </c>
      <c r="Z55" s="670">
        <f>Data_Shelter_t[[#This Row],['# of Permanent House Built]]+Data_Shelter_t[[#This Row],['# of Individual House Built]]</f>
        <v>0</v>
      </c>
      <c r="AU55" s="669"/>
    </row>
    <row r="56" spans="1:47" ht="23.25" customHeight="1" x14ac:dyDescent="0.25">
      <c r="A56" s="408">
        <v>41548</v>
      </c>
      <c r="B56" s="293" t="s">
        <v>278</v>
      </c>
      <c r="C56" s="293" t="s">
        <v>278</v>
      </c>
      <c r="D56" s="293" t="s">
        <v>7</v>
      </c>
      <c r="E56" s="295" t="s">
        <v>17</v>
      </c>
      <c r="F56" s="293" t="s">
        <v>581</v>
      </c>
      <c r="G56" s="670">
        <v>8</v>
      </c>
      <c r="H56" s="293"/>
      <c r="I56" s="293"/>
      <c r="J56" s="670">
        <v>40</v>
      </c>
      <c r="K56" s="670">
        <v>40</v>
      </c>
      <c r="L56" s="670"/>
      <c r="M56" s="670"/>
      <c r="N56" s="670"/>
      <c r="O56" s="293"/>
      <c r="P56" s="208"/>
      <c r="Q56" s="293"/>
      <c r="R56" s="293"/>
      <c r="S56" s="88"/>
      <c r="T56" s="88">
        <v>320</v>
      </c>
      <c r="U56" s="88">
        <f ca="1">IF(Data_Shelter_t[[#This Row],[Status]]="Open",Data_Shelter_t[[#This Row],[HH Covered]],0)</f>
        <v>320</v>
      </c>
      <c r="V56" s="294" t="s">
        <v>583</v>
      </c>
      <c r="W56" s="414" t="str">
        <f ca="1">IFERROR(OFFSET(Camp_List[Status],MATCH(Data_Shelter_t[[#This Row],[Camp Name/ Relocation Sites]],Camp_List[Camp Name],0)-1,0,1,1),"")</f>
        <v>Open</v>
      </c>
      <c r="X56" s="393">
        <f ca="1">IFERROR(Data_Shelter_t[[#This Row],[HH Covered]]/OFFSET(Camp_List[HH],MATCH(Data_Shelter_t[[#This Row],[Camp Name/ Relocation Sites]],Camp_List[Camp Name],0)-1,0,1,1),"")</f>
        <v>0.31128404669260701</v>
      </c>
      <c r="Y56" s="26">
        <f>Data_Shelter_t[[#This Row],['# of Permanent House Planned (Target)]]+Data_Shelter_t[[#This Row],['# of Individual House Planned (Target)]]</f>
        <v>0</v>
      </c>
      <c r="Z56" s="670">
        <f>Data_Shelter_t[[#This Row],['# of Permanent House Built]]+Data_Shelter_t[[#This Row],['# of Individual House Built]]</f>
        <v>0</v>
      </c>
      <c r="AU56" s="669"/>
    </row>
    <row r="57" spans="1:47" ht="23.25" customHeight="1" x14ac:dyDescent="0.25">
      <c r="A57" s="408">
        <v>41548</v>
      </c>
      <c r="B57" s="293" t="s">
        <v>520</v>
      </c>
      <c r="C57" s="293" t="s">
        <v>520</v>
      </c>
      <c r="D57" s="293" t="s">
        <v>7</v>
      </c>
      <c r="E57" s="295" t="s">
        <v>17</v>
      </c>
      <c r="F57" s="293" t="s">
        <v>581</v>
      </c>
      <c r="G57" s="670">
        <v>8</v>
      </c>
      <c r="H57" s="293"/>
      <c r="I57" s="293"/>
      <c r="J57" s="670">
        <v>5</v>
      </c>
      <c r="K57" s="670">
        <v>5</v>
      </c>
      <c r="L57" s="670"/>
      <c r="M57" s="26"/>
      <c r="N57" s="26"/>
      <c r="O57" s="293"/>
      <c r="P57" s="208"/>
      <c r="Q57" s="293"/>
      <c r="R57" s="293"/>
      <c r="S57" s="88"/>
      <c r="T57" s="88">
        <v>40</v>
      </c>
      <c r="U57" s="88">
        <f ca="1">IF(Data_Shelter_t[[#This Row],[Status]]="Open",Data_Shelter_t[[#This Row],[HH Covered]],0)</f>
        <v>40</v>
      </c>
      <c r="V57" s="294" t="s">
        <v>583</v>
      </c>
      <c r="W57" s="414" t="str">
        <f ca="1">IFERROR(OFFSET(Camp_List[Status],MATCH(Data_Shelter_t[[#This Row],[Camp Name/ Relocation Sites]],Camp_List[Camp Name],0)-1,0,1,1),"")</f>
        <v>Open</v>
      </c>
      <c r="X57" s="393">
        <f ca="1">IFERROR(Data_Shelter_t[[#This Row],[HH Covered]]/OFFSET(Camp_List[HH],MATCH(Data_Shelter_t[[#This Row],[Camp Name/ Relocation Sites]],Camp_List[Camp Name],0)-1,0,1,1),"")</f>
        <v>3.8910505836575876E-2</v>
      </c>
      <c r="Y57" s="670">
        <f>Data_Shelter_t[[#This Row],['# of Permanent House Planned (Target)]]+Data_Shelter_t[[#This Row],['# of Individual House Planned (Target)]]</f>
        <v>0</v>
      </c>
      <c r="Z57" s="670">
        <f>Data_Shelter_t[[#This Row],['# of Permanent House Built]]+Data_Shelter_t[[#This Row],['# of Individual House Built]]</f>
        <v>0</v>
      </c>
      <c r="AU57" s="669"/>
    </row>
    <row r="58" spans="1:47" s="669" customFormat="1" ht="23.25" customHeight="1" x14ac:dyDescent="0.25">
      <c r="A58" s="1054">
        <v>41548</v>
      </c>
      <c r="B58" s="293" t="s">
        <v>280</v>
      </c>
      <c r="C58" s="293" t="s">
        <v>280</v>
      </c>
      <c r="D58" s="293" t="s">
        <v>7</v>
      </c>
      <c r="E58" s="295" t="s">
        <v>17</v>
      </c>
      <c r="F58" s="293" t="s">
        <v>581</v>
      </c>
      <c r="G58" s="670">
        <v>8</v>
      </c>
      <c r="H58" s="293"/>
      <c r="I58" s="293"/>
      <c r="J58" s="670">
        <v>32</v>
      </c>
      <c r="K58" s="670">
        <v>32</v>
      </c>
      <c r="L58" s="670">
        <v>0</v>
      </c>
      <c r="M58" s="670"/>
      <c r="N58" s="670"/>
      <c r="O58" s="293"/>
      <c r="P58" s="208"/>
      <c r="Q58" s="293"/>
      <c r="R58" s="293"/>
      <c r="S58" s="88"/>
      <c r="T58" s="88">
        <v>256</v>
      </c>
      <c r="U58" s="88">
        <f ca="1">IF(Data_Shelter_t[[#This Row],[Status]]="Open",Data_Shelter_t[[#This Row],[HH Covered]],0)</f>
        <v>256</v>
      </c>
      <c r="V58" s="294" t="s">
        <v>583</v>
      </c>
      <c r="W58" s="414" t="str">
        <f ca="1">IFERROR(OFFSET(Camp_List[Status],MATCH(Data_Shelter_t[[#This Row],[Camp Name/ Relocation Sites]],Camp_List[Camp Name],0)-1,0,1,1),"")</f>
        <v>Open</v>
      </c>
      <c r="X58" s="393">
        <f ca="1">IFERROR(Data_Shelter_t[[#This Row],[HH Covered]]/OFFSET(Camp_List[HH],MATCH(Data_Shelter_t[[#This Row],[Camp Name/ Relocation Sites]],Camp_List[Camp Name],0)-1,0,1,1),"")</f>
        <v>0.24902723735408561</v>
      </c>
      <c r="Y58" s="670">
        <f>Data_Shelter_t[[#This Row],['# of Permanent House Planned (Target)]]+Data_Shelter_t[[#This Row],['# of Individual House Planned (Target)]]</f>
        <v>0</v>
      </c>
      <c r="Z58" s="670">
        <f>Data_Shelter_t[[#This Row],['# of Permanent House Built]]+Data_Shelter_t[[#This Row],['# of Individual House Built]]</f>
        <v>0</v>
      </c>
      <c r="AA58" s="38"/>
    </row>
    <row r="59" spans="1:47" ht="23.25" customHeight="1" x14ac:dyDescent="0.25">
      <c r="A59" s="408">
        <v>41548</v>
      </c>
      <c r="B59" s="294" t="s">
        <v>278</v>
      </c>
      <c r="C59" s="294" t="s">
        <v>278</v>
      </c>
      <c r="D59" s="294" t="s">
        <v>7</v>
      </c>
      <c r="E59" s="306" t="s">
        <v>17</v>
      </c>
      <c r="F59" s="294" t="s">
        <v>582</v>
      </c>
      <c r="G59" s="19">
        <v>8</v>
      </c>
      <c r="H59" s="294"/>
      <c r="I59" s="294"/>
      <c r="J59" s="19">
        <v>100</v>
      </c>
      <c r="K59" s="19">
        <v>100</v>
      </c>
      <c r="L59" s="19">
        <v>0</v>
      </c>
      <c r="M59" s="19"/>
      <c r="N59" s="19"/>
      <c r="O59" s="294"/>
      <c r="P59" s="428"/>
      <c r="Q59" s="294"/>
      <c r="R59" s="294"/>
      <c r="S59" s="88"/>
      <c r="T59" s="88">
        <v>800</v>
      </c>
      <c r="U59" s="88">
        <f ca="1">IF(Data_Shelter_t[[#This Row],[Status]]="Open",Data_Shelter_t[[#This Row],[HH Covered]],0)</f>
        <v>800</v>
      </c>
      <c r="V59" s="294" t="s">
        <v>584</v>
      </c>
      <c r="W59" s="414" t="str">
        <f ca="1">IFERROR(OFFSET(Camp_List[Status],MATCH(Data_Shelter_t[[#This Row],[Camp Name/ Relocation Sites]],Camp_List[Camp Name],0)-1,0,1,1),"")</f>
        <v>Open</v>
      </c>
      <c r="X59" s="393">
        <f ca="1">IFERROR(Data_Shelter_t[[#This Row],[HH Covered]]/OFFSET(Camp_List[HH],MATCH(Data_Shelter_t[[#This Row],[Camp Name/ Relocation Sites]],Camp_List[Camp Name],0)-1,0,1,1),"")</f>
        <v>0.59701492537313428</v>
      </c>
      <c r="Y59" s="670">
        <f>Data_Shelter_t[[#This Row],['# of Permanent House Planned (Target)]]+Data_Shelter_t[[#This Row],['# of Individual House Planned (Target)]]</f>
        <v>0</v>
      </c>
      <c r="Z59" s="670">
        <f>Data_Shelter_t[[#This Row],['# of Permanent House Built]]+Data_Shelter_t[[#This Row],['# of Individual House Built]]</f>
        <v>0</v>
      </c>
      <c r="AU59" s="669"/>
    </row>
    <row r="60" spans="1:47" ht="23.25" customHeight="1" x14ac:dyDescent="0.25">
      <c r="A60" s="408">
        <v>41548</v>
      </c>
      <c r="B60" s="293" t="s">
        <v>520</v>
      </c>
      <c r="C60" s="293" t="s">
        <v>520</v>
      </c>
      <c r="D60" s="293" t="s">
        <v>7</v>
      </c>
      <c r="E60" s="295" t="s">
        <v>17</v>
      </c>
      <c r="F60" s="293" t="s">
        <v>582</v>
      </c>
      <c r="G60" s="670">
        <v>8</v>
      </c>
      <c r="H60" s="293"/>
      <c r="I60" s="293"/>
      <c r="J60" s="19">
        <v>14</v>
      </c>
      <c r="K60" s="670">
        <v>14</v>
      </c>
      <c r="L60" s="670"/>
      <c r="M60" s="670"/>
      <c r="N60" s="670"/>
      <c r="O60" s="293"/>
      <c r="P60" s="208"/>
      <c r="Q60" s="293"/>
      <c r="R60" s="293"/>
      <c r="S60" s="88"/>
      <c r="T60" s="88">
        <v>112</v>
      </c>
      <c r="U60" s="88">
        <f ca="1">IF(Data_Shelter_t[[#This Row],[Status]]="Open",Data_Shelter_t[[#This Row],[HH Covered]],0)</f>
        <v>112</v>
      </c>
      <c r="V60" s="294" t="s">
        <v>584</v>
      </c>
      <c r="W60" s="414" t="str">
        <f ca="1">IFERROR(OFFSET(Camp_List[Status],MATCH(Data_Shelter_t[[#This Row],[Camp Name/ Relocation Sites]],Camp_List[Camp Name],0)-1,0,1,1),"")</f>
        <v>Open</v>
      </c>
      <c r="X60" s="393">
        <f ca="1">IFERROR(Data_Shelter_t[[#This Row],[HH Covered]]/OFFSET(Camp_List[HH],MATCH(Data_Shelter_t[[#This Row],[Camp Name/ Relocation Sites]],Camp_List[Camp Name],0)-1,0,1,1),"")</f>
        <v>8.3582089552238809E-2</v>
      </c>
      <c r="Y60" s="19">
        <f>Data_Shelter_t[[#This Row],['# of Permanent House Planned (Target)]]+Data_Shelter_t[[#This Row],['# of Individual House Planned (Target)]]</f>
        <v>0</v>
      </c>
      <c r="Z60" s="19">
        <f>Data_Shelter_t[[#This Row],['# of Permanent House Built]]+Data_Shelter_t[[#This Row],['# of Individual House Built]]</f>
        <v>0</v>
      </c>
      <c r="AU60" s="669"/>
    </row>
    <row r="61" spans="1:47" ht="23.25" customHeight="1" x14ac:dyDescent="0.25">
      <c r="A61" s="408">
        <v>41548</v>
      </c>
      <c r="B61" s="294" t="s">
        <v>281</v>
      </c>
      <c r="C61" s="294" t="s">
        <v>281</v>
      </c>
      <c r="D61" s="294" t="s">
        <v>7</v>
      </c>
      <c r="E61" s="306" t="s">
        <v>17</v>
      </c>
      <c r="F61" s="294" t="s">
        <v>582</v>
      </c>
      <c r="G61" s="19">
        <v>10</v>
      </c>
      <c r="H61" s="294"/>
      <c r="I61" s="294"/>
      <c r="J61" s="19">
        <v>40</v>
      </c>
      <c r="K61" s="19">
        <v>40</v>
      </c>
      <c r="L61" s="19"/>
      <c r="M61" s="19"/>
      <c r="N61" s="19"/>
      <c r="O61" s="294"/>
      <c r="P61" s="428"/>
      <c r="Q61" s="294"/>
      <c r="R61" s="294"/>
      <c r="S61" s="88"/>
      <c r="T61" s="88">
        <v>400</v>
      </c>
      <c r="U61" s="88">
        <f ca="1">IF(Data_Shelter_t[[#This Row],[Status]]="Open",Data_Shelter_t[[#This Row],[HH Covered]],0)</f>
        <v>400</v>
      </c>
      <c r="V61" s="294" t="s">
        <v>584</v>
      </c>
      <c r="W61" s="414" t="str">
        <f ca="1">IFERROR(OFFSET(Camp_List[Status],MATCH(Data_Shelter_t[[#This Row],[Camp Name/ Relocation Sites]],Camp_List[Camp Name],0)-1,0,1,1),"")</f>
        <v>Open</v>
      </c>
      <c r="X61" s="393">
        <f ca="1">IFERROR(Data_Shelter_t[[#This Row],[HH Covered]]/OFFSET(Camp_List[HH],MATCH(Data_Shelter_t[[#This Row],[Camp Name/ Relocation Sites]],Camp_List[Camp Name],0)-1,0,1,1),"")</f>
        <v>0.29850746268656714</v>
      </c>
      <c r="Y61" s="19">
        <f>Data_Shelter_t[[#This Row],['# of Permanent House Planned (Target)]]+Data_Shelter_t[[#This Row],['# of Individual House Planned (Target)]]</f>
        <v>0</v>
      </c>
      <c r="Z61" s="19">
        <f>Data_Shelter_t[[#This Row],['# of Permanent House Built]]+Data_Shelter_t[[#This Row],['# of Individual House Built]]</f>
        <v>0</v>
      </c>
      <c r="AU61" s="669"/>
    </row>
    <row r="62" spans="1:47" ht="23.25" customHeight="1" x14ac:dyDescent="0.25">
      <c r="A62" s="408">
        <v>41548</v>
      </c>
      <c r="B62" s="293" t="s">
        <v>425</v>
      </c>
      <c r="C62" s="293" t="s">
        <v>425</v>
      </c>
      <c r="D62" s="293" t="s">
        <v>7</v>
      </c>
      <c r="E62" s="295" t="s">
        <v>17</v>
      </c>
      <c r="F62" s="293" t="s">
        <v>61</v>
      </c>
      <c r="G62" s="670">
        <v>8</v>
      </c>
      <c r="H62" s="293"/>
      <c r="I62" s="293"/>
      <c r="J62" s="670">
        <v>41</v>
      </c>
      <c r="K62" s="670">
        <v>41</v>
      </c>
      <c r="L62" s="670"/>
      <c r="M62" s="670"/>
      <c r="N62" s="670"/>
      <c r="O62" s="293"/>
      <c r="P62" s="208"/>
      <c r="Q62" s="293"/>
      <c r="R62" s="293"/>
      <c r="S62" s="88"/>
      <c r="T62" s="88">
        <v>328</v>
      </c>
      <c r="U62" s="88">
        <f ca="1">IF(Data_Shelter_t[[#This Row],[Status]]="Open",Data_Shelter_t[[#This Row],[HH Covered]],0)</f>
        <v>328</v>
      </c>
      <c r="V62" s="294" t="s">
        <v>147</v>
      </c>
      <c r="W62" s="414" t="str">
        <f ca="1">IFERROR(OFFSET(Camp_List[Status],MATCH(Data_Shelter_t[[#This Row],[Camp Name/ Relocation Sites]],Camp_List[Camp Name],0)-1,0,1,1),"")</f>
        <v>Open</v>
      </c>
      <c r="X62" s="393">
        <f ca="1">IFERROR(Data_Shelter_t[[#This Row],[HH Covered]]/OFFSET(Camp_List[HH],MATCH(Data_Shelter_t[[#This Row],[Camp Name/ Relocation Sites]],Camp_List[Camp Name],0)-1,0,1,1),"")</f>
        <v>0.16540595057992941</v>
      </c>
      <c r="Y62" s="670">
        <f>Data_Shelter_t[[#This Row],['# of Permanent House Planned (Target)]]+Data_Shelter_t[[#This Row],['# of Individual House Planned (Target)]]</f>
        <v>0</v>
      </c>
      <c r="Z62" s="670">
        <f>Data_Shelter_t[[#This Row],['# of Permanent House Built]]+Data_Shelter_t[[#This Row],['# of Individual House Built]]</f>
        <v>0</v>
      </c>
      <c r="AU62" s="669"/>
    </row>
    <row r="63" spans="1:47" ht="23.25" customHeight="1" x14ac:dyDescent="0.25">
      <c r="A63" s="408">
        <v>41548</v>
      </c>
      <c r="B63" s="293" t="s">
        <v>278</v>
      </c>
      <c r="C63" s="293" t="s">
        <v>278</v>
      </c>
      <c r="D63" s="293" t="s">
        <v>7</v>
      </c>
      <c r="E63" s="295" t="s">
        <v>17</v>
      </c>
      <c r="F63" s="293" t="s">
        <v>61</v>
      </c>
      <c r="G63" s="26">
        <v>8</v>
      </c>
      <c r="H63" s="293"/>
      <c r="I63" s="293"/>
      <c r="J63" s="26">
        <v>141</v>
      </c>
      <c r="K63" s="26">
        <v>141</v>
      </c>
      <c r="L63" s="26"/>
      <c r="M63" s="26"/>
      <c r="N63" s="26"/>
      <c r="O63" s="293"/>
      <c r="P63" s="208"/>
      <c r="Q63" s="293"/>
      <c r="R63" s="293"/>
      <c r="S63" s="88"/>
      <c r="T63" s="88">
        <v>1128</v>
      </c>
      <c r="U63" s="88">
        <f ca="1">IF(Data_Shelter_t[[#This Row],[Status]]="Open",Data_Shelter_t[[#This Row],[HH Covered]],0)</f>
        <v>1128</v>
      </c>
      <c r="V63" s="294" t="s">
        <v>147</v>
      </c>
      <c r="W63" s="414" t="str">
        <f ca="1">IFERROR(OFFSET(Camp_List[Status],MATCH(Data_Shelter_t[[#This Row],[Camp Name/ Relocation Sites]],Camp_List[Camp Name],0)-1,0,1,1),"")</f>
        <v>Open</v>
      </c>
      <c r="X63" s="393">
        <f ca="1">IFERROR(Data_Shelter_t[[#This Row],[HH Covered]]/OFFSET(Camp_List[HH],MATCH(Data_Shelter_t[[#This Row],[Camp Name/ Relocation Sites]],Camp_List[Camp Name],0)-1,0,1,1),"")</f>
        <v>0.56883509833585477</v>
      </c>
      <c r="Y63" s="26">
        <f>Data_Shelter_t[[#This Row],['# of Permanent House Planned (Target)]]+Data_Shelter_t[[#This Row],['# of Individual House Planned (Target)]]</f>
        <v>0</v>
      </c>
      <c r="Z63" s="670">
        <f>Data_Shelter_t[[#This Row],['# of Permanent House Built]]+Data_Shelter_t[[#This Row],['# of Individual House Built]]</f>
        <v>0</v>
      </c>
      <c r="AU63" s="669"/>
    </row>
    <row r="64" spans="1:47" ht="23.25" customHeight="1" x14ac:dyDescent="0.25">
      <c r="A64" s="408">
        <v>41548</v>
      </c>
      <c r="B64" s="293" t="s">
        <v>425</v>
      </c>
      <c r="C64" s="293" t="s">
        <v>425</v>
      </c>
      <c r="D64" s="293" t="s">
        <v>7</v>
      </c>
      <c r="E64" s="295" t="s">
        <v>17</v>
      </c>
      <c r="F64" s="293" t="s">
        <v>62</v>
      </c>
      <c r="G64" s="26">
        <v>8</v>
      </c>
      <c r="H64" s="293"/>
      <c r="I64" s="293"/>
      <c r="J64" s="26">
        <v>25</v>
      </c>
      <c r="K64" s="26">
        <v>25</v>
      </c>
      <c r="L64" s="26"/>
      <c r="M64" s="26"/>
      <c r="N64" s="26"/>
      <c r="O64" s="293"/>
      <c r="P64" s="208"/>
      <c r="Q64" s="293"/>
      <c r="R64" s="293"/>
      <c r="S64" s="88"/>
      <c r="T64" s="88">
        <v>200</v>
      </c>
      <c r="U64" s="88">
        <f ca="1">IF(Data_Shelter_t[[#This Row],[Status]]="Open",Data_Shelter_t[[#This Row],[HH Covered]],0)</f>
        <v>200</v>
      </c>
      <c r="V64" s="294" t="s">
        <v>148</v>
      </c>
      <c r="W64" s="414" t="str">
        <f ca="1">IFERROR(OFFSET(Camp_List[Status],MATCH(Data_Shelter_t[[#This Row],[Camp Name/ Relocation Sites]],Camp_List[Camp Name],0)-1,0,1,1),"")</f>
        <v>Open</v>
      </c>
      <c r="X64" s="393">
        <f ca="1">IFERROR(Data_Shelter_t[[#This Row],[HH Covered]]/OFFSET(Camp_List[HH],MATCH(Data_Shelter_t[[#This Row],[Camp Name/ Relocation Sites]],Camp_List[Camp Name],0)-1,0,1,1),"")</f>
        <v>0.25031289111389238</v>
      </c>
      <c r="Y64" s="26">
        <f>Data_Shelter_t[[#This Row],['# of Permanent House Planned (Target)]]+Data_Shelter_t[[#This Row],['# of Individual House Planned (Target)]]</f>
        <v>0</v>
      </c>
      <c r="Z64" s="670">
        <f>Data_Shelter_t[[#This Row],['# of Permanent House Built]]+Data_Shelter_t[[#This Row],['# of Individual House Built]]</f>
        <v>0</v>
      </c>
      <c r="AU64" s="669"/>
    </row>
    <row r="65" spans="1:47" s="5" customFormat="1" ht="23.25" customHeight="1" x14ac:dyDescent="0.25">
      <c r="A65" s="408">
        <v>41548</v>
      </c>
      <c r="B65" s="293" t="s">
        <v>278</v>
      </c>
      <c r="C65" s="293" t="s">
        <v>278</v>
      </c>
      <c r="D65" s="293" t="s">
        <v>7</v>
      </c>
      <c r="E65" s="295" t="s">
        <v>17</v>
      </c>
      <c r="F65" s="293" t="s">
        <v>62</v>
      </c>
      <c r="G65" s="670">
        <v>8</v>
      </c>
      <c r="H65" s="293"/>
      <c r="I65" s="293"/>
      <c r="J65" s="670">
        <v>75</v>
      </c>
      <c r="K65" s="670">
        <v>75</v>
      </c>
      <c r="L65" s="670"/>
      <c r="M65" s="670"/>
      <c r="N65" s="670"/>
      <c r="O65" s="293"/>
      <c r="P65" s="208"/>
      <c r="Q65" s="293"/>
      <c r="R65" s="293"/>
      <c r="S65" s="88"/>
      <c r="T65" s="88">
        <v>600</v>
      </c>
      <c r="U65" s="88">
        <f ca="1">IF(Data_Shelter_t[[#This Row],[Status]]="Open",Data_Shelter_t[[#This Row],[HH Covered]],0)</f>
        <v>600</v>
      </c>
      <c r="V65" s="294" t="s">
        <v>148</v>
      </c>
      <c r="W65" s="414" t="str">
        <f ca="1">IFERROR(OFFSET(Camp_List[Status],MATCH(Data_Shelter_t[[#This Row],[Camp Name/ Relocation Sites]],Camp_List[Camp Name],0)-1,0,1,1),"")</f>
        <v>Open</v>
      </c>
      <c r="X65" s="393">
        <f ca="1">IFERROR(Data_Shelter_t[[#This Row],[HH Covered]]/OFFSET(Camp_List[HH],MATCH(Data_Shelter_t[[#This Row],[Camp Name/ Relocation Sites]],Camp_List[Camp Name],0)-1,0,1,1),"")</f>
        <v>0.75093867334167708</v>
      </c>
      <c r="Y65" s="670">
        <f>Data_Shelter_t[[#This Row],['# of Permanent House Planned (Target)]]+Data_Shelter_t[[#This Row],['# of Individual House Planned (Target)]]</f>
        <v>0</v>
      </c>
      <c r="Z65" s="670">
        <f>Data_Shelter_t[[#This Row],['# of Permanent House Built]]+Data_Shelter_t[[#This Row],['# of Individual House Built]]</f>
        <v>0</v>
      </c>
      <c r="AA65" s="38"/>
      <c r="AU65" s="669"/>
    </row>
    <row r="66" spans="1:47" s="5" customFormat="1" ht="23.25" customHeight="1" x14ac:dyDescent="0.25">
      <c r="A66" s="1054">
        <v>41548</v>
      </c>
      <c r="B66" s="293" t="s">
        <v>270</v>
      </c>
      <c r="C66" s="293" t="s">
        <v>270</v>
      </c>
      <c r="D66" s="293" t="s">
        <v>7</v>
      </c>
      <c r="E66" s="295" t="s">
        <v>13</v>
      </c>
      <c r="F66" s="293" t="s">
        <v>40</v>
      </c>
      <c r="G66" s="670">
        <v>8</v>
      </c>
      <c r="H66" s="293"/>
      <c r="I66" s="293"/>
      <c r="J66" s="670">
        <v>86</v>
      </c>
      <c r="K66" s="670">
        <v>86</v>
      </c>
      <c r="L66" s="670"/>
      <c r="M66" s="670"/>
      <c r="N66" s="670"/>
      <c r="O66" s="293"/>
      <c r="P66" s="208"/>
      <c r="Q66" s="293"/>
      <c r="R66" s="293"/>
      <c r="S66" s="88"/>
      <c r="T66" s="88">
        <f>86*8</f>
        <v>688</v>
      </c>
      <c r="U66" s="88">
        <f ca="1">IF(Data_Shelter_t[[#This Row],[Status]]="Open",Data_Shelter_t[[#This Row],[HH Covered]],0)</f>
        <v>688</v>
      </c>
      <c r="V66" s="294" t="s">
        <v>126</v>
      </c>
      <c r="W66" s="414" t="str">
        <f ca="1">IFERROR(OFFSET(Camp_List[Status],MATCH(Data_Shelter_t[[#This Row],[Camp Name/ Relocation Sites]],Camp_List[Camp Name],0)-1,0,1,1),"")</f>
        <v>Open</v>
      </c>
      <c r="X66" s="393">
        <f ca="1">IFERROR(Data_Shelter_t[[#This Row],[HH Covered]]/OFFSET(Camp_List[HH],MATCH(Data_Shelter_t[[#This Row],[Camp Name/ Relocation Sites]],Camp_List[Camp Name],0)-1,0,1,1),"")</f>
        <v>0.51228592702903941</v>
      </c>
      <c r="Y66" s="670">
        <f>Data_Shelter_t[[#This Row],['# of Permanent House Planned (Target)]]+Data_Shelter_t[[#This Row],['# of Individual House Planned (Target)]]</f>
        <v>0</v>
      </c>
      <c r="Z66" s="670">
        <f>Data_Shelter_t[[#This Row],['# of Permanent House Built]]+Data_Shelter_t[[#This Row],['# of Individual House Built]]</f>
        <v>0</v>
      </c>
      <c r="AA66" s="38"/>
      <c r="AU66" s="669"/>
    </row>
    <row r="67" spans="1:47" s="5" customFormat="1" ht="23.25" customHeight="1" x14ac:dyDescent="0.25">
      <c r="A67" s="408">
        <v>41548</v>
      </c>
      <c r="B67" s="293" t="s">
        <v>278</v>
      </c>
      <c r="C67" s="293" t="s">
        <v>278</v>
      </c>
      <c r="D67" s="293" t="s">
        <v>7</v>
      </c>
      <c r="E67" s="295" t="s">
        <v>17</v>
      </c>
      <c r="F67" s="293" t="s">
        <v>580</v>
      </c>
      <c r="G67" s="26">
        <v>8</v>
      </c>
      <c r="H67" s="293"/>
      <c r="I67" s="293"/>
      <c r="J67" s="26">
        <v>78</v>
      </c>
      <c r="K67" s="26">
        <v>78</v>
      </c>
      <c r="L67" s="26"/>
      <c r="M67" s="26"/>
      <c r="N67" s="26"/>
      <c r="O67" s="293"/>
      <c r="P67" s="208"/>
      <c r="Q67" s="293"/>
      <c r="R67" s="293"/>
      <c r="S67" s="88"/>
      <c r="T67" s="88">
        <v>624</v>
      </c>
      <c r="U67" s="88">
        <f ca="1">IF(Data_Shelter_t[[#This Row],[Status]]="Open",Data_Shelter_t[[#This Row],[HH Covered]],0)</f>
        <v>624</v>
      </c>
      <c r="V67" s="294" t="s">
        <v>268</v>
      </c>
      <c r="W67" s="414" t="str">
        <f ca="1">IFERROR(OFFSET(Camp_List[Status],MATCH(Data_Shelter_t[[#This Row],[Camp Name/ Relocation Sites]],Camp_List[Camp Name],0)-1,0,1,1),"")</f>
        <v>Open</v>
      </c>
      <c r="X67" s="393">
        <f ca="1">IFERROR(Data_Shelter_t[[#This Row],[HH Covered]]/OFFSET(Camp_List[HH],MATCH(Data_Shelter_t[[#This Row],[Camp Name/ Relocation Sites]],Camp_List[Camp Name],0)-1,0,1,1),"")</f>
        <v>1.0048309178743962</v>
      </c>
      <c r="Y67" s="19">
        <f>Data_Shelter_t[[#This Row],['# of Permanent House Planned (Target)]]+Data_Shelter_t[[#This Row],['# of Individual House Planned (Target)]]</f>
        <v>0</v>
      </c>
      <c r="Z67" s="19">
        <f>Data_Shelter_t[[#This Row],['# of Permanent House Built]]+Data_Shelter_t[[#This Row],['# of Individual House Built]]</f>
        <v>0</v>
      </c>
      <c r="AA67" s="38"/>
      <c r="AU67" s="669"/>
    </row>
    <row r="68" spans="1:47" s="5" customFormat="1" ht="23.25" customHeight="1" x14ac:dyDescent="0.25">
      <c r="A68" s="408">
        <v>41548</v>
      </c>
      <c r="B68" s="293" t="s">
        <v>270</v>
      </c>
      <c r="C68" s="293" t="s">
        <v>270</v>
      </c>
      <c r="D68" s="293" t="s">
        <v>7</v>
      </c>
      <c r="E68" s="295" t="s">
        <v>13</v>
      </c>
      <c r="F68" s="293" t="s">
        <v>39</v>
      </c>
      <c r="G68" s="26">
        <v>8</v>
      </c>
      <c r="H68" s="293"/>
      <c r="I68" s="293"/>
      <c r="J68" s="26">
        <v>169</v>
      </c>
      <c r="K68" s="26">
        <v>169</v>
      </c>
      <c r="L68" s="670"/>
      <c r="M68" s="26"/>
      <c r="N68" s="26"/>
      <c r="O68" s="293"/>
      <c r="P68" s="208"/>
      <c r="Q68" s="293"/>
      <c r="R68" s="293"/>
      <c r="S68" s="88"/>
      <c r="T68" s="88">
        <v>1352</v>
      </c>
      <c r="U68" s="88">
        <f ca="1">IF(Data_Shelter_t[[#This Row],[Status]]="Open",Data_Shelter_t[[#This Row],[HH Covered]],0)</f>
        <v>0</v>
      </c>
      <c r="V68" s="294" t="s">
        <v>125</v>
      </c>
      <c r="W68" s="414" t="str">
        <f ca="1">IFERROR(OFFSET(Camp_List[Status],MATCH(Data_Shelter_t[[#This Row],[Camp Name/ Relocation Sites]],Camp_List[Camp Name],0)-1,0,1,1),"")</f>
        <v/>
      </c>
      <c r="X68" s="393" t="str">
        <f ca="1">IFERROR(Data_Shelter_t[[#This Row],[HH Covered]]/OFFSET(Camp_List[HH],MATCH(Data_Shelter_t[[#This Row],[Camp Name/ Relocation Sites]],Camp_List[Camp Name],0)-1,0,1,1),"")</f>
        <v/>
      </c>
      <c r="Y68" s="670">
        <f>Data_Shelter_t[[#This Row],['# of Permanent House Planned (Target)]]+Data_Shelter_t[[#This Row],['# of Individual House Planned (Target)]]</f>
        <v>0</v>
      </c>
      <c r="Z68" s="670">
        <f>Data_Shelter_t[[#This Row],['# of Permanent House Built]]+Data_Shelter_t[[#This Row],['# of Individual House Built]]</f>
        <v>0</v>
      </c>
      <c r="AA68" s="38"/>
      <c r="AU68" s="669"/>
    </row>
    <row r="69" spans="1:47" s="5" customFormat="1" ht="23.25" customHeight="1" x14ac:dyDescent="0.25">
      <c r="A69" s="807">
        <v>41548</v>
      </c>
      <c r="B69" s="293" t="s">
        <v>425</v>
      </c>
      <c r="C69" s="293" t="s">
        <v>425</v>
      </c>
      <c r="D69" s="293" t="s">
        <v>7</v>
      </c>
      <c r="E69" s="295" t="s">
        <v>17</v>
      </c>
      <c r="F69" s="293" t="s">
        <v>586</v>
      </c>
      <c r="G69" s="670">
        <v>8</v>
      </c>
      <c r="H69" s="293"/>
      <c r="I69" s="293"/>
      <c r="J69" s="670">
        <v>45</v>
      </c>
      <c r="K69" s="670">
        <v>45</v>
      </c>
      <c r="L69" s="670"/>
      <c r="M69" s="670"/>
      <c r="N69" s="670"/>
      <c r="O69" s="293"/>
      <c r="P69" s="208"/>
      <c r="Q69" s="293"/>
      <c r="R69" s="293"/>
      <c r="S69" s="88"/>
      <c r="T69" s="88">
        <v>360</v>
      </c>
      <c r="U69" s="88">
        <f ca="1">IF(Data_Shelter_t[[#This Row],[Status]]="Open",Data_Shelter_t[[#This Row],[HH Covered]],0)</f>
        <v>360</v>
      </c>
      <c r="V69" s="294" t="s">
        <v>588</v>
      </c>
      <c r="W69" s="414" t="str">
        <f ca="1">IFERROR(OFFSET(Camp_List[Status],MATCH(Data_Shelter_t[[#This Row],[Camp Name/ Relocation Sites]],Camp_List[Camp Name],0)-1,0,1,1),"")</f>
        <v>Open</v>
      </c>
      <c r="X69" s="393">
        <f ca="1">IFERROR(Data_Shelter_t[[#This Row],[HH Covered]]/OFFSET(Camp_List[HH],MATCH(Data_Shelter_t[[#This Row],[Camp Name/ Relocation Sites]],Camp_List[Camp Name],0)-1,0,1,1),"")</f>
        <v>0.13493253373313344</v>
      </c>
      <c r="Y69" s="670">
        <f>Data_Shelter_t[[#This Row],['# of Permanent House Planned (Target)]]+Data_Shelter_t[[#This Row],['# of Individual House Planned (Target)]]</f>
        <v>0</v>
      </c>
      <c r="Z69" s="670">
        <f>Data_Shelter_t[[#This Row],['# of Permanent House Built]]+Data_Shelter_t[[#This Row],['# of Individual House Built]]</f>
        <v>0</v>
      </c>
      <c r="AA69" s="38"/>
      <c r="AU69" s="669"/>
    </row>
    <row r="70" spans="1:47" s="5" customFormat="1" ht="21.75" customHeight="1" x14ac:dyDescent="0.25">
      <c r="A70" s="1054">
        <v>41548</v>
      </c>
      <c r="B70" s="293" t="s">
        <v>278</v>
      </c>
      <c r="C70" s="293" t="s">
        <v>278</v>
      </c>
      <c r="D70" s="293" t="s">
        <v>7</v>
      </c>
      <c r="E70" s="295" t="s">
        <v>17</v>
      </c>
      <c r="F70" s="293" t="s">
        <v>586</v>
      </c>
      <c r="G70" s="670">
        <v>8</v>
      </c>
      <c r="H70" s="293"/>
      <c r="I70" s="293"/>
      <c r="J70" s="670">
        <v>60</v>
      </c>
      <c r="K70" s="670">
        <v>60</v>
      </c>
      <c r="L70" s="19"/>
      <c r="M70" s="670"/>
      <c r="N70" s="670"/>
      <c r="O70" s="293"/>
      <c r="P70" s="208"/>
      <c r="Q70" s="293"/>
      <c r="R70" s="293"/>
      <c r="S70" s="88"/>
      <c r="T70" s="88">
        <v>480</v>
      </c>
      <c r="U70" s="88">
        <f ca="1">IF(Data_Shelter_t[[#This Row],[Status]]="Open",Data_Shelter_t[[#This Row],[HH Covered]],0)</f>
        <v>480</v>
      </c>
      <c r="V70" s="294" t="s">
        <v>588</v>
      </c>
      <c r="W70" s="414" t="str">
        <f ca="1">IFERROR(OFFSET(Camp_List[Status],MATCH(Data_Shelter_t[[#This Row],[Camp Name/ Relocation Sites]],Camp_List[Camp Name],0)-1,0,1,1),"")</f>
        <v>Open</v>
      </c>
      <c r="X70" s="393">
        <f ca="1">IFERROR(Data_Shelter_t[[#This Row],[HH Covered]]/OFFSET(Camp_List[HH],MATCH(Data_Shelter_t[[#This Row],[Camp Name/ Relocation Sites]],Camp_List[Camp Name],0)-1,0,1,1),"")</f>
        <v>0.17991004497751126</v>
      </c>
      <c r="Y70" s="670">
        <f>Data_Shelter_t[[#This Row],['# of Permanent House Planned (Target)]]+Data_Shelter_t[[#This Row],['# of Individual House Planned (Target)]]</f>
        <v>0</v>
      </c>
      <c r="Z70" s="670">
        <f>Data_Shelter_t[[#This Row],['# of Permanent House Built]]+Data_Shelter_t[[#This Row],['# of Individual House Built]]</f>
        <v>0</v>
      </c>
      <c r="AA70" s="38"/>
      <c r="AU70" s="669"/>
    </row>
    <row r="71" spans="1:47" s="5" customFormat="1" ht="23.25" customHeight="1" x14ac:dyDescent="0.25">
      <c r="A71" s="826">
        <v>41548</v>
      </c>
      <c r="B71" s="294" t="s">
        <v>574</v>
      </c>
      <c r="C71" s="294" t="s">
        <v>574</v>
      </c>
      <c r="D71" s="294" t="s">
        <v>7</v>
      </c>
      <c r="E71" s="306" t="s">
        <v>17</v>
      </c>
      <c r="F71" s="294" t="s">
        <v>586</v>
      </c>
      <c r="G71" s="19">
        <v>8</v>
      </c>
      <c r="H71" s="294"/>
      <c r="I71" s="294"/>
      <c r="J71" s="19">
        <v>115</v>
      </c>
      <c r="K71" s="19">
        <v>115</v>
      </c>
      <c r="L71" s="19"/>
      <c r="M71" s="19"/>
      <c r="N71" s="19"/>
      <c r="O71" s="294"/>
      <c r="P71" s="428"/>
      <c r="Q71" s="294"/>
      <c r="R71" s="294"/>
      <c r="S71" s="88"/>
      <c r="T71" s="88">
        <v>920</v>
      </c>
      <c r="U71" s="88">
        <f ca="1">IF(Data_Shelter_t[[#This Row],[Status]]="Open",Data_Shelter_t[[#This Row],[HH Covered]],0)</f>
        <v>920</v>
      </c>
      <c r="V71" s="294" t="s">
        <v>588</v>
      </c>
      <c r="W71" s="414" t="str">
        <f ca="1">IFERROR(OFFSET(Camp_List[Status],MATCH(Data_Shelter_t[[#This Row],[Camp Name/ Relocation Sites]],Camp_List[Camp Name],0)-1,0,1,1),"")</f>
        <v>Open</v>
      </c>
      <c r="X71" s="393">
        <f ca="1">IFERROR(Data_Shelter_t[[#This Row],[HH Covered]]/OFFSET(Camp_List[HH],MATCH(Data_Shelter_t[[#This Row],[Camp Name/ Relocation Sites]],Camp_List[Camp Name],0)-1,0,1,1),"")</f>
        <v>0.34482758620689657</v>
      </c>
      <c r="Y71" s="670">
        <f>Data_Shelter_t[[#This Row],['# of Permanent House Planned (Target)]]+Data_Shelter_t[[#This Row],['# of Individual House Planned (Target)]]</f>
        <v>0</v>
      </c>
      <c r="Z71" s="670">
        <f>Data_Shelter_t[[#This Row],['# of Permanent House Built]]+Data_Shelter_t[[#This Row],['# of Individual House Built]]</f>
        <v>0</v>
      </c>
      <c r="AA71" s="38"/>
      <c r="AU71" s="669"/>
    </row>
    <row r="72" spans="1:47" s="5" customFormat="1" ht="23.25" customHeight="1" x14ac:dyDescent="0.25">
      <c r="A72" s="408">
        <v>41548</v>
      </c>
      <c r="B72" s="293" t="s">
        <v>270</v>
      </c>
      <c r="C72" s="293" t="s">
        <v>270</v>
      </c>
      <c r="D72" s="293" t="s">
        <v>7</v>
      </c>
      <c r="E72" s="295" t="s">
        <v>17</v>
      </c>
      <c r="F72" s="293" t="s">
        <v>586</v>
      </c>
      <c r="G72" s="26">
        <v>8</v>
      </c>
      <c r="H72" s="293"/>
      <c r="I72" s="293"/>
      <c r="J72" s="19">
        <v>115</v>
      </c>
      <c r="K72" s="670">
        <v>115</v>
      </c>
      <c r="L72" s="670"/>
      <c r="M72" s="670"/>
      <c r="N72" s="670"/>
      <c r="O72" s="293"/>
      <c r="P72" s="208"/>
      <c r="Q72" s="293"/>
      <c r="R72" s="293"/>
      <c r="S72" s="88"/>
      <c r="T72" s="88">
        <v>920</v>
      </c>
      <c r="U72" s="88">
        <f ca="1">IF(Data_Shelter_t[[#This Row],[Status]]="Open",Data_Shelter_t[[#This Row],[HH Covered]],0)</f>
        <v>920</v>
      </c>
      <c r="V72" s="294" t="s">
        <v>588</v>
      </c>
      <c r="W72" s="414" t="str">
        <f ca="1">IFERROR(OFFSET(Camp_List[Status],MATCH(Data_Shelter_t[[#This Row],[Camp Name/ Relocation Sites]],Camp_List[Camp Name],0)-1,0,1,1),"")</f>
        <v>Open</v>
      </c>
      <c r="X72" s="393">
        <f ca="1">IFERROR(Data_Shelter_t[[#This Row],[HH Covered]]/OFFSET(Camp_List[HH],MATCH(Data_Shelter_t[[#This Row],[Camp Name/ Relocation Sites]],Camp_List[Camp Name],0)-1,0,1,1),"")</f>
        <v>0.34482758620689657</v>
      </c>
      <c r="Y72" s="670">
        <f>Data_Shelter_t[[#This Row],['# of Permanent House Planned (Target)]]+Data_Shelter_t[[#This Row],['# of Individual House Planned (Target)]]</f>
        <v>0</v>
      </c>
      <c r="Z72" s="670">
        <f>Data_Shelter_t[[#This Row],['# of Permanent House Built]]+Data_Shelter_t[[#This Row],['# of Individual House Built]]</f>
        <v>0</v>
      </c>
      <c r="AA72" s="38"/>
      <c r="AU72" s="669"/>
    </row>
    <row r="73" spans="1:47" s="5" customFormat="1" ht="23.25" customHeight="1" x14ac:dyDescent="0.25">
      <c r="A73" s="408">
        <v>41548</v>
      </c>
      <c r="B73" s="293" t="s">
        <v>278</v>
      </c>
      <c r="C73" s="293" t="s">
        <v>278</v>
      </c>
      <c r="D73" s="293" t="s">
        <v>7</v>
      </c>
      <c r="E73" s="295" t="s">
        <v>17</v>
      </c>
      <c r="F73" s="293" t="s">
        <v>587</v>
      </c>
      <c r="G73" s="26">
        <v>8</v>
      </c>
      <c r="H73" s="293"/>
      <c r="I73" s="293"/>
      <c r="J73" s="26">
        <v>221</v>
      </c>
      <c r="K73" s="26">
        <v>221</v>
      </c>
      <c r="L73" s="19"/>
      <c r="M73" s="26"/>
      <c r="N73" s="26"/>
      <c r="O73" s="293"/>
      <c r="P73" s="208"/>
      <c r="Q73" s="293"/>
      <c r="R73" s="293"/>
      <c r="S73" s="88"/>
      <c r="T73" s="88">
        <v>1768</v>
      </c>
      <c r="U73" s="88">
        <f ca="1">IF(Data_Shelter_t[[#This Row],[Status]]="Open",Data_Shelter_t[[#This Row],[HH Covered]],0)</f>
        <v>1768</v>
      </c>
      <c r="V73" s="294" t="s">
        <v>589</v>
      </c>
      <c r="W73" s="414" t="str">
        <f ca="1">IFERROR(OFFSET(Camp_List[Status],MATCH(Data_Shelter_t[[#This Row],[Camp Name/ Relocation Sites]],Camp_List[Camp Name],0)-1,0,1,1),"")</f>
        <v>Open</v>
      </c>
      <c r="X73" s="393">
        <f ca="1">IFERROR(Data_Shelter_t[[#This Row],[HH Covered]]/OFFSET(Camp_List[HH],MATCH(Data_Shelter_t[[#This Row],[Camp Name/ Relocation Sites]],Camp_List[Camp Name],0)-1,0,1,1),"")</f>
        <v>0.78264718902169106</v>
      </c>
      <c r="Y73" s="670">
        <f>Data_Shelter_t[[#This Row],['# of Permanent House Planned (Target)]]+Data_Shelter_t[[#This Row],['# of Individual House Planned (Target)]]</f>
        <v>0</v>
      </c>
      <c r="Z73" s="670">
        <f>Data_Shelter_t[[#This Row],['# of Permanent House Built]]+Data_Shelter_t[[#This Row],['# of Individual House Built]]</f>
        <v>0</v>
      </c>
      <c r="AA73" s="38"/>
      <c r="AU73" s="669"/>
    </row>
    <row r="74" spans="1:47" s="5" customFormat="1" ht="23.25" customHeight="1" x14ac:dyDescent="0.25">
      <c r="A74" s="408">
        <v>41548</v>
      </c>
      <c r="B74" s="293" t="s">
        <v>278</v>
      </c>
      <c r="C74" s="293" t="s">
        <v>278</v>
      </c>
      <c r="D74" s="293" t="s">
        <v>7</v>
      </c>
      <c r="E74" s="295" t="s">
        <v>17</v>
      </c>
      <c r="F74" s="293" t="s">
        <v>587</v>
      </c>
      <c r="G74" s="26">
        <v>10</v>
      </c>
      <c r="H74" s="293"/>
      <c r="I74" s="293"/>
      <c r="J74" s="26">
        <v>20</v>
      </c>
      <c r="K74" s="26">
        <v>20</v>
      </c>
      <c r="L74" s="26"/>
      <c r="M74" s="26"/>
      <c r="N74" s="26"/>
      <c r="O74" s="293"/>
      <c r="P74" s="208"/>
      <c r="Q74" s="293"/>
      <c r="R74" s="293"/>
      <c r="S74" s="88"/>
      <c r="T74" s="88">
        <v>200</v>
      </c>
      <c r="U74" s="88">
        <f ca="1">IF(Data_Shelter_t[[#This Row],[Status]]="Open",Data_Shelter_t[[#This Row],[HH Covered]],0)</f>
        <v>200</v>
      </c>
      <c r="V74" s="294" t="s">
        <v>589</v>
      </c>
      <c r="W74" s="414" t="str">
        <f ca="1">IFERROR(OFFSET(Camp_List[Status],MATCH(Data_Shelter_t[[#This Row],[Camp Name/ Relocation Sites]],Camp_List[Camp Name],0)-1,0,1,1),"")</f>
        <v>Open</v>
      </c>
      <c r="X74" s="393">
        <f ca="1">IFERROR(Data_Shelter_t[[#This Row],[HH Covered]]/OFFSET(Camp_List[HH],MATCH(Data_Shelter_t[[#This Row],[Camp Name/ Relocation Sites]],Camp_List[Camp Name],0)-1,0,1,1),"")</f>
        <v>8.8534749889331563E-2</v>
      </c>
      <c r="Y74" s="670">
        <f>Data_Shelter_t[[#This Row],['# of Permanent House Planned (Target)]]+Data_Shelter_t[[#This Row],['# of Individual House Planned (Target)]]</f>
        <v>0</v>
      </c>
      <c r="Z74" s="670">
        <f>Data_Shelter_t[[#This Row],['# of Permanent House Built]]+Data_Shelter_t[[#This Row],['# of Individual House Built]]</f>
        <v>0</v>
      </c>
      <c r="AA74" s="38"/>
      <c r="AU74" s="669"/>
    </row>
    <row r="75" spans="1:47" s="5" customFormat="1" ht="23.25" customHeight="1" x14ac:dyDescent="0.25">
      <c r="A75" s="408">
        <v>41548</v>
      </c>
      <c r="B75" s="293" t="s">
        <v>270</v>
      </c>
      <c r="C75" s="293" t="s">
        <v>270</v>
      </c>
      <c r="D75" s="293" t="s">
        <v>7</v>
      </c>
      <c r="E75" s="295" t="s">
        <v>17</v>
      </c>
      <c r="F75" s="293" t="s">
        <v>587</v>
      </c>
      <c r="G75" s="670">
        <v>8</v>
      </c>
      <c r="H75" s="293"/>
      <c r="I75" s="293"/>
      <c r="J75" s="670">
        <v>35</v>
      </c>
      <c r="K75" s="670">
        <v>35</v>
      </c>
      <c r="L75" s="670"/>
      <c r="M75" s="670"/>
      <c r="N75" s="670"/>
      <c r="O75" s="293"/>
      <c r="P75" s="293"/>
      <c r="Q75" s="293"/>
      <c r="R75" s="293"/>
      <c r="S75" s="88"/>
      <c r="T75" s="88">
        <v>280</v>
      </c>
      <c r="U75" s="88">
        <f ca="1">IF(Data_Shelter_t[[#This Row],[Status]]="Open",Data_Shelter_t[[#This Row],[HH Covered]],0)</f>
        <v>280</v>
      </c>
      <c r="V75" s="294" t="s">
        <v>589</v>
      </c>
      <c r="W75" s="414" t="str">
        <f ca="1">IFERROR(OFFSET(Camp_List[Status],MATCH(Data_Shelter_t[[#This Row],[Camp Name/ Relocation Sites]],Camp_List[Camp Name],0)-1,0,1,1),"")</f>
        <v>Open</v>
      </c>
      <c r="X75" s="393">
        <f ca="1">IFERROR(Data_Shelter_t[[#This Row],[HH Covered]]/OFFSET(Camp_List[HH],MATCH(Data_Shelter_t[[#This Row],[Camp Name/ Relocation Sites]],Camp_List[Camp Name],0)-1,0,1,1),"")</f>
        <v>0.12394864984506419</v>
      </c>
      <c r="Y75" s="670">
        <f>Data_Shelter_t[[#This Row],['# of Permanent House Planned (Target)]]+Data_Shelter_t[[#This Row],['# of Individual House Planned (Target)]]</f>
        <v>0</v>
      </c>
      <c r="Z75" s="670">
        <f>Data_Shelter_t[[#This Row],['# of Permanent House Built]]+Data_Shelter_t[[#This Row],['# of Individual House Built]]</f>
        <v>0</v>
      </c>
      <c r="AA75" s="38"/>
      <c r="AU75" s="669"/>
    </row>
    <row r="76" spans="1:47" s="5" customFormat="1" ht="23.25" customHeight="1" x14ac:dyDescent="0.25">
      <c r="A76" s="408">
        <v>41548</v>
      </c>
      <c r="B76" s="293" t="s">
        <v>273</v>
      </c>
      <c r="C76" s="293" t="s">
        <v>273</v>
      </c>
      <c r="D76" s="293" t="s">
        <v>7</v>
      </c>
      <c r="E76" s="295" t="s">
        <v>17</v>
      </c>
      <c r="F76" s="293" t="s">
        <v>65</v>
      </c>
      <c r="G76" s="670">
        <v>8</v>
      </c>
      <c r="H76" s="293"/>
      <c r="I76" s="293"/>
      <c r="J76" s="670">
        <v>27</v>
      </c>
      <c r="K76" s="670">
        <v>27</v>
      </c>
      <c r="L76" s="670"/>
      <c r="M76" s="670"/>
      <c r="N76" s="670"/>
      <c r="O76" s="293"/>
      <c r="P76" s="293"/>
      <c r="Q76" s="293"/>
      <c r="R76" s="293"/>
      <c r="S76" s="88"/>
      <c r="T76" s="88">
        <v>216</v>
      </c>
      <c r="U76" s="88">
        <f ca="1">IF(Data_Shelter_t[[#This Row],[Status]]="Open",Data_Shelter_t[[#This Row],[HH Covered]],0)</f>
        <v>216</v>
      </c>
      <c r="V76" s="294" t="s">
        <v>151</v>
      </c>
      <c r="W76" s="414" t="str">
        <f ca="1">IFERROR(OFFSET(Camp_List[Status],MATCH(Data_Shelter_t[[#This Row],[Camp Name/ Relocation Sites]],Camp_List[Camp Name],0)-1,0,1,1),"")</f>
        <v>Open</v>
      </c>
      <c r="X76" s="393">
        <f ca="1">IFERROR(Data_Shelter_t[[#This Row],[HH Covered]]/OFFSET(Camp_List[HH],MATCH(Data_Shelter_t[[#This Row],[Camp Name/ Relocation Sites]],Camp_List[Camp Name],0)-1,0,1,1),"")</f>
        <v>8.0237741456166425E-2</v>
      </c>
      <c r="Y76" s="670">
        <f>Data_Shelter_t[[#This Row],['# of Permanent House Planned (Target)]]+Data_Shelter_t[[#This Row],['# of Individual House Planned (Target)]]</f>
        <v>0</v>
      </c>
      <c r="Z76" s="670">
        <f>Data_Shelter_t[[#This Row],['# of Permanent House Built]]+Data_Shelter_t[[#This Row],['# of Individual House Built]]</f>
        <v>0</v>
      </c>
      <c r="AA76" s="38"/>
      <c r="AU76" s="669"/>
    </row>
    <row r="77" spans="1:47" s="5" customFormat="1" ht="23.25" customHeight="1" x14ac:dyDescent="0.25">
      <c r="A77" s="408">
        <v>41548</v>
      </c>
      <c r="B77" s="293" t="s">
        <v>278</v>
      </c>
      <c r="C77" s="293" t="s">
        <v>278</v>
      </c>
      <c r="D77" s="293" t="s">
        <v>7</v>
      </c>
      <c r="E77" s="295" t="s">
        <v>17</v>
      </c>
      <c r="F77" s="293" t="s">
        <v>65</v>
      </c>
      <c r="G77" s="670">
        <v>10</v>
      </c>
      <c r="H77" s="293"/>
      <c r="I77" s="293"/>
      <c r="J77" s="670">
        <v>63</v>
      </c>
      <c r="K77" s="670">
        <v>63</v>
      </c>
      <c r="L77" s="670"/>
      <c r="M77" s="670"/>
      <c r="N77" s="670"/>
      <c r="O77" s="293"/>
      <c r="P77" s="293"/>
      <c r="Q77" s="293"/>
      <c r="R77" s="293"/>
      <c r="S77" s="88"/>
      <c r="T77" s="88">
        <v>630</v>
      </c>
      <c r="U77" s="88">
        <f ca="1">IF(Data_Shelter_t[[#This Row],[Status]]="Open",Data_Shelter_t[[#This Row],[HH Covered]],0)</f>
        <v>630</v>
      </c>
      <c r="V77" s="294" t="s">
        <v>151</v>
      </c>
      <c r="W77" s="414" t="str">
        <f ca="1">IFERROR(OFFSET(Camp_List[Status],MATCH(Data_Shelter_t[[#This Row],[Camp Name/ Relocation Sites]],Camp_List[Camp Name],0)-1,0,1,1),"")</f>
        <v>Open</v>
      </c>
      <c r="X77" s="393">
        <f ca="1">IFERROR(Data_Shelter_t[[#This Row],[HH Covered]]/OFFSET(Camp_List[HH],MATCH(Data_Shelter_t[[#This Row],[Camp Name/ Relocation Sites]],Camp_List[Camp Name],0)-1,0,1,1),"")</f>
        <v>0.23402674591381872</v>
      </c>
      <c r="Y77" s="670">
        <f>Data_Shelter_t[[#This Row],['# of Permanent House Planned (Target)]]+Data_Shelter_t[[#This Row],['# of Individual House Planned (Target)]]</f>
        <v>0</v>
      </c>
      <c r="Z77" s="670">
        <f>Data_Shelter_t[[#This Row],['# of Permanent House Built]]+Data_Shelter_t[[#This Row],['# of Individual House Built]]</f>
        <v>0</v>
      </c>
      <c r="AA77" s="38"/>
      <c r="AU77" s="669"/>
    </row>
    <row r="78" spans="1:47" s="5" customFormat="1" ht="23.25" customHeight="1" x14ac:dyDescent="0.25">
      <c r="A78" s="408">
        <v>41548</v>
      </c>
      <c r="B78" s="293" t="s">
        <v>282</v>
      </c>
      <c r="C78" s="293" t="s">
        <v>282</v>
      </c>
      <c r="D78" s="293" t="s">
        <v>7</v>
      </c>
      <c r="E78" s="295" t="s">
        <v>17</v>
      </c>
      <c r="F78" s="293" t="s">
        <v>65</v>
      </c>
      <c r="G78" s="26">
        <v>8</v>
      </c>
      <c r="H78" s="293"/>
      <c r="I78" s="293"/>
      <c r="J78" s="26">
        <v>40</v>
      </c>
      <c r="K78" s="26">
        <v>40</v>
      </c>
      <c r="L78" s="26"/>
      <c r="M78" s="26"/>
      <c r="N78" s="26"/>
      <c r="O78" s="293"/>
      <c r="P78" s="293"/>
      <c r="Q78" s="293"/>
      <c r="R78" s="293"/>
      <c r="S78" s="88"/>
      <c r="T78" s="88">
        <v>320</v>
      </c>
      <c r="U78" s="88">
        <f ca="1">IF(Data_Shelter_t[[#This Row],[Status]]="Open",Data_Shelter_t[[#This Row],[HH Covered]],0)</f>
        <v>320</v>
      </c>
      <c r="V78" s="294" t="s">
        <v>151</v>
      </c>
      <c r="W78" s="414" t="str">
        <f ca="1">IFERROR(OFFSET(Camp_List[Status],MATCH(Data_Shelter_t[[#This Row],[Camp Name/ Relocation Sites]],Camp_List[Camp Name],0)-1,0,1,1),"")</f>
        <v>Open</v>
      </c>
      <c r="X78" s="393">
        <f ca="1">IFERROR(Data_Shelter_t[[#This Row],[HH Covered]]/OFFSET(Camp_List[HH],MATCH(Data_Shelter_t[[#This Row],[Camp Name/ Relocation Sites]],Camp_List[Camp Name],0)-1,0,1,1),"")</f>
        <v>0.1188707280832095</v>
      </c>
      <c r="Y78" s="670">
        <f>Data_Shelter_t[[#This Row],['# of Permanent House Planned (Target)]]+Data_Shelter_t[[#This Row],['# of Individual House Planned (Target)]]</f>
        <v>0</v>
      </c>
      <c r="Z78" s="670">
        <f>Data_Shelter_t[[#This Row],['# of Permanent House Built]]+Data_Shelter_t[[#This Row],['# of Individual House Built]]</f>
        <v>0</v>
      </c>
      <c r="AA78" s="38"/>
      <c r="AU78" s="669"/>
    </row>
    <row r="79" spans="1:47" s="5" customFormat="1" ht="23.25" customHeight="1" x14ac:dyDescent="0.25">
      <c r="A79" s="408">
        <v>41548</v>
      </c>
      <c r="B79" s="293" t="s">
        <v>279</v>
      </c>
      <c r="C79" s="293" t="s">
        <v>279</v>
      </c>
      <c r="D79" s="293" t="s">
        <v>7</v>
      </c>
      <c r="E79" s="295" t="s">
        <v>17</v>
      </c>
      <c r="F79" s="293" t="s">
        <v>65</v>
      </c>
      <c r="G79" s="26">
        <v>8</v>
      </c>
      <c r="H79" s="293"/>
      <c r="I79" s="293"/>
      <c r="J79" s="26">
        <v>60</v>
      </c>
      <c r="K79" s="26">
        <v>60</v>
      </c>
      <c r="L79" s="670"/>
      <c r="M79" s="26"/>
      <c r="N79" s="26"/>
      <c r="O79" s="293"/>
      <c r="P79" s="293"/>
      <c r="Q79" s="293"/>
      <c r="R79" s="293"/>
      <c r="S79" s="88"/>
      <c r="T79" s="88">
        <v>480</v>
      </c>
      <c r="U79" s="88">
        <f ca="1">IF(Data_Shelter_t[[#This Row],[Status]]="Open",Data_Shelter_t[[#This Row],[HH Covered]],0)</f>
        <v>480</v>
      </c>
      <c r="V79" s="294" t="s">
        <v>151</v>
      </c>
      <c r="W79" s="414" t="str">
        <f ca="1">IFERROR(OFFSET(Camp_List[Status],MATCH(Data_Shelter_t[[#This Row],[Camp Name/ Relocation Sites]],Camp_List[Camp Name],0)-1,0,1,1),"")</f>
        <v>Open</v>
      </c>
      <c r="X79" s="393">
        <f ca="1">IFERROR(Data_Shelter_t[[#This Row],[HH Covered]]/OFFSET(Camp_List[HH],MATCH(Data_Shelter_t[[#This Row],[Camp Name/ Relocation Sites]],Camp_List[Camp Name],0)-1,0,1,1),"")</f>
        <v>0.17830609212481427</v>
      </c>
      <c r="Y79" s="670">
        <f>Data_Shelter_t[[#This Row],['# of Permanent House Planned (Target)]]+Data_Shelter_t[[#This Row],['# of Individual House Planned (Target)]]</f>
        <v>0</v>
      </c>
      <c r="Z79" s="670">
        <f>Data_Shelter_t[[#This Row],['# of Permanent House Built]]+Data_Shelter_t[[#This Row],['# of Individual House Built]]</f>
        <v>0</v>
      </c>
      <c r="AA79" s="38"/>
      <c r="AU79" s="669"/>
    </row>
    <row r="80" spans="1:47" s="5" customFormat="1" ht="23.25" customHeight="1" x14ac:dyDescent="0.25">
      <c r="A80" s="408">
        <v>41548</v>
      </c>
      <c r="B80" s="293" t="s">
        <v>574</v>
      </c>
      <c r="C80" s="293" t="s">
        <v>574</v>
      </c>
      <c r="D80" s="293" t="s">
        <v>7</v>
      </c>
      <c r="E80" s="295" t="s">
        <v>17</v>
      </c>
      <c r="F80" s="293" t="s">
        <v>65</v>
      </c>
      <c r="G80" s="26">
        <v>10</v>
      </c>
      <c r="H80" s="293"/>
      <c r="I80" s="293"/>
      <c r="J80" s="26">
        <v>77</v>
      </c>
      <c r="K80" s="26">
        <v>77</v>
      </c>
      <c r="L80" s="19"/>
      <c r="M80" s="26"/>
      <c r="N80" s="26"/>
      <c r="O80" s="293"/>
      <c r="P80" s="293"/>
      <c r="Q80" s="293"/>
      <c r="R80" s="293"/>
      <c r="S80" s="88"/>
      <c r="T80" s="88">
        <v>770</v>
      </c>
      <c r="U80" s="88">
        <f ca="1">IF(Data_Shelter_t[[#This Row],[Status]]="Open",Data_Shelter_t[[#This Row],[HH Covered]],0)</f>
        <v>770</v>
      </c>
      <c r="V80" s="294" t="s">
        <v>151</v>
      </c>
      <c r="W80" s="414" t="str">
        <f ca="1">IFERROR(OFFSET(Camp_List[Status],MATCH(Data_Shelter_t[[#This Row],[Camp Name/ Relocation Sites]],Camp_List[Camp Name],0)-1,0,1,1),"")</f>
        <v>Open</v>
      </c>
      <c r="X80" s="393">
        <f ca="1">IFERROR(Data_Shelter_t[[#This Row],[HH Covered]]/OFFSET(Camp_List[HH],MATCH(Data_Shelter_t[[#This Row],[Camp Name/ Relocation Sites]],Camp_List[Camp Name],0)-1,0,1,1),"")</f>
        <v>0.28603268945022287</v>
      </c>
      <c r="Y80" s="670">
        <f>Data_Shelter_t[[#This Row],['# of Permanent House Planned (Target)]]+Data_Shelter_t[[#This Row],['# of Individual House Planned (Target)]]</f>
        <v>0</v>
      </c>
      <c r="Z80" s="670">
        <f>Data_Shelter_t[[#This Row],['# of Permanent House Built]]+Data_Shelter_t[[#This Row],['# of Individual House Built]]</f>
        <v>0</v>
      </c>
      <c r="AA80" s="38"/>
      <c r="AU80" s="669"/>
    </row>
    <row r="81" spans="1:47" s="5" customFormat="1" ht="23.25" customHeight="1" x14ac:dyDescent="0.25">
      <c r="A81" s="408">
        <v>41548</v>
      </c>
      <c r="B81" s="293" t="s">
        <v>270</v>
      </c>
      <c r="C81" s="293" t="s">
        <v>270</v>
      </c>
      <c r="D81" s="293" t="s">
        <v>7</v>
      </c>
      <c r="E81" s="295" t="s">
        <v>17</v>
      </c>
      <c r="F81" s="293" t="s">
        <v>65</v>
      </c>
      <c r="G81" s="26">
        <v>8</v>
      </c>
      <c r="H81" s="293"/>
      <c r="I81" s="293"/>
      <c r="J81" s="26">
        <v>33</v>
      </c>
      <c r="K81" s="26">
        <v>33</v>
      </c>
      <c r="L81" s="26"/>
      <c r="M81" s="26"/>
      <c r="N81" s="26"/>
      <c r="O81" s="293"/>
      <c r="P81" s="293"/>
      <c r="Q81" s="293"/>
      <c r="R81" s="293"/>
      <c r="S81" s="88"/>
      <c r="T81" s="88">
        <v>264</v>
      </c>
      <c r="U81" s="88">
        <f ca="1">IF(Data_Shelter_t[[#This Row],[Status]]="Open",Data_Shelter_t[[#This Row],[HH Covered]],0)</f>
        <v>264</v>
      </c>
      <c r="V81" s="294" t="s">
        <v>151</v>
      </c>
      <c r="W81" s="414" t="str">
        <f ca="1">IFERROR(OFFSET(Camp_List[Status],MATCH(Data_Shelter_t[[#This Row],[Camp Name/ Relocation Sites]],Camp_List[Camp Name],0)-1,0,1,1),"")</f>
        <v>Open</v>
      </c>
      <c r="X81" s="393">
        <f ca="1">IFERROR(Data_Shelter_t[[#This Row],[HH Covered]]/OFFSET(Camp_List[HH],MATCH(Data_Shelter_t[[#This Row],[Camp Name/ Relocation Sites]],Camp_List[Camp Name],0)-1,0,1,1),"")</f>
        <v>9.8068350668647844E-2</v>
      </c>
      <c r="Y81" s="670">
        <f>Data_Shelter_t[[#This Row],['# of Permanent House Planned (Target)]]+Data_Shelter_t[[#This Row],['# of Individual House Planned (Target)]]</f>
        <v>0</v>
      </c>
      <c r="Z81" s="670">
        <f>Data_Shelter_t[[#This Row],['# of Permanent House Built]]+Data_Shelter_t[[#This Row],['# of Individual House Built]]</f>
        <v>0</v>
      </c>
      <c r="AA81" s="38"/>
      <c r="AU81" s="669"/>
    </row>
    <row r="82" spans="1:47" s="5" customFormat="1" ht="23.25" customHeight="1" x14ac:dyDescent="0.25">
      <c r="A82" s="408">
        <v>41548</v>
      </c>
      <c r="B82" s="293" t="s">
        <v>273</v>
      </c>
      <c r="C82" s="293" t="s">
        <v>273</v>
      </c>
      <c r="D82" s="293" t="s">
        <v>7</v>
      </c>
      <c r="E82" s="295" t="s">
        <v>13</v>
      </c>
      <c r="F82" s="293" t="s">
        <v>41</v>
      </c>
      <c r="G82" s="26">
        <v>8</v>
      </c>
      <c r="H82" s="293"/>
      <c r="I82" s="293"/>
      <c r="J82" s="26">
        <v>94</v>
      </c>
      <c r="K82" s="26">
        <v>94</v>
      </c>
      <c r="L82" s="26"/>
      <c r="M82" s="26"/>
      <c r="N82" s="26"/>
      <c r="O82" s="293"/>
      <c r="P82" s="293"/>
      <c r="Q82" s="293"/>
      <c r="R82" s="293"/>
      <c r="S82" s="88"/>
      <c r="T82" s="88">
        <f>94*8</f>
        <v>752</v>
      </c>
      <c r="U82" s="88">
        <f ca="1">IF(Data_Shelter_t[[#This Row],[Status]]="Open",Data_Shelter_t[[#This Row],[HH Covered]],0)</f>
        <v>752</v>
      </c>
      <c r="V82" s="294" t="s">
        <v>127</v>
      </c>
      <c r="W82" s="414" t="str">
        <f ca="1">IFERROR(OFFSET(Camp_List[Status],MATCH(Data_Shelter_t[[#This Row],[Camp Name/ Relocation Sites]],Camp_List[Camp Name],0)-1,0,1,1),"")</f>
        <v>Open</v>
      </c>
      <c r="X82" s="393">
        <f ca="1">IFERROR(Data_Shelter_t[[#This Row],[HH Covered]]/OFFSET(Camp_List[HH],MATCH(Data_Shelter_t[[#This Row],[Camp Name/ Relocation Sites]],Camp_List[Camp Name],0)-1,0,1,1),"")</f>
        <v>1.2188006482982172</v>
      </c>
      <c r="Y82" s="670">
        <f>Data_Shelter_t[[#This Row],['# of Permanent House Planned (Target)]]+Data_Shelter_t[[#This Row],['# of Individual House Planned (Target)]]</f>
        <v>0</v>
      </c>
      <c r="Z82" s="670">
        <f>Data_Shelter_t[[#This Row],['# of Permanent House Built]]+Data_Shelter_t[[#This Row],['# of Individual House Built]]</f>
        <v>0</v>
      </c>
      <c r="AA82" s="38"/>
      <c r="AU82" s="669"/>
    </row>
    <row r="83" spans="1:47" s="5" customFormat="1" ht="23.25" customHeight="1" x14ac:dyDescent="0.25">
      <c r="A83" s="408">
        <v>41548</v>
      </c>
      <c r="B83" s="293" t="s">
        <v>270</v>
      </c>
      <c r="C83" s="293" t="s">
        <v>270</v>
      </c>
      <c r="D83" s="293" t="s">
        <v>7</v>
      </c>
      <c r="E83" s="295" t="s">
        <v>817</v>
      </c>
      <c r="F83" s="293" t="s">
        <v>36</v>
      </c>
      <c r="G83" s="26">
        <v>8</v>
      </c>
      <c r="H83" s="293"/>
      <c r="I83" s="293"/>
      <c r="J83" s="26">
        <v>89</v>
      </c>
      <c r="K83" s="26">
        <v>89</v>
      </c>
      <c r="L83" s="26"/>
      <c r="M83" s="26"/>
      <c r="N83" s="26"/>
      <c r="O83" s="293"/>
      <c r="P83" s="293"/>
      <c r="Q83" s="293"/>
      <c r="R83" s="293"/>
      <c r="S83" s="88"/>
      <c r="T83" s="88">
        <v>712</v>
      </c>
      <c r="U83" s="88">
        <f ca="1">IF(Data_Shelter_t[[#This Row],[Status]]="Open",Data_Shelter_t[[#This Row],[HH Covered]],0)</f>
        <v>712</v>
      </c>
      <c r="V83" s="294" t="s">
        <v>122</v>
      </c>
      <c r="W83" s="414" t="str">
        <f ca="1">IFERROR(OFFSET(Camp_List[Status],MATCH(Data_Shelter_t[[#This Row],[Camp Name/ Relocation Sites]],Camp_List[Camp Name],0)-1,0,1,1),"")</f>
        <v>Open</v>
      </c>
      <c r="X83" s="393">
        <f ca="1">IFERROR(Data_Shelter_t[[#This Row],[HH Covered]]/OFFSET(Camp_List[HH],MATCH(Data_Shelter_t[[#This Row],[Camp Name/ Relocation Sites]],Camp_List[Camp Name],0)-1,0,1,1),"")</f>
        <v>1.0363901018922852</v>
      </c>
      <c r="Y83" s="670">
        <f>Data_Shelter_t[[#This Row],['# of Permanent House Planned (Target)]]+Data_Shelter_t[[#This Row],['# of Individual House Planned (Target)]]</f>
        <v>0</v>
      </c>
      <c r="Z83" s="670">
        <f>Data_Shelter_t[[#This Row],['# of Permanent House Built]]+Data_Shelter_t[[#This Row],['# of Individual House Built]]</f>
        <v>0</v>
      </c>
      <c r="AA83" s="38"/>
      <c r="AU83" s="669"/>
    </row>
    <row r="84" spans="1:47" s="5" customFormat="1" ht="23.25" customHeight="1" x14ac:dyDescent="0.25">
      <c r="A84" s="408">
        <v>41548</v>
      </c>
      <c r="B84" s="293" t="s">
        <v>425</v>
      </c>
      <c r="C84" s="293" t="s">
        <v>425</v>
      </c>
      <c r="D84" s="293" t="s">
        <v>7</v>
      </c>
      <c r="E84" s="295" t="s">
        <v>17</v>
      </c>
      <c r="F84" s="293" t="s">
        <v>68</v>
      </c>
      <c r="G84" s="26">
        <v>8</v>
      </c>
      <c r="H84" s="293"/>
      <c r="I84" s="293"/>
      <c r="J84" s="26">
        <v>63</v>
      </c>
      <c r="K84" s="26">
        <v>63</v>
      </c>
      <c r="L84" s="26">
        <v>0</v>
      </c>
      <c r="M84" s="26"/>
      <c r="N84" s="26"/>
      <c r="O84" s="293"/>
      <c r="P84" s="293"/>
      <c r="Q84" s="293"/>
      <c r="R84" s="293"/>
      <c r="S84" s="88"/>
      <c r="T84" s="88">
        <v>504</v>
      </c>
      <c r="U84" s="88">
        <f ca="1">IF(Data_Shelter_t[[#This Row],[Status]]="Open",Data_Shelter_t[[#This Row],[HH Covered]],0)</f>
        <v>504</v>
      </c>
      <c r="V84" s="294" t="s">
        <v>154</v>
      </c>
      <c r="W84" s="414" t="str">
        <f ca="1">IFERROR(OFFSET(Camp_List[Status],MATCH(Data_Shelter_t[[#This Row],[Camp Name/ Relocation Sites]],Camp_List[Camp Name],0)-1,0,1,1),"")</f>
        <v>Open</v>
      </c>
      <c r="X84" s="393">
        <f ca="1">IFERROR(Data_Shelter_t[[#This Row],[HH Covered]]/OFFSET(Camp_List[HH],MATCH(Data_Shelter_t[[#This Row],[Camp Name/ Relocation Sites]],Camp_List[Camp Name],0)-1,0,1,1),"")</f>
        <v>0.51376146788990829</v>
      </c>
      <c r="Y84" s="670">
        <f>Data_Shelter_t[[#This Row],['# of Permanent House Planned (Target)]]+Data_Shelter_t[[#This Row],['# of Individual House Planned (Target)]]</f>
        <v>0</v>
      </c>
      <c r="Z84" s="670">
        <f>Data_Shelter_t[[#This Row],['# of Permanent House Built]]+Data_Shelter_t[[#This Row],['# of Individual House Built]]</f>
        <v>0</v>
      </c>
      <c r="AA84" s="38"/>
      <c r="AU84" s="669"/>
    </row>
    <row r="85" spans="1:47" s="5" customFormat="1" ht="23.25" customHeight="1" x14ac:dyDescent="0.25">
      <c r="A85" s="1054">
        <v>41548</v>
      </c>
      <c r="B85" s="293" t="s">
        <v>278</v>
      </c>
      <c r="C85" s="293" t="s">
        <v>278</v>
      </c>
      <c r="D85" s="293" t="s">
        <v>7</v>
      </c>
      <c r="E85" s="295" t="s">
        <v>17</v>
      </c>
      <c r="F85" s="293" t="s">
        <v>68</v>
      </c>
      <c r="G85" s="670">
        <v>8</v>
      </c>
      <c r="H85" s="293"/>
      <c r="I85" s="293"/>
      <c r="J85" s="670">
        <v>60</v>
      </c>
      <c r="K85" s="670">
        <v>60</v>
      </c>
      <c r="L85" s="670"/>
      <c r="M85" s="670"/>
      <c r="N85" s="670"/>
      <c r="O85" s="293"/>
      <c r="P85" s="293"/>
      <c r="Q85" s="293"/>
      <c r="R85" s="293"/>
      <c r="S85" s="88"/>
      <c r="T85" s="88">
        <v>480</v>
      </c>
      <c r="U85" s="88">
        <f ca="1">IF(Data_Shelter_t[[#This Row],[Status]]="Open",Data_Shelter_t[[#This Row],[HH Covered]],0)</f>
        <v>480</v>
      </c>
      <c r="V85" s="294" t="s">
        <v>154</v>
      </c>
      <c r="W85" s="414" t="str">
        <f ca="1">IFERROR(OFFSET(Camp_List[Status],MATCH(Data_Shelter_t[[#This Row],[Camp Name/ Relocation Sites]],Camp_List[Camp Name],0)-1,0,1,1),"")</f>
        <v>Open</v>
      </c>
      <c r="X85" s="393">
        <f ca="1">IFERROR(Data_Shelter_t[[#This Row],[HH Covered]]/OFFSET(Camp_List[HH],MATCH(Data_Shelter_t[[#This Row],[Camp Name/ Relocation Sites]],Camp_List[Camp Name],0)-1,0,1,1),"")</f>
        <v>0.4892966360856269</v>
      </c>
      <c r="Y85" s="670">
        <f>Data_Shelter_t[[#This Row],['# of Permanent House Planned (Target)]]+Data_Shelter_t[[#This Row],['# of Individual House Planned (Target)]]</f>
        <v>0</v>
      </c>
      <c r="Z85" s="670">
        <f>Data_Shelter_t[[#This Row],['# of Permanent House Built]]+Data_Shelter_t[[#This Row],['# of Individual House Built]]</f>
        <v>0</v>
      </c>
      <c r="AA85" s="38"/>
      <c r="AU85" s="669"/>
    </row>
    <row r="86" spans="1:47" s="5" customFormat="1" ht="23.25" customHeight="1" x14ac:dyDescent="0.25">
      <c r="A86" s="408">
        <v>41548</v>
      </c>
      <c r="B86" s="293" t="s">
        <v>574</v>
      </c>
      <c r="C86" s="293" t="s">
        <v>574</v>
      </c>
      <c r="D86" s="293" t="s">
        <v>7</v>
      </c>
      <c r="E86" s="295" t="s">
        <v>17</v>
      </c>
      <c r="F86" s="293" t="s">
        <v>587</v>
      </c>
      <c r="G86" s="26">
        <v>8</v>
      </c>
      <c r="H86" s="293"/>
      <c r="I86" s="293"/>
      <c r="J86" s="26">
        <v>9</v>
      </c>
      <c r="K86" s="26">
        <v>9</v>
      </c>
      <c r="L86" s="26"/>
      <c r="M86" s="26"/>
      <c r="N86" s="26"/>
      <c r="O86" s="293"/>
      <c r="P86" s="293"/>
      <c r="Q86" s="293"/>
      <c r="R86" s="293"/>
      <c r="S86" s="88"/>
      <c r="T86" s="88">
        <v>72</v>
      </c>
      <c r="U86" s="88">
        <f ca="1">IF(Data_Shelter_t[[#This Row],[Status]]="Open",Data_Shelter_t[[#This Row],[HH Covered]],0)</f>
        <v>72</v>
      </c>
      <c r="V86" s="294" t="s">
        <v>589</v>
      </c>
      <c r="W86" s="414" t="str">
        <f ca="1">IFERROR(OFFSET(Camp_List[Status],MATCH(Data_Shelter_t[[#This Row],[Camp Name/ Relocation Sites]],Camp_List[Camp Name],0)-1,0,1,1),"")</f>
        <v>Open</v>
      </c>
      <c r="X86" s="393">
        <f ca="1">IFERROR(Data_Shelter_t[[#This Row],[HH Covered]]/OFFSET(Camp_List[HH],MATCH(Data_Shelter_t[[#This Row],[Camp Name/ Relocation Sites]],Camp_List[Camp Name],0)-1,0,1,1),"")</f>
        <v>3.1872509960159362E-2</v>
      </c>
      <c r="Y86" s="670">
        <f>Data_Shelter_t[[#This Row],['# of Permanent House Planned (Target)]]+Data_Shelter_t[[#This Row],['# of Individual House Planned (Target)]]</f>
        <v>0</v>
      </c>
      <c r="Z86" s="670">
        <f>Data_Shelter_t[[#This Row],['# of Permanent House Built]]+Data_Shelter_t[[#This Row],['# of Individual House Built]]</f>
        <v>0</v>
      </c>
      <c r="AA86" s="38"/>
      <c r="AU86" s="669"/>
    </row>
    <row r="87" spans="1:47" s="5" customFormat="1" ht="23.25" customHeight="1" x14ac:dyDescent="0.25">
      <c r="A87" s="826">
        <v>41548</v>
      </c>
      <c r="B87" s="294" t="s">
        <v>1085</v>
      </c>
      <c r="C87" s="294" t="s">
        <v>1085</v>
      </c>
      <c r="D87" s="294" t="s">
        <v>7</v>
      </c>
      <c r="E87" s="306" t="s">
        <v>13</v>
      </c>
      <c r="F87" s="294" t="s">
        <v>990</v>
      </c>
      <c r="G87" s="19">
        <v>1</v>
      </c>
      <c r="H87" s="294"/>
      <c r="I87" s="294"/>
      <c r="J87" s="19"/>
      <c r="K87" s="19"/>
      <c r="L87" s="19"/>
      <c r="M87" s="19"/>
      <c r="N87" s="19"/>
      <c r="O87" s="294"/>
      <c r="P87" s="294"/>
      <c r="Q87" s="779">
        <v>891</v>
      </c>
      <c r="R87" s="806">
        <v>891</v>
      </c>
      <c r="S87" s="391"/>
      <c r="T87" s="391">
        <v>891</v>
      </c>
      <c r="U87" s="391">
        <f ca="1">IF(Data_Shelter_t[[#This Row],[Status]]="Open",Data_Shelter_t[[#This Row],[HH Covered]],0)</f>
        <v>891</v>
      </c>
      <c r="V87" s="391" t="s">
        <v>125</v>
      </c>
      <c r="W87" s="392" t="str">
        <f ca="1">IFERROR(OFFSET(Camp_List[Status],MATCH(Data_Shelter_t[[#This Row],[Camp Name/ Relocation Sites]],Camp_List[Camp Name],0)-1,0,1,1),"")</f>
        <v>Open</v>
      </c>
      <c r="X87" s="393">
        <f ca="1">IFERROR(Data_Shelter_t[[#This Row],[HH Covered]]/OFFSET(Camp_List[HH],MATCH(Data_Shelter_t[[#This Row],[Camp Name/ Relocation Sites]],Camp_List[Camp Name],0)-1,0,1,1),"")</f>
        <v>0.88217821782178218</v>
      </c>
      <c r="Y87" s="391">
        <f>Data_Shelter_t[[#This Row],['# of Permanent House Planned (Target)]]+Data_Shelter_t[[#This Row],['# of Individual House Planned (Target)]]</f>
        <v>891</v>
      </c>
      <c r="Z87" s="391">
        <f>Data_Shelter_t[[#This Row],['# of Permanent House Built]]+Data_Shelter_t[[#This Row],['# of Individual House Built]]</f>
        <v>891</v>
      </c>
      <c r="AA87" s="16"/>
    </row>
    <row r="88" spans="1:47" s="5" customFormat="1" ht="23.25" customHeight="1" x14ac:dyDescent="0.25">
      <c r="A88" s="807">
        <v>41548</v>
      </c>
      <c r="B88" s="293" t="s">
        <v>270</v>
      </c>
      <c r="C88" s="293" t="s">
        <v>270</v>
      </c>
      <c r="D88" s="293" t="s">
        <v>7</v>
      </c>
      <c r="E88" s="295" t="s">
        <v>13</v>
      </c>
      <c r="F88" s="293" t="s">
        <v>991</v>
      </c>
      <c r="G88" s="670">
        <v>8</v>
      </c>
      <c r="H88" s="808"/>
      <c r="I88" s="293"/>
      <c r="J88" s="670">
        <v>87</v>
      </c>
      <c r="K88" s="670">
        <v>87</v>
      </c>
      <c r="L88" s="670"/>
      <c r="M88" s="670"/>
      <c r="N88" s="670"/>
      <c r="O88" s="293"/>
      <c r="P88" s="293"/>
      <c r="Q88" s="293"/>
      <c r="R88" s="293"/>
      <c r="S88" s="88"/>
      <c r="T88" s="88">
        <f>87*8</f>
        <v>696</v>
      </c>
      <c r="U88" s="391">
        <f ca="1">IF(Data_Shelter_t[[#This Row],[Status]]="Open",Data_Shelter_t[[#This Row],[HH Covered]],0)</f>
        <v>696</v>
      </c>
      <c r="V88" s="391" t="s">
        <v>125</v>
      </c>
      <c r="W88" s="392" t="str">
        <f ca="1">IFERROR(OFFSET(Camp_List[Status],MATCH(Data_Shelter_t[[#This Row],[Camp Name/ Relocation Sites]],Camp_List[Camp Name],0)-1,0,1,1),"")</f>
        <v>Open</v>
      </c>
      <c r="X88" s="393">
        <f ca="1">IFERROR(Data_Shelter_t[[#This Row],[HH Covered]]/OFFSET(Camp_List[HH],MATCH(Data_Shelter_t[[#This Row],[Camp Name/ Relocation Sites]],Camp_List[Camp Name],0)-1,0,1,1),"")</f>
        <v>0.76906077348066293</v>
      </c>
      <c r="Y88" s="391">
        <f>Data_Shelter_t[[#This Row],['# of Permanent House Planned (Target)]]+Data_Shelter_t[[#This Row],['# of Individual House Planned (Target)]]</f>
        <v>0</v>
      </c>
      <c r="Z88" s="391">
        <f>Data_Shelter_t[[#This Row],['# of Permanent House Built]]+Data_Shelter_t[[#This Row],['# of Individual House Built]]</f>
        <v>0</v>
      </c>
      <c r="AA88" s="38"/>
      <c r="AU88" s="669"/>
    </row>
    <row r="89" spans="1:47" s="5" customFormat="1" ht="23.25" customHeight="1" x14ac:dyDescent="0.25">
      <c r="A89" s="408">
        <v>41548</v>
      </c>
      <c r="B89" s="293" t="s">
        <v>278</v>
      </c>
      <c r="C89" s="293" t="s">
        <v>278</v>
      </c>
      <c r="D89" s="293" t="s">
        <v>7</v>
      </c>
      <c r="E89" s="295" t="s">
        <v>17</v>
      </c>
      <c r="F89" s="293" t="s">
        <v>74</v>
      </c>
      <c r="G89" s="26">
        <v>1</v>
      </c>
      <c r="H89" s="293"/>
      <c r="I89" s="293"/>
      <c r="J89" s="26"/>
      <c r="K89" s="26"/>
      <c r="L89" s="26"/>
      <c r="M89" s="26"/>
      <c r="N89" s="26"/>
      <c r="O89" s="293"/>
      <c r="P89" s="293"/>
      <c r="Q89" s="208">
        <v>151</v>
      </c>
      <c r="R89" s="208">
        <v>151</v>
      </c>
      <c r="S89" s="208"/>
      <c r="T89" s="88">
        <v>151</v>
      </c>
      <c r="U89" s="88">
        <f ca="1">IF(Data_Shelter_t[[#This Row],[Status]]="Open",Data_Shelter_t[[#This Row],[HH Covered]],0)</f>
        <v>0</v>
      </c>
      <c r="V89" s="294" t="s">
        <v>269</v>
      </c>
      <c r="W89" s="414" t="str">
        <f ca="1">IFERROR(OFFSET(Camp_List[Status],MATCH(Data_Shelter_t[[#This Row],[Camp Name/ Relocation Sites]],Camp_List[Camp Name],0)-1,0,1,1),"")</f>
        <v>Relocated</v>
      </c>
      <c r="X89" s="393">
        <f ca="1">IFERROR(Data_Shelter_t[[#This Row],[HH Covered]]/OFFSET(Camp_List[HH],MATCH(Data_Shelter_t[[#This Row],[Camp Name/ Relocation Sites]],Camp_List[Camp Name],0)-1,0,1,1),"")</f>
        <v>1</v>
      </c>
      <c r="Y89" s="670">
        <f>Data_Shelter_t[[#This Row],['# of Permanent House Planned (Target)]]+Data_Shelter_t[[#This Row],['# of Individual House Planned (Target)]]</f>
        <v>151</v>
      </c>
      <c r="Z89" s="670">
        <f>Data_Shelter_t[[#This Row],['# of Permanent House Built]]+Data_Shelter_t[[#This Row],['# of Individual House Built]]</f>
        <v>151</v>
      </c>
      <c r="AA89" s="38"/>
      <c r="AU89" s="669"/>
    </row>
    <row r="90" spans="1:47" s="5" customFormat="1" ht="23.25" customHeight="1" x14ac:dyDescent="0.25">
      <c r="A90" s="408">
        <v>41548</v>
      </c>
      <c r="B90" s="293" t="s">
        <v>278</v>
      </c>
      <c r="C90" s="293" t="s">
        <v>278</v>
      </c>
      <c r="D90" s="293" t="s">
        <v>7</v>
      </c>
      <c r="E90" s="295" t="s">
        <v>13</v>
      </c>
      <c r="F90" s="293" t="s">
        <v>37</v>
      </c>
      <c r="G90" s="26">
        <v>1</v>
      </c>
      <c r="H90" s="293"/>
      <c r="I90" s="293"/>
      <c r="J90" s="26"/>
      <c r="K90" s="26"/>
      <c r="L90" s="26"/>
      <c r="M90" s="26"/>
      <c r="N90" s="26"/>
      <c r="O90" s="293"/>
      <c r="P90" s="293"/>
      <c r="Q90" s="208">
        <v>21</v>
      </c>
      <c r="R90" s="208">
        <v>21</v>
      </c>
      <c r="S90" s="208"/>
      <c r="T90" s="88">
        <v>21</v>
      </c>
      <c r="U90" s="208">
        <v>21</v>
      </c>
      <c r="V90" s="294" t="s">
        <v>123</v>
      </c>
      <c r="W90" s="414" t="str">
        <f ca="1">IFERROR(OFFSET(Camp_List[Status],MATCH(Data_Shelter_t[[#This Row],[Camp Name/ Relocation Sites]],Camp_List[Camp Name],0)-1,0,1,1),"")</f>
        <v>Relocated</v>
      </c>
      <c r="X90" s="393">
        <f ca="1">IFERROR(Data_Shelter_t[[#This Row],[HH Covered]]/OFFSET(Camp_List[HH],MATCH(Data_Shelter_t[[#This Row],[Camp Name/ Relocation Sites]],Camp_List[Camp Name],0)-1,0,1,1),"")</f>
        <v>1</v>
      </c>
      <c r="Y90" s="670">
        <f>Data_Shelter_t[[#This Row],['# of Permanent House Planned (Target)]]+Data_Shelter_t[[#This Row],['# of Individual House Planned (Target)]]</f>
        <v>21</v>
      </c>
      <c r="Z90" s="19">
        <f>Data_Shelter_t[[#This Row],['# of Permanent House Built]]+Data_Shelter_t[[#This Row],['# of Individual House Built]]</f>
        <v>21</v>
      </c>
      <c r="AA90" s="38"/>
      <c r="AU90" s="669"/>
    </row>
    <row r="91" spans="1:47" s="5" customFormat="1" ht="23.25" customHeight="1" x14ac:dyDescent="0.25">
      <c r="A91" s="408">
        <v>41548</v>
      </c>
      <c r="B91" s="293" t="s">
        <v>278</v>
      </c>
      <c r="C91" s="293" t="s">
        <v>278</v>
      </c>
      <c r="D91" s="293" t="s">
        <v>7</v>
      </c>
      <c r="E91" s="295" t="s">
        <v>17</v>
      </c>
      <c r="F91" s="293" t="s">
        <v>590</v>
      </c>
      <c r="G91" s="26">
        <v>1</v>
      </c>
      <c r="H91" s="293"/>
      <c r="I91" s="293"/>
      <c r="J91" s="26"/>
      <c r="K91" s="26"/>
      <c r="L91" s="26"/>
      <c r="M91" s="26"/>
      <c r="N91" s="26"/>
      <c r="O91" s="293"/>
      <c r="P91" s="293"/>
      <c r="Q91" s="208">
        <v>249</v>
      </c>
      <c r="R91" s="208">
        <v>249</v>
      </c>
      <c r="S91" s="208"/>
      <c r="T91" s="88">
        <v>249</v>
      </c>
      <c r="U91" s="88">
        <f ca="1">IF(Data_Shelter_t[[#This Row],[Status]]="Open",Data_Shelter_t[[#This Row],[HH Covered]],0)</f>
        <v>0</v>
      </c>
      <c r="V91" s="294" t="s">
        <v>592</v>
      </c>
      <c r="W91" s="414" t="str">
        <f ca="1">IFERROR(OFFSET(Camp_List[Status],MATCH(Data_Shelter_t[[#This Row],[Camp Name/ Relocation Sites]],Camp_List[Camp Name],0)-1,0,1,1),"")</f>
        <v>Relocated</v>
      </c>
      <c r="X91" s="393">
        <f ca="1">IFERROR(Data_Shelter_t[[#This Row],[HH Covered]]/OFFSET(Camp_List[HH],MATCH(Data_Shelter_t[[#This Row],[Camp Name/ Relocation Sites]],Camp_List[Camp Name],0)-1,0,1,1),"")</f>
        <v>1</v>
      </c>
      <c r="Y91" s="670">
        <f>Data_Shelter_t[[#This Row],['# of Permanent House Planned (Target)]]+Data_Shelter_t[[#This Row],['# of Individual House Planned (Target)]]</f>
        <v>249</v>
      </c>
      <c r="Z91" s="19">
        <f>Data_Shelter_t[[#This Row],['# of Permanent House Built]]+Data_Shelter_t[[#This Row],['# of Individual House Built]]</f>
        <v>249</v>
      </c>
      <c r="AA91" s="38"/>
      <c r="AU91" s="669"/>
    </row>
    <row r="92" spans="1:47" s="5" customFormat="1" ht="23.25" customHeight="1" x14ac:dyDescent="0.25">
      <c r="A92" s="408">
        <v>41548</v>
      </c>
      <c r="B92" s="293" t="s">
        <v>278</v>
      </c>
      <c r="C92" s="293" t="s">
        <v>278</v>
      </c>
      <c r="D92" s="293" t="s">
        <v>7</v>
      </c>
      <c r="E92" s="295" t="s">
        <v>17</v>
      </c>
      <c r="F92" s="293" t="s">
        <v>591</v>
      </c>
      <c r="G92" s="26">
        <v>1</v>
      </c>
      <c r="H92" s="293"/>
      <c r="I92" s="293"/>
      <c r="J92" s="26"/>
      <c r="K92" s="26"/>
      <c r="L92" s="26"/>
      <c r="M92" s="26"/>
      <c r="N92" s="26"/>
      <c r="O92" s="293"/>
      <c r="P92" s="293"/>
      <c r="Q92" s="208">
        <v>420</v>
      </c>
      <c r="R92" s="208">
        <v>420</v>
      </c>
      <c r="S92" s="208"/>
      <c r="T92" s="88">
        <v>420</v>
      </c>
      <c r="U92" s="88">
        <f ca="1">IF(Data_Shelter_t[[#This Row],[Status]]="Open",Data_Shelter_t[[#This Row],[HH Covered]],0)</f>
        <v>0</v>
      </c>
      <c r="V92" s="294" t="s">
        <v>593</v>
      </c>
      <c r="W92" s="414" t="str">
        <f ca="1">IFERROR(OFFSET(Camp_List[Status],MATCH(Data_Shelter_t[[#This Row],[Camp Name/ Relocation Sites]],Camp_List[Camp Name],0)-1,0,1,1),"")</f>
        <v>Relocated</v>
      </c>
      <c r="X92" s="393">
        <f ca="1">IFERROR(Data_Shelter_t[[#This Row],[HH Covered]]/OFFSET(Camp_List[HH],MATCH(Data_Shelter_t[[#This Row],[Camp Name/ Relocation Sites]],Camp_List[Camp Name],0)-1,0,1,1),"")</f>
        <v>1</v>
      </c>
      <c r="Y92" s="670">
        <f>Data_Shelter_t[[#This Row],['# of Permanent House Planned (Target)]]+Data_Shelter_t[[#This Row],['# of Individual House Planned (Target)]]</f>
        <v>420</v>
      </c>
      <c r="Z92" s="19">
        <f>Data_Shelter_t[[#This Row],['# of Permanent House Built]]+Data_Shelter_t[[#This Row],['# of Individual House Built]]</f>
        <v>420</v>
      </c>
      <c r="AA92" s="38"/>
      <c r="AU92" s="669"/>
    </row>
    <row r="93" spans="1:47" s="5" customFormat="1" x14ac:dyDescent="0.25">
      <c r="A93" s="411" t="s">
        <v>5</v>
      </c>
      <c r="B93" s="92"/>
      <c r="C93" s="92"/>
      <c r="D93" s="92"/>
      <c r="E93" s="412"/>
      <c r="F93" s="92"/>
      <c r="G93" s="92"/>
      <c r="H93" s="92">
        <f>SUBTOTAL(109,Data_Shelter_t['#ofFamilyTentPlanned(Target)])</f>
        <v>110</v>
      </c>
      <c r="I93" s="92">
        <f>SUBTOTAL(109,Data_Shelter_t['#ofFamilyTentDistributed])</f>
        <v>110</v>
      </c>
      <c r="J93" s="92">
        <f>SUBTOTAL(109,Data_Shelter_t['# of Temporary Shelter Planned (Target)])</f>
        <v>2515</v>
      </c>
      <c r="K93" s="92">
        <f>SUBTOTAL(109,Data_Shelter_t['# of Temporary Shelter Built])</f>
        <v>2515</v>
      </c>
      <c r="L93" s="92">
        <f>SUBTOTAL(109,Data_Shelter_t['# of Temporary Shelter Under Construction])</f>
        <v>0</v>
      </c>
      <c r="M93" s="92">
        <f>SUBTOTAL(109,Data_Shelter_t['# of Permanent House Planned (Target)])</f>
        <v>150</v>
      </c>
      <c r="N93" s="92">
        <f>SUBTOTAL(109,Data_Shelter_t['# of Permanent House Built])</f>
        <v>150</v>
      </c>
      <c r="O93" s="92">
        <f>SUBTOTAL(109,Data_Shelter_t['#of Permanent House Under Construction])</f>
        <v>0</v>
      </c>
      <c r="P93" s="92"/>
      <c r="Q93" s="92">
        <f>SUBTOTAL(109,Data_Shelter_t['# of Individual House Planned (Target)])</f>
        <v>5096</v>
      </c>
      <c r="R93" s="390">
        <f>SUBTOTAL(109,Data_Shelter_t['# of Individual House Built])</f>
        <v>5096</v>
      </c>
      <c r="S93" s="390">
        <f>SUBTOTAL(109,Data_Shelter_t['#of Individual House Under Construction])</f>
        <v>0</v>
      </c>
      <c r="T93" s="390">
        <f>SUBTOTAL(109,Data_Shelter_t[HH Covered])</f>
        <v>28649</v>
      </c>
      <c r="U93" s="390">
        <f ca="1">SUBTOTAL(109,Data_Shelter_t[HH Covered 2])</f>
        <v>23611</v>
      </c>
      <c r="V93" s="410"/>
      <c r="W93" s="403"/>
      <c r="X93" s="92"/>
      <c r="Y93" s="410"/>
      <c r="Z93" s="19">
        <f>SUBTOTAL(109,Data_Shelter_t[Built])</f>
        <v>5246</v>
      </c>
      <c r="AA93" s="172"/>
      <c r="AU93" s="669"/>
    </row>
    <row r="94" spans="1:47" s="5" customFormat="1" x14ac:dyDescent="0.25">
      <c r="A94" s="192"/>
      <c r="E94" s="64"/>
      <c r="X94" s="193"/>
      <c r="AA94" s="38"/>
    </row>
    <row r="95" spans="1:47" x14ac:dyDescent="0.25">
      <c r="E95" s="2"/>
    </row>
    <row r="96" spans="1:47" x14ac:dyDescent="0.25">
      <c r="E96" s="2"/>
    </row>
    <row r="97" spans="5:5" x14ac:dyDescent="0.25">
      <c r="E97" s="2"/>
    </row>
    <row r="98" spans="5:5" x14ac:dyDescent="0.25">
      <c r="E98" s="2"/>
    </row>
    <row r="99" spans="5:5" x14ac:dyDescent="0.25">
      <c r="E99" s="2"/>
    </row>
    <row r="100" spans="5:5" x14ac:dyDescent="0.25">
      <c r="E100" s="2"/>
    </row>
    <row r="101" spans="5:5" x14ac:dyDescent="0.25">
      <c r="E101" s="2"/>
    </row>
    <row r="102" spans="5:5" x14ac:dyDescent="0.25">
      <c r="E102" s="2"/>
    </row>
    <row r="103" spans="5:5" x14ac:dyDescent="0.25">
      <c r="E103" s="2"/>
    </row>
    <row r="104" spans="5:5" x14ac:dyDescent="0.25">
      <c r="E104" s="2"/>
    </row>
    <row r="105" spans="5:5" x14ac:dyDescent="0.25">
      <c r="E105" s="2"/>
    </row>
    <row r="106" spans="5:5" x14ac:dyDescent="0.25">
      <c r="E106" s="2"/>
    </row>
    <row r="107" spans="5:5" x14ac:dyDescent="0.25">
      <c r="E107" s="2"/>
    </row>
    <row r="108" spans="5:5" x14ac:dyDescent="0.25">
      <c r="E108" s="2"/>
    </row>
    <row r="109" spans="5:5" x14ac:dyDescent="0.25">
      <c r="E109" s="2"/>
    </row>
    <row r="110" spans="5:5" x14ac:dyDescent="0.25">
      <c r="E110" s="2"/>
    </row>
    <row r="111" spans="5:5" x14ac:dyDescent="0.25">
      <c r="E111" s="2"/>
    </row>
    <row r="112" spans="5:5" x14ac:dyDescent="0.25">
      <c r="E112" s="2"/>
    </row>
    <row r="113" spans="5:5" x14ac:dyDescent="0.25">
      <c r="E113" s="2"/>
    </row>
    <row r="114" spans="5:5" x14ac:dyDescent="0.25">
      <c r="E114" s="2"/>
    </row>
    <row r="115" spans="5:5" x14ac:dyDescent="0.25">
      <c r="E115" s="2"/>
    </row>
    <row r="116" spans="5:5" x14ac:dyDescent="0.25">
      <c r="E116" s="2"/>
    </row>
    <row r="117" spans="5:5" x14ac:dyDescent="0.25">
      <c r="E117" s="2"/>
    </row>
    <row r="118" spans="5:5" x14ac:dyDescent="0.25">
      <c r="E118" s="2"/>
    </row>
    <row r="119" spans="5:5" x14ac:dyDescent="0.25">
      <c r="E119" s="2"/>
    </row>
    <row r="120" spans="5:5" x14ac:dyDescent="0.25">
      <c r="E120" s="2"/>
    </row>
    <row r="121" spans="5:5" x14ac:dyDescent="0.25">
      <c r="E121" s="2"/>
    </row>
    <row r="122" spans="5:5" x14ac:dyDescent="0.25">
      <c r="E122" s="2"/>
    </row>
    <row r="123" spans="5:5" x14ac:dyDescent="0.25">
      <c r="E123" s="2"/>
    </row>
    <row r="124" spans="5:5" x14ac:dyDescent="0.25">
      <c r="E124" s="2"/>
    </row>
    <row r="125" spans="5:5" x14ac:dyDescent="0.25">
      <c r="E125" s="2"/>
    </row>
    <row r="126" spans="5:5" x14ac:dyDescent="0.25">
      <c r="E126" s="2"/>
    </row>
    <row r="127" spans="5:5" x14ac:dyDescent="0.25">
      <c r="E127" s="2"/>
    </row>
    <row r="128" spans="5:5" x14ac:dyDescent="0.25">
      <c r="E128" s="2"/>
    </row>
    <row r="129" spans="5:5" x14ac:dyDescent="0.25">
      <c r="E129" s="2"/>
    </row>
    <row r="130" spans="5:5" x14ac:dyDescent="0.25">
      <c r="E130" s="2"/>
    </row>
    <row r="131" spans="5:5" x14ac:dyDescent="0.25">
      <c r="E131" s="2"/>
    </row>
    <row r="132" spans="5:5" x14ac:dyDescent="0.25">
      <c r="E132" s="2"/>
    </row>
    <row r="133" spans="5:5" x14ac:dyDescent="0.25">
      <c r="E133" s="2"/>
    </row>
    <row r="134" spans="5:5" x14ac:dyDescent="0.25">
      <c r="E134" s="2"/>
    </row>
    <row r="135" spans="5:5" x14ac:dyDescent="0.25">
      <c r="E135" s="2"/>
    </row>
    <row r="136" spans="5:5" x14ac:dyDescent="0.25">
      <c r="E136" s="2"/>
    </row>
    <row r="137" spans="5:5" x14ac:dyDescent="0.25">
      <c r="E137" s="2"/>
    </row>
    <row r="138" spans="5:5" x14ac:dyDescent="0.25">
      <c r="E138" s="2"/>
    </row>
    <row r="139" spans="5:5" x14ac:dyDescent="0.25">
      <c r="E139" s="2"/>
    </row>
    <row r="140" spans="5:5" x14ac:dyDescent="0.25">
      <c r="E140" s="2"/>
    </row>
    <row r="141" spans="5:5" x14ac:dyDescent="0.25">
      <c r="E141" s="2"/>
    </row>
    <row r="142" spans="5:5" x14ac:dyDescent="0.25">
      <c r="E142" s="2"/>
    </row>
    <row r="143" spans="5:5" x14ac:dyDescent="0.25">
      <c r="E143" s="2"/>
    </row>
    <row r="144" spans="5:5" x14ac:dyDescent="0.25">
      <c r="E144" s="2"/>
    </row>
    <row r="145" spans="5:5" x14ac:dyDescent="0.25">
      <c r="E145" s="2"/>
    </row>
    <row r="146" spans="5:5" x14ac:dyDescent="0.25">
      <c r="E146" s="2"/>
    </row>
    <row r="147" spans="5:5" x14ac:dyDescent="0.25">
      <c r="E147" s="2"/>
    </row>
    <row r="148" spans="5:5" x14ac:dyDescent="0.25">
      <c r="E148" s="2"/>
    </row>
    <row r="149" spans="5:5" x14ac:dyDescent="0.25">
      <c r="E149" s="2"/>
    </row>
    <row r="150" spans="5:5" x14ac:dyDescent="0.25">
      <c r="E150" s="2"/>
    </row>
    <row r="151" spans="5:5" x14ac:dyDescent="0.25">
      <c r="E151" s="2"/>
    </row>
    <row r="152" spans="5:5" x14ac:dyDescent="0.25">
      <c r="E152" s="2"/>
    </row>
    <row r="153" spans="5:5" x14ac:dyDescent="0.25">
      <c r="E153" s="2"/>
    </row>
    <row r="154" spans="5:5" x14ac:dyDescent="0.25">
      <c r="E154" s="2"/>
    </row>
    <row r="155" spans="5:5" x14ac:dyDescent="0.25">
      <c r="E155" s="2"/>
    </row>
    <row r="156" spans="5:5" x14ac:dyDescent="0.25">
      <c r="E156" s="2"/>
    </row>
    <row r="157" spans="5:5" x14ac:dyDescent="0.25">
      <c r="E157" s="2"/>
    </row>
    <row r="158" spans="5:5" x14ac:dyDescent="0.25">
      <c r="E158" s="2"/>
    </row>
    <row r="159" spans="5:5" x14ac:dyDescent="0.25">
      <c r="E159" s="2"/>
    </row>
    <row r="160" spans="5:5" x14ac:dyDescent="0.25">
      <c r="E160" s="2"/>
    </row>
    <row r="161" spans="5:5" x14ac:dyDescent="0.25">
      <c r="E161" s="2"/>
    </row>
    <row r="162" spans="5:5" x14ac:dyDescent="0.25">
      <c r="E162" s="2"/>
    </row>
    <row r="163" spans="5:5" x14ac:dyDescent="0.25">
      <c r="E163" s="2"/>
    </row>
    <row r="164" spans="5:5" x14ac:dyDescent="0.25">
      <c r="E164" s="2"/>
    </row>
    <row r="165" spans="5:5" x14ac:dyDescent="0.25">
      <c r="E165" s="2"/>
    </row>
    <row r="166" spans="5:5" x14ac:dyDescent="0.25">
      <c r="E166" s="2"/>
    </row>
    <row r="167" spans="5:5" x14ac:dyDescent="0.25">
      <c r="E167" s="2"/>
    </row>
    <row r="168" spans="5:5" x14ac:dyDescent="0.25">
      <c r="E168" s="2"/>
    </row>
    <row r="169" spans="5:5" x14ac:dyDescent="0.25">
      <c r="E169" s="2"/>
    </row>
    <row r="170" spans="5:5" x14ac:dyDescent="0.25">
      <c r="E170" s="2"/>
    </row>
    <row r="171" spans="5:5" x14ac:dyDescent="0.25">
      <c r="E171" s="2"/>
    </row>
    <row r="172" spans="5:5" x14ac:dyDescent="0.25">
      <c r="E172" s="2"/>
    </row>
    <row r="173" spans="5:5" x14ac:dyDescent="0.25">
      <c r="E173" s="2"/>
    </row>
    <row r="174" spans="5:5" x14ac:dyDescent="0.25">
      <c r="E174" s="2"/>
    </row>
    <row r="175" spans="5:5" x14ac:dyDescent="0.25">
      <c r="E175" s="2"/>
    </row>
    <row r="176" spans="5:5" x14ac:dyDescent="0.25">
      <c r="E176" s="2"/>
    </row>
    <row r="177" spans="5:5" x14ac:dyDescent="0.25">
      <c r="E177" s="2"/>
    </row>
    <row r="178" spans="5:5" x14ac:dyDescent="0.25">
      <c r="E178" s="2"/>
    </row>
    <row r="179" spans="5:5" x14ac:dyDescent="0.25">
      <c r="E179" s="2"/>
    </row>
    <row r="180" spans="5:5" x14ac:dyDescent="0.25">
      <c r="E180" s="2"/>
    </row>
    <row r="181" spans="5:5" x14ac:dyDescent="0.25">
      <c r="E181" s="2"/>
    </row>
  </sheetData>
  <dataConsolidate/>
  <mergeCells count="1">
    <mergeCell ref="A2:C2"/>
  </mergeCells>
  <conditionalFormatting sqref="V92 W94:W1048576">
    <cfRule type="containsText" dxfId="760" priority="19" operator="containsText" text="close">
      <formula>NOT(ISERROR(SEARCH("close",V92)))</formula>
    </cfRule>
    <cfRule type="containsText" dxfId="759" priority="20" operator="containsText" text="open">
      <formula>NOT(ISERROR(SEARCH("open",V92)))</formula>
    </cfRule>
  </conditionalFormatting>
  <conditionalFormatting sqref="V4">
    <cfRule type="containsText" dxfId="758" priority="17" operator="containsText" text="close">
      <formula>NOT(ISERROR(SEARCH("close",V4)))</formula>
    </cfRule>
    <cfRule type="containsText" dxfId="757" priority="18" operator="containsText" text="open">
      <formula>NOT(ISERROR(SEARCH("open",V4)))</formula>
    </cfRule>
  </conditionalFormatting>
  <conditionalFormatting sqref="W4">
    <cfRule type="containsText" dxfId="756" priority="15" operator="containsText" text="close">
      <formula>NOT(ISERROR(SEARCH("close",W4)))</formula>
    </cfRule>
    <cfRule type="containsText" dxfId="755" priority="16" operator="containsText" text="open">
      <formula>NOT(ISERROR(SEARCH("open",W4)))</formula>
    </cfRule>
  </conditionalFormatting>
  <dataValidations count="4">
    <dataValidation type="list" showInputMessage="1" showErrorMessage="1" sqref="E94:E181 E5:E92">
      <formula1>INDIRECT(D5)</formula1>
    </dataValidation>
    <dataValidation type="list" allowBlank="1" showInputMessage="1" showErrorMessage="1" sqref="D94:D181">
      <formula1>$A$4:$A$4</formula1>
    </dataValidation>
    <dataValidation type="list" allowBlank="1" showInputMessage="1" showErrorMessage="1" sqref="D5:D92">
      <formula1>State</formula1>
    </dataValidation>
    <dataValidation type="list" errorStyle="warning" showInputMessage="1" showErrorMessage="1" sqref="F5:F92">
      <formula1>OFFSET(TCL_T1,MATCH(E5,TCL_T,0)-1,1,COUNTIF(TCL_T,E5),1)</formula1>
    </dataValidation>
  </dataValidations>
  <pageMargins left="0.11811023622047245" right="0.11811023622047245" top="0.19685039370078741" bottom="0.19685039370078741" header="0" footer="0"/>
  <pageSetup scale="33" fitToHeight="0"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35"/>
  <sheetViews>
    <sheetView workbookViewId="0">
      <selection activeCell="I23" sqref="I23:I25"/>
    </sheetView>
  </sheetViews>
  <sheetFormatPr defaultRowHeight="15" x14ac:dyDescent="0.25"/>
  <cols>
    <col min="1" max="1" width="12.28515625" style="669" customWidth="1"/>
    <col min="2" max="2" width="18.85546875" style="669" customWidth="1"/>
    <col min="3" max="3" width="11.5703125" style="669" customWidth="1"/>
    <col min="4" max="5" width="12.5703125" style="669" customWidth="1"/>
    <col min="6" max="6" width="6.7109375" style="669" customWidth="1"/>
    <col min="7" max="7" width="20.5703125" customWidth="1"/>
    <col min="8" max="8" width="24" customWidth="1"/>
    <col min="9" max="9" width="22.7109375" customWidth="1"/>
    <col min="10" max="10" width="16.28515625" customWidth="1"/>
    <col min="11" max="11" width="13.28515625" customWidth="1"/>
    <col min="12" max="12" width="10.5703125" bestFit="1" customWidth="1"/>
    <col min="13" max="13" width="15.85546875" customWidth="1"/>
    <col min="14" max="14" width="17.85546875" customWidth="1"/>
  </cols>
  <sheetData>
    <row r="1" spans="1:14" ht="18" customHeight="1" x14ac:dyDescent="0.25">
      <c r="A1" s="1150" t="s">
        <v>1155</v>
      </c>
      <c r="B1" s="1151"/>
      <c r="C1" s="1151"/>
      <c r="D1" s="1151"/>
      <c r="E1" s="1151"/>
      <c r="G1" s="1154" t="s">
        <v>1</v>
      </c>
      <c r="H1" s="1154" t="s">
        <v>1067</v>
      </c>
      <c r="I1" s="1155" t="s">
        <v>1152</v>
      </c>
      <c r="J1" s="1156"/>
      <c r="K1" s="1160" t="s">
        <v>1158</v>
      </c>
      <c r="L1" s="1161"/>
      <c r="M1" s="1161"/>
      <c r="N1" s="1162"/>
    </row>
    <row r="2" spans="1:14" ht="21" customHeight="1" x14ac:dyDescent="0.25">
      <c r="A2" s="1152"/>
      <c r="B2" s="1153"/>
      <c r="C2" s="1153"/>
      <c r="D2" s="1153"/>
      <c r="E2" s="1153"/>
      <c r="G2" s="1154"/>
      <c r="H2" s="1154"/>
      <c r="I2" s="1157"/>
      <c r="J2" s="1158"/>
      <c r="K2" s="1159" t="s">
        <v>1068</v>
      </c>
      <c r="L2" s="1159"/>
      <c r="M2" s="1159"/>
      <c r="N2" s="1159"/>
    </row>
    <row r="3" spans="1:14" x14ac:dyDescent="0.25">
      <c r="A3" s="800" t="s">
        <v>1</v>
      </c>
      <c r="B3" s="800" t="s">
        <v>9</v>
      </c>
      <c r="C3" s="790" t="s">
        <v>1062</v>
      </c>
      <c r="D3" s="799" t="s">
        <v>226</v>
      </c>
      <c r="E3" s="803" t="s">
        <v>1153</v>
      </c>
      <c r="G3" s="1154"/>
      <c r="H3" s="1154"/>
      <c r="I3" s="798" t="s">
        <v>1069</v>
      </c>
      <c r="J3" s="798" t="s">
        <v>1070</v>
      </c>
      <c r="K3" s="1035" t="s">
        <v>226</v>
      </c>
      <c r="L3" s="1035" t="s">
        <v>1153</v>
      </c>
      <c r="M3" s="1035" t="s">
        <v>1154</v>
      </c>
      <c r="N3" s="1035" t="s">
        <v>1083</v>
      </c>
    </row>
    <row r="4" spans="1:14" ht="15.75" x14ac:dyDescent="0.25">
      <c r="A4" s="789" t="s">
        <v>17</v>
      </c>
      <c r="B4" s="789" t="s">
        <v>59</v>
      </c>
      <c r="C4" s="789" t="s">
        <v>575</v>
      </c>
      <c r="D4" s="802">
        <v>9</v>
      </c>
      <c r="E4" s="802">
        <f>Table2928272324[[#This Row],[Shelter]]*8</f>
        <v>72</v>
      </c>
      <c r="G4" s="1049"/>
      <c r="H4" s="1050" t="s">
        <v>1071</v>
      </c>
      <c r="I4" s="1051">
        <f>I17+I22+I28</f>
        <v>2196</v>
      </c>
      <c r="J4" s="1051">
        <f>J17+J22+J28</f>
        <v>17832</v>
      </c>
      <c r="K4" s="1052">
        <f>SUM(I4:J4,K17,K22,K26)</f>
        <v>21706</v>
      </c>
      <c r="L4" s="1053">
        <f>SUM(L17,L22,L26)</f>
        <v>12440</v>
      </c>
      <c r="M4" s="1053">
        <f>M17+M22+M26</f>
        <v>68420</v>
      </c>
      <c r="N4" s="1041">
        <f t="shared" ref="N4:N26" si="0">L4/J4</f>
        <v>0.69762225213100049</v>
      </c>
    </row>
    <row r="5" spans="1:14" x14ac:dyDescent="0.25">
      <c r="A5" s="789" t="s">
        <v>17</v>
      </c>
      <c r="B5" s="789" t="s">
        <v>59</v>
      </c>
      <c r="C5" s="789" t="s">
        <v>1065</v>
      </c>
      <c r="D5" s="801">
        <v>43</v>
      </c>
      <c r="E5" s="802">
        <f>Table2928272324[[#This Row],[Shelter]]*8</f>
        <v>344</v>
      </c>
      <c r="G5" s="1018" t="s">
        <v>17</v>
      </c>
      <c r="H5" s="1019" t="s">
        <v>1072</v>
      </c>
      <c r="I5" s="794">
        <v>52</v>
      </c>
      <c r="J5" s="794">
        <f>I5*8</f>
        <v>416</v>
      </c>
      <c r="K5" s="670">
        <f>D4+Table2928272324[[#This Row],[Shelter]]</f>
        <v>52</v>
      </c>
      <c r="L5" s="670">
        <f>E4+Table2928272324[[#This Row],[Room]]</f>
        <v>416</v>
      </c>
      <c r="M5" s="670">
        <f>L5*5.5</f>
        <v>2288</v>
      </c>
      <c r="N5" s="820">
        <f t="shared" si="0"/>
        <v>1</v>
      </c>
    </row>
    <row r="6" spans="1:14" x14ac:dyDescent="0.25">
      <c r="A6" s="789" t="s">
        <v>17</v>
      </c>
      <c r="B6" s="789" t="s">
        <v>581</v>
      </c>
      <c r="C6" s="789" t="s">
        <v>1065</v>
      </c>
      <c r="D6" s="670">
        <v>30</v>
      </c>
      <c r="E6" s="802">
        <f>Table2928272324[[#This Row],[Shelter]]*8</f>
        <v>240</v>
      </c>
      <c r="G6" s="1018" t="s">
        <v>17</v>
      </c>
      <c r="H6" s="1019" t="s">
        <v>1073</v>
      </c>
      <c r="I6" s="794">
        <v>127</v>
      </c>
      <c r="J6" s="794">
        <f>I6*8</f>
        <v>1016</v>
      </c>
      <c r="K6" s="670">
        <f>Table2928272324[[#This Row],[Shelter]]</f>
        <v>30</v>
      </c>
      <c r="L6" s="670">
        <f>Table2928272324[[#This Row],[Room]]</f>
        <v>240</v>
      </c>
      <c r="M6" s="670">
        <f t="shared" ref="M6:M26" si="1">L6*5.5</f>
        <v>1320</v>
      </c>
      <c r="N6" s="820">
        <f t="shared" si="0"/>
        <v>0.23622047244094488</v>
      </c>
    </row>
    <row r="7" spans="1:14" x14ac:dyDescent="0.25">
      <c r="A7" s="789" t="s">
        <v>17</v>
      </c>
      <c r="B7" s="789" t="s">
        <v>582</v>
      </c>
      <c r="C7" s="789" t="s">
        <v>1065</v>
      </c>
      <c r="D7" s="670">
        <v>13</v>
      </c>
      <c r="E7" s="670">
        <f>Table2928272324[[#This Row],[Shelter]]*8</f>
        <v>104</v>
      </c>
      <c r="G7" s="1018" t="s">
        <v>17</v>
      </c>
      <c r="H7" s="1019" t="s">
        <v>1074</v>
      </c>
      <c r="I7" s="794">
        <v>164</v>
      </c>
      <c r="J7" s="794">
        <f>(112*8)+400</f>
        <v>1296</v>
      </c>
      <c r="K7" s="670">
        <f>Table2928272324[[#This Row],[Shelter]]+D8</f>
        <v>119</v>
      </c>
      <c r="L7" s="670">
        <f>Table2928272324[[#This Row],[Room]]+E8</f>
        <v>952</v>
      </c>
      <c r="M7" s="670">
        <f t="shared" si="1"/>
        <v>5236</v>
      </c>
      <c r="N7" s="820">
        <f t="shared" si="0"/>
        <v>0.73456790123456794</v>
      </c>
    </row>
    <row r="8" spans="1:14" x14ac:dyDescent="0.25">
      <c r="A8" s="789" t="s">
        <v>17</v>
      </c>
      <c r="B8" s="789" t="s">
        <v>582</v>
      </c>
      <c r="C8" s="789" t="s">
        <v>282</v>
      </c>
      <c r="D8" s="670">
        <v>106</v>
      </c>
      <c r="E8" s="670">
        <f>Table2928272324[[#This Row],[Shelter]]*8</f>
        <v>848</v>
      </c>
      <c r="G8" s="1018" t="s">
        <v>17</v>
      </c>
      <c r="H8" s="1019" t="s">
        <v>1075</v>
      </c>
      <c r="I8" s="794">
        <v>182</v>
      </c>
      <c r="J8" s="794">
        <f t="shared" ref="J8:J14" si="2">I8*8</f>
        <v>1456</v>
      </c>
      <c r="K8" s="670">
        <f>D9+D10</f>
        <v>54</v>
      </c>
      <c r="L8" s="670">
        <f>E9+E10</f>
        <v>432</v>
      </c>
      <c r="M8" s="670">
        <f t="shared" si="1"/>
        <v>2376</v>
      </c>
      <c r="N8" s="820">
        <f t="shared" si="0"/>
        <v>0.2967032967032967</v>
      </c>
    </row>
    <row r="9" spans="1:14" x14ac:dyDescent="0.25">
      <c r="A9" s="789" t="s">
        <v>17</v>
      </c>
      <c r="B9" s="789" t="s">
        <v>61</v>
      </c>
      <c r="C9" s="789" t="s">
        <v>1065</v>
      </c>
      <c r="D9" s="670">
        <v>51</v>
      </c>
      <c r="E9" s="670">
        <f>Table2928272324[[#This Row],[Shelter]]*8</f>
        <v>408</v>
      </c>
      <c r="G9" s="1018" t="s">
        <v>17</v>
      </c>
      <c r="H9" s="1019" t="s">
        <v>1076</v>
      </c>
      <c r="I9" s="794">
        <v>50</v>
      </c>
      <c r="J9" s="794">
        <f t="shared" si="2"/>
        <v>400</v>
      </c>
      <c r="K9" s="670">
        <f>D11+D12</f>
        <v>50</v>
      </c>
      <c r="L9" s="670">
        <f>E11+E12</f>
        <v>400</v>
      </c>
      <c r="M9" s="670">
        <f t="shared" si="1"/>
        <v>2200</v>
      </c>
      <c r="N9" s="820">
        <f t="shared" si="0"/>
        <v>1</v>
      </c>
    </row>
    <row r="10" spans="1:14" x14ac:dyDescent="0.25">
      <c r="A10" s="789" t="s">
        <v>17</v>
      </c>
      <c r="B10" s="789" t="s">
        <v>61</v>
      </c>
      <c r="C10" s="789" t="s">
        <v>282</v>
      </c>
      <c r="D10" s="670">
        <v>3</v>
      </c>
      <c r="E10" s="670">
        <f>Table2928272324[[#This Row],[Shelter]]*8</f>
        <v>24</v>
      </c>
      <c r="G10" s="1018" t="s">
        <v>17</v>
      </c>
      <c r="H10" s="1019" t="s">
        <v>1077</v>
      </c>
      <c r="I10" s="794">
        <v>50</v>
      </c>
      <c r="J10" s="794">
        <f t="shared" si="2"/>
        <v>400</v>
      </c>
      <c r="K10" s="670">
        <f>D13+D14</f>
        <v>50</v>
      </c>
      <c r="L10" s="670">
        <f>E13+E14</f>
        <v>400</v>
      </c>
      <c r="M10" s="670">
        <f t="shared" si="1"/>
        <v>2200</v>
      </c>
      <c r="N10" s="820">
        <f t="shared" si="0"/>
        <v>1</v>
      </c>
    </row>
    <row r="11" spans="1:14" x14ac:dyDescent="0.25">
      <c r="A11" s="789" t="s">
        <v>17</v>
      </c>
      <c r="B11" s="789" t="s">
        <v>1063</v>
      </c>
      <c r="C11" s="789" t="s">
        <v>575</v>
      </c>
      <c r="D11" s="670">
        <v>11</v>
      </c>
      <c r="E11" s="670">
        <f>Table2928272324[[#This Row],[Shelter]]*8</f>
        <v>88</v>
      </c>
      <c r="G11" s="1018" t="s">
        <v>17</v>
      </c>
      <c r="H11" s="1019" t="s">
        <v>1078</v>
      </c>
      <c r="I11" s="794">
        <v>82</v>
      </c>
      <c r="J11" s="794">
        <f t="shared" si="2"/>
        <v>656</v>
      </c>
      <c r="K11" s="670">
        <f>D15+D16</f>
        <v>59</v>
      </c>
      <c r="L11" s="670">
        <f>E15+E16</f>
        <v>472</v>
      </c>
      <c r="M11" s="670">
        <f t="shared" si="1"/>
        <v>2596</v>
      </c>
      <c r="N11" s="820">
        <f t="shared" si="0"/>
        <v>0.71951219512195119</v>
      </c>
    </row>
    <row r="12" spans="1:14" x14ac:dyDescent="0.25">
      <c r="A12" s="789" t="s">
        <v>17</v>
      </c>
      <c r="B12" s="789" t="s">
        <v>1063</v>
      </c>
      <c r="C12" s="789" t="s">
        <v>282</v>
      </c>
      <c r="D12" s="670">
        <v>39</v>
      </c>
      <c r="E12" s="670">
        <f>Table2928272324[[#This Row],[Shelter]]*8</f>
        <v>312</v>
      </c>
      <c r="G12" s="1018" t="s">
        <v>17</v>
      </c>
      <c r="H12" s="1019" t="s">
        <v>585</v>
      </c>
      <c r="I12" s="794">
        <v>80</v>
      </c>
      <c r="J12" s="794">
        <f t="shared" si="2"/>
        <v>640</v>
      </c>
      <c r="K12" s="670">
        <f>D17+D18</f>
        <v>43</v>
      </c>
      <c r="L12" s="670">
        <f>E17+E18</f>
        <v>344</v>
      </c>
      <c r="M12" s="670">
        <f t="shared" si="1"/>
        <v>1892</v>
      </c>
      <c r="N12" s="820">
        <f t="shared" si="0"/>
        <v>0.53749999999999998</v>
      </c>
    </row>
    <row r="13" spans="1:14" x14ac:dyDescent="0.25">
      <c r="A13" s="789" t="s">
        <v>17</v>
      </c>
      <c r="B13" s="789" t="s">
        <v>1064</v>
      </c>
      <c r="C13" s="789" t="s">
        <v>575</v>
      </c>
      <c r="D13" s="670">
        <v>14</v>
      </c>
      <c r="E13" s="670">
        <f>Table2928272324[[#This Row],[Shelter]]*8</f>
        <v>112</v>
      </c>
      <c r="G13" s="1018" t="s">
        <v>17</v>
      </c>
      <c r="H13" s="1019" t="s">
        <v>586</v>
      </c>
      <c r="I13" s="794">
        <v>341</v>
      </c>
      <c r="J13" s="794">
        <f t="shared" si="2"/>
        <v>2728</v>
      </c>
      <c r="K13" s="670">
        <f>D19+D20+D21</f>
        <v>287</v>
      </c>
      <c r="L13" s="670">
        <f>E19+E20+E21</f>
        <v>2296</v>
      </c>
      <c r="M13" s="670">
        <f t="shared" si="1"/>
        <v>12628</v>
      </c>
      <c r="N13" s="820">
        <f t="shared" si="0"/>
        <v>0.84164222873900296</v>
      </c>
    </row>
    <row r="14" spans="1:14" x14ac:dyDescent="0.25">
      <c r="A14" s="789" t="s">
        <v>17</v>
      </c>
      <c r="B14" s="789" t="s">
        <v>1064</v>
      </c>
      <c r="C14" s="789" t="s">
        <v>282</v>
      </c>
      <c r="D14" s="670">
        <v>36</v>
      </c>
      <c r="E14" s="670">
        <f>Table2928272324[[#This Row],[Shelter]]*8</f>
        <v>288</v>
      </c>
      <c r="G14" s="1018" t="s">
        <v>17</v>
      </c>
      <c r="H14" s="1019" t="s">
        <v>587</v>
      </c>
      <c r="I14" s="794">
        <v>285</v>
      </c>
      <c r="J14" s="794">
        <f t="shared" si="2"/>
        <v>2280</v>
      </c>
      <c r="K14" s="670">
        <f>D22+D23</f>
        <v>287</v>
      </c>
      <c r="L14" s="670">
        <f>E21+E22</f>
        <v>1312</v>
      </c>
      <c r="M14" s="670">
        <f t="shared" si="1"/>
        <v>7216</v>
      </c>
      <c r="N14" s="820">
        <f t="shared" si="0"/>
        <v>0.57543859649122808</v>
      </c>
    </row>
    <row r="15" spans="1:14" x14ac:dyDescent="0.25">
      <c r="A15" s="789" t="s">
        <v>17</v>
      </c>
      <c r="B15" s="789" t="s">
        <v>580</v>
      </c>
      <c r="C15" s="789" t="s">
        <v>913</v>
      </c>
      <c r="D15" s="670">
        <v>15</v>
      </c>
      <c r="E15" s="670">
        <f>Table2928272324[[#This Row],[Shelter]]*8</f>
        <v>120</v>
      </c>
      <c r="G15" s="1018" t="s">
        <v>17</v>
      </c>
      <c r="H15" s="1020" t="s">
        <v>65</v>
      </c>
      <c r="I15" s="794">
        <v>300</v>
      </c>
      <c r="J15" s="794">
        <f>(160*8)+1400</f>
        <v>2680</v>
      </c>
      <c r="K15" s="670">
        <f>D24+D25+D26+D27</f>
        <v>278</v>
      </c>
      <c r="L15" s="670">
        <f>E24+E25+E26+E27</f>
        <v>2224</v>
      </c>
      <c r="M15" s="670">
        <f t="shared" si="1"/>
        <v>12232</v>
      </c>
      <c r="N15" s="820">
        <f t="shared" si="0"/>
        <v>0.82985074626865674</v>
      </c>
    </row>
    <row r="16" spans="1:14" x14ac:dyDescent="0.25">
      <c r="A16" s="789" t="s">
        <v>17</v>
      </c>
      <c r="B16" s="789" t="s">
        <v>580</v>
      </c>
      <c r="C16" s="789" t="s">
        <v>574</v>
      </c>
      <c r="D16" s="670">
        <v>44</v>
      </c>
      <c r="E16" s="670">
        <f>Table2928272324[[#This Row],[Shelter]]*8</f>
        <v>352</v>
      </c>
      <c r="G16" s="1018" t="s">
        <v>17</v>
      </c>
      <c r="H16" s="1019" t="s">
        <v>1079</v>
      </c>
      <c r="I16" s="794">
        <v>125</v>
      </c>
      <c r="J16" s="794">
        <f>I16*8</f>
        <v>1000</v>
      </c>
      <c r="K16" s="670">
        <f>D33+D34+D35</f>
        <v>104</v>
      </c>
      <c r="L16" s="670">
        <f>E33+E34+E35</f>
        <v>832</v>
      </c>
      <c r="M16" s="670">
        <f t="shared" si="1"/>
        <v>4576</v>
      </c>
      <c r="N16" s="820">
        <f t="shared" si="0"/>
        <v>0.83199999999999996</v>
      </c>
    </row>
    <row r="17" spans="1:14" x14ac:dyDescent="0.25">
      <c r="A17" s="789" t="s">
        <v>17</v>
      </c>
      <c r="B17" s="789" t="s">
        <v>585</v>
      </c>
      <c r="C17" s="789" t="s">
        <v>273</v>
      </c>
      <c r="D17" s="670">
        <v>30</v>
      </c>
      <c r="E17" s="670">
        <f>Table2928272324[[#This Row],[Shelter]]*8</f>
        <v>240</v>
      </c>
      <c r="G17" s="1038"/>
      <c r="H17" s="1038"/>
      <c r="I17" s="1039">
        <f>SUM(I5:I16)</f>
        <v>1838</v>
      </c>
      <c r="J17" s="1039">
        <f>SUM(J5:J16)</f>
        <v>14968</v>
      </c>
      <c r="K17" s="1040">
        <f>SUM(K5:K16)</f>
        <v>1413</v>
      </c>
      <c r="L17" s="1040">
        <f>SUM(L5:L16)</f>
        <v>10320</v>
      </c>
      <c r="M17" s="1040">
        <f t="shared" si="1"/>
        <v>56760</v>
      </c>
      <c r="N17" s="1041">
        <f t="shared" si="0"/>
        <v>0.689470871191876</v>
      </c>
    </row>
    <row r="18" spans="1:14" x14ac:dyDescent="0.25">
      <c r="A18" s="789" t="s">
        <v>17</v>
      </c>
      <c r="B18" s="789" t="s">
        <v>585</v>
      </c>
      <c r="C18" s="789" t="s">
        <v>1065</v>
      </c>
      <c r="D18" s="670">
        <v>13</v>
      </c>
      <c r="E18" s="670">
        <f>Table2928272324[[#This Row],[Shelter]]*8</f>
        <v>104</v>
      </c>
      <c r="G18" s="1018" t="s">
        <v>13</v>
      </c>
      <c r="H18" s="1019" t="s">
        <v>38</v>
      </c>
      <c r="I18" s="794">
        <v>97</v>
      </c>
      <c r="J18" s="794">
        <f>I18*8</f>
        <v>776</v>
      </c>
      <c r="K18" s="670">
        <f>D29</f>
        <v>81</v>
      </c>
      <c r="L18" s="670">
        <f>E29</f>
        <v>648</v>
      </c>
      <c r="M18" s="670">
        <f t="shared" si="1"/>
        <v>3564</v>
      </c>
      <c r="N18" s="820">
        <f t="shared" si="0"/>
        <v>0.83505154639175261</v>
      </c>
    </row>
    <row r="19" spans="1:14" x14ac:dyDescent="0.25">
      <c r="A19" s="789" t="s">
        <v>17</v>
      </c>
      <c r="B19" s="789" t="s">
        <v>586</v>
      </c>
      <c r="C19" s="789" t="s">
        <v>1065</v>
      </c>
      <c r="D19" s="670">
        <v>69</v>
      </c>
      <c r="E19" s="670">
        <f>Table2928272324[[#This Row],[Shelter]]*8</f>
        <v>552</v>
      </c>
      <c r="G19" s="1018" t="s">
        <v>13</v>
      </c>
      <c r="H19" s="1019" t="s">
        <v>40</v>
      </c>
      <c r="I19" s="794">
        <v>80</v>
      </c>
      <c r="J19" s="794">
        <f>I19*8</f>
        <v>640</v>
      </c>
      <c r="K19" s="670">
        <v>0</v>
      </c>
      <c r="L19" s="670">
        <v>0</v>
      </c>
      <c r="M19" s="670">
        <f t="shared" si="1"/>
        <v>0</v>
      </c>
      <c r="N19" s="820">
        <f t="shared" si="0"/>
        <v>0</v>
      </c>
    </row>
    <row r="20" spans="1:14" x14ac:dyDescent="0.25">
      <c r="A20" s="789" t="s">
        <v>17</v>
      </c>
      <c r="B20" s="789" t="s">
        <v>586</v>
      </c>
      <c r="C20" s="793" t="s">
        <v>282</v>
      </c>
      <c r="D20" s="670">
        <v>148</v>
      </c>
      <c r="E20" s="670">
        <f>Table2928272324[[#This Row],[Shelter]]*8</f>
        <v>1184</v>
      </c>
      <c r="G20" s="1018" t="s">
        <v>13</v>
      </c>
      <c r="H20" s="1019" t="s">
        <v>991</v>
      </c>
      <c r="I20" s="794">
        <v>87</v>
      </c>
      <c r="J20" s="794">
        <f>I20*8</f>
        <v>696</v>
      </c>
      <c r="K20" s="670">
        <f>D30+D31</f>
        <v>87</v>
      </c>
      <c r="L20" s="670">
        <f>E30+E31</f>
        <v>696</v>
      </c>
      <c r="M20" s="670">
        <f t="shared" si="1"/>
        <v>3828</v>
      </c>
      <c r="N20" s="820">
        <f t="shared" si="0"/>
        <v>1</v>
      </c>
    </row>
    <row r="21" spans="1:14" x14ac:dyDescent="0.25">
      <c r="A21" s="789" t="s">
        <v>17</v>
      </c>
      <c r="B21" s="789" t="s">
        <v>586</v>
      </c>
      <c r="C21" s="789" t="s">
        <v>273</v>
      </c>
      <c r="D21" s="670">
        <v>70</v>
      </c>
      <c r="E21" s="670">
        <f>Table2928272324[[#This Row],[Shelter]]*8</f>
        <v>560</v>
      </c>
      <c r="G21" s="1018" t="s">
        <v>13</v>
      </c>
      <c r="H21" s="1019" t="s">
        <v>41</v>
      </c>
      <c r="I21" s="794">
        <v>94</v>
      </c>
      <c r="J21" s="794">
        <f>I21*8</f>
        <v>752</v>
      </c>
      <c r="K21" s="670">
        <f>D28</f>
        <v>94</v>
      </c>
      <c r="L21" s="670">
        <f>E28</f>
        <v>752</v>
      </c>
      <c r="M21" s="670">
        <f t="shared" si="1"/>
        <v>4136</v>
      </c>
      <c r="N21" s="820">
        <f t="shared" si="0"/>
        <v>1</v>
      </c>
    </row>
    <row r="22" spans="1:14" x14ac:dyDescent="0.25">
      <c r="A22" s="789" t="s">
        <v>17</v>
      </c>
      <c r="B22" s="789" t="s">
        <v>587</v>
      </c>
      <c r="C22" s="789" t="s">
        <v>1065</v>
      </c>
      <c r="D22" s="670">
        <v>94</v>
      </c>
      <c r="E22" s="670">
        <f>Table2928272324[[#This Row],[Shelter]]*8</f>
        <v>752</v>
      </c>
      <c r="G22" s="1042"/>
      <c r="H22" s="1043"/>
      <c r="I22" s="1044">
        <f>SUM(I18:I21)</f>
        <v>358</v>
      </c>
      <c r="J22" s="1044">
        <f>SUM(J18:J21)</f>
        <v>2864</v>
      </c>
      <c r="K22" s="1040">
        <f>SUM(K18:K21)</f>
        <v>262</v>
      </c>
      <c r="L22" s="1040">
        <f>SUM(L18:L21)</f>
        <v>2096</v>
      </c>
      <c r="M22" s="1040">
        <f t="shared" si="1"/>
        <v>11528</v>
      </c>
      <c r="N22" s="1041">
        <f t="shared" si="0"/>
        <v>0.73184357541899436</v>
      </c>
    </row>
    <row r="23" spans="1:14" x14ac:dyDescent="0.25">
      <c r="A23" s="789" t="s">
        <v>17</v>
      </c>
      <c r="B23" s="789" t="s">
        <v>587</v>
      </c>
      <c r="C23" s="789" t="s">
        <v>282</v>
      </c>
      <c r="D23" s="670">
        <v>193</v>
      </c>
      <c r="E23" s="670">
        <f>Table2928272324[[#This Row],[Shelter]]*8</f>
        <v>1544</v>
      </c>
      <c r="G23" s="1018" t="s">
        <v>817</v>
      </c>
      <c r="H23" s="1019" t="s">
        <v>1080</v>
      </c>
      <c r="I23" s="794">
        <v>89</v>
      </c>
      <c r="J23" s="794">
        <f>I23*8</f>
        <v>712</v>
      </c>
      <c r="K23" s="670">
        <v>0</v>
      </c>
      <c r="L23" s="670">
        <v>0</v>
      </c>
      <c r="M23" s="670">
        <f t="shared" si="1"/>
        <v>0</v>
      </c>
      <c r="N23" s="820">
        <f t="shared" si="0"/>
        <v>0</v>
      </c>
    </row>
    <row r="24" spans="1:14" x14ac:dyDescent="0.25">
      <c r="A24" s="789" t="s">
        <v>17</v>
      </c>
      <c r="B24" s="789" t="s">
        <v>65</v>
      </c>
      <c r="C24" s="789" t="s">
        <v>1065</v>
      </c>
      <c r="D24" s="670">
        <v>177</v>
      </c>
      <c r="E24" s="670">
        <f>Table2928272324[[#This Row],[Shelter]]*8</f>
        <v>1416</v>
      </c>
      <c r="G24" s="1018" t="s">
        <v>14</v>
      </c>
      <c r="H24" s="1019" t="s">
        <v>45</v>
      </c>
      <c r="I24" s="794">
        <v>9</v>
      </c>
      <c r="J24" s="794">
        <f>I24*8</f>
        <v>72</v>
      </c>
      <c r="K24" s="670">
        <f>D32</f>
        <v>3</v>
      </c>
      <c r="L24" s="670">
        <f>E32</f>
        <v>24</v>
      </c>
      <c r="M24" s="670">
        <f t="shared" si="1"/>
        <v>132</v>
      </c>
      <c r="N24" s="820">
        <f t="shared" si="0"/>
        <v>0.33333333333333331</v>
      </c>
    </row>
    <row r="25" spans="1:14" x14ac:dyDescent="0.25">
      <c r="A25" s="789" t="s">
        <v>17</v>
      </c>
      <c r="B25" s="789" t="s">
        <v>65</v>
      </c>
      <c r="C25" s="789" t="s">
        <v>1156</v>
      </c>
      <c r="D25" s="670">
        <v>84</v>
      </c>
      <c r="E25" s="670">
        <f>Table2928272324[[#This Row],[Shelter]]*8</f>
        <v>672</v>
      </c>
      <c r="G25" s="1018" t="s">
        <v>1081</v>
      </c>
      <c r="H25" s="1019" t="s">
        <v>56</v>
      </c>
      <c r="I25" s="794">
        <v>50</v>
      </c>
      <c r="J25" s="794">
        <f>I25*8</f>
        <v>400</v>
      </c>
      <c r="K25" s="670">
        <v>0</v>
      </c>
      <c r="L25" s="670">
        <v>0</v>
      </c>
      <c r="M25" s="670">
        <f t="shared" si="1"/>
        <v>0</v>
      </c>
      <c r="N25" s="820">
        <f t="shared" si="0"/>
        <v>0</v>
      </c>
    </row>
    <row r="26" spans="1:14" x14ac:dyDescent="0.25">
      <c r="A26" s="789" t="s">
        <v>17</v>
      </c>
      <c r="B26" s="789" t="s">
        <v>65</v>
      </c>
      <c r="C26" s="789" t="s">
        <v>1066</v>
      </c>
      <c r="D26" s="670">
        <v>7</v>
      </c>
      <c r="E26" s="670">
        <f>Table2928272324[[#This Row],[Shelter]]*8</f>
        <v>56</v>
      </c>
      <c r="G26" s="1045"/>
      <c r="H26" s="1046"/>
      <c r="I26" s="1044">
        <f>SUM(I23:I25)</f>
        <v>148</v>
      </c>
      <c r="J26" s="1044">
        <f>SUM(J23:J25)</f>
        <v>1184</v>
      </c>
      <c r="K26" s="1047">
        <f>SUM(K23:K25)</f>
        <v>3</v>
      </c>
      <c r="L26" s="1047">
        <f>SUM(L23:L25)</f>
        <v>24</v>
      </c>
      <c r="M26" s="1040">
        <f t="shared" si="1"/>
        <v>132</v>
      </c>
      <c r="N26" s="1048">
        <f t="shared" si="0"/>
        <v>2.0270270270270271E-2</v>
      </c>
    </row>
    <row r="27" spans="1:14" x14ac:dyDescent="0.25">
      <c r="A27" s="789" t="s">
        <v>17</v>
      </c>
      <c r="B27" s="789" t="s">
        <v>65</v>
      </c>
      <c r="C27" s="789" t="s">
        <v>282</v>
      </c>
      <c r="D27" s="670">
        <v>10</v>
      </c>
      <c r="E27" s="670">
        <f>Table2928272324[[#This Row],[Shelter]]*8</f>
        <v>80</v>
      </c>
      <c r="G27" s="1036"/>
      <c r="H27" s="1037"/>
      <c r="I27" s="618"/>
      <c r="J27" s="618"/>
    </row>
    <row r="28" spans="1:14" x14ac:dyDescent="0.25">
      <c r="A28" s="391" t="s">
        <v>13</v>
      </c>
      <c r="B28" s="391" t="s">
        <v>41</v>
      </c>
      <c r="C28" s="391" t="s">
        <v>270</v>
      </c>
      <c r="D28" s="19">
        <v>94</v>
      </c>
      <c r="E28" s="670">
        <f>Table2928272324[[#This Row],[Shelter]]*8</f>
        <v>752</v>
      </c>
      <c r="G28" s="795"/>
      <c r="H28" s="796"/>
      <c r="I28" s="797"/>
      <c r="J28" s="797"/>
    </row>
    <row r="29" spans="1:14" x14ac:dyDescent="0.25">
      <c r="A29" s="391" t="s">
        <v>13</v>
      </c>
      <c r="B29" s="391" t="s">
        <v>38</v>
      </c>
      <c r="C29" s="391" t="s">
        <v>575</v>
      </c>
      <c r="D29" s="19">
        <v>81</v>
      </c>
      <c r="E29" s="670">
        <f>Table2928272324[[#This Row],[Shelter]]*8</f>
        <v>648</v>
      </c>
    </row>
    <row r="30" spans="1:14" x14ac:dyDescent="0.25">
      <c r="A30" s="391" t="s">
        <v>13</v>
      </c>
      <c r="B30" s="391" t="s">
        <v>991</v>
      </c>
      <c r="C30" s="391" t="s">
        <v>575</v>
      </c>
      <c r="D30" s="19">
        <v>42</v>
      </c>
      <c r="E30" s="670">
        <f>Table2928272324[[#This Row],[Shelter]]*8</f>
        <v>336</v>
      </c>
    </row>
    <row r="31" spans="1:14" x14ac:dyDescent="0.25">
      <c r="A31" s="391" t="s">
        <v>13</v>
      </c>
      <c r="B31" s="391" t="s">
        <v>991</v>
      </c>
      <c r="C31" s="391" t="s">
        <v>270</v>
      </c>
      <c r="D31" s="19">
        <v>45</v>
      </c>
      <c r="E31" s="670">
        <f>Table2928272324[[#This Row],[Shelter]]*8</f>
        <v>360</v>
      </c>
    </row>
    <row r="32" spans="1:14" x14ac:dyDescent="0.25">
      <c r="A32" s="391" t="s">
        <v>14</v>
      </c>
      <c r="B32" s="391" t="s">
        <v>45</v>
      </c>
      <c r="C32" s="391" t="s">
        <v>1065</v>
      </c>
      <c r="D32" s="19">
        <v>3</v>
      </c>
      <c r="E32" s="670">
        <f>Table2928272324[[#This Row],[Shelter]]*8</f>
        <v>24</v>
      </c>
    </row>
    <row r="33" spans="1:5" x14ac:dyDescent="0.25">
      <c r="A33" s="391" t="s">
        <v>17</v>
      </c>
      <c r="B33" s="391" t="s">
        <v>1157</v>
      </c>
      <c r="C33" s="391" t="s">
        <v>1065</v>
      </c>
      <c r="D33" s="19">
        <v>54</v>
      </c>
      <c r="E33" s="19">
        <f>Table2928272324[[#This Row],[Shelter]]*8</f>
        <v>432</v>
      </c>
    </row>
    <row r="34" spans="1:5" x14ac:dyDescent="0.25">
      <c r="A34" s="391" t="s">
        <v>17</v>
      </c>
      <c r="B34" s="391" t="s">
        <v>1157</v>
      </c>
      <c r="C34" s="391" t="s">
        <v>574</v>
      </c>
      <c r="D34" s="19">
        <v>40</v>
      </c>
      <c r="E34" s="19">
        <f>Table2928272324[[#This Row],[Shelter]]*8</f>
        <v>320</v>
      </c>
    </row>
    <row r="35" spans="1:5" x14ac:dyDescent="0.25">
      <c r="A35" s="391" t="s">
        <v>17</v>
      </c>
      <c r="B35" s="391" t="s">
        <v>1157</v>
      </c>
      <c r="C35" s="391" t="s">
        <v>913</v>
      </c>
      <c r="D35" s="19">
        <v>10</v>
      </c>
      <c r="E35" s="19">
        <f>Table2928272324[[#This Row],[Shelter]]*8</f>
        <v>80</v>
      </c>
    </row>
  </sheetData>
  <autoFilter ref="A3:C3"/>
  <mergeCells count="6">
    <mergeCell ref="A1:E2"/>
    <mergeCell ref="G1:G3"/>
    <mergeCell ref="H1:H3"/>
    <mergeCell ref="I1:J2"/>
    <mergeCell ref="K2:N2"/>
    <mergeCell ref="K1:N1"/>
  </mergeCells>
  <dataValidations count="6">
    <dataValidation type="list" allowBlank="1" showInputMessage="1" showErrorMessage="1" sqref="A23:A27">
      <formula1>INDIRECT(I1047979)</formula1>
    </dataValidation>
    <dataValidation type="list" allowBlank="1" showInputMessage="1" showErrorMessage="1" sqref="A22">
      <formula1>INDIRECT(I1047977)</formula1>
    </dataValidation>
    <dataValidation type="list" allowBlank="1" showInputMessage="1" showErrorMessage="1" sqref="A17:A21">
      <formula1>INDIRECT(I1047971)</formula1>
    </dataValidation>
    <dataValidation type="list" allowBlank="1" showInputMessage="1" showErrorMessage="1" sqref="A7:A16">
      <formula1>INDIRECT(I1047959)</formula1>
    </dataValidation>
    <dataValidation type="list" allowBlank="1" showInputMessage="1" showErrorMessage="1" sqref="A4:A6">
      <formula1>INDIRECT(I1047955)</formula1>
    </dataValidation>
    <dataValidation type="list" allowBlank="1" showInputMessage="1" showErrorMessage="1" sqref="B4:C27">
      <formula1>OFFSET(TCL_T1,MATCH(A4,TCL_T,0)-1,1,COUNTIF(TCL_T,A4),1)</formula1>
    </dataValidation>
  </dataValidations>
  <pageMargins left="0.7" right="0.7" top="0.75" bottom="0.75" header="0.3" footer="0.3"/>
  <legacyDrawing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J40"/>
  <sheetViews>
    <sheetView showZeros="0" zoomScale="86" zoomScaleNormal="86" workbookViewId="0">
      <pane ySplit="2" topLeftCell="A12" activePane="bottomLeft" state="frozen"/>
      <selection activeCell="B14" sqref="B14"/>
      <selection pane="bottomLeft" activeCell="B34" sqref="B34"/>
    </sheetView>
  </sheetViews>
  <sheetFormatPr defaultRowHeight="15" x14ac:dyDescent="0.25"/>
  <cols>
    <col min="1" max="1" width="12.140625" customWidth="1"/>
    <col min="2" max="2" width="27.7109375" customWidth="1"/>
    <col min="3" max="3" width="21.7109375" customWidth="1"/>
    <col min="4" max="4" width="14" customWidth="1"/>
    <col min="5" max="5" width="40.28515625" customWidth="1"/>
    <col min="6" max="7" width="14.85546875" customWidth="1"/>
    <col min="8" max="8" width="16" customWidth="1"/>
    <col min="9" max="10" width="16.5703125" customWidth="1"/>
    <col min="11" max="11" width="13" style="78" customWidth="1"/>
    <col min="12" max="12" width="15.85546875" style="78" customWidth="1"/>
    <col min="13" max="13" width="21.5703125" style="78" customWidth="1"/>
    <col min="14" max="14" width="12.85546875" bestFit="1" customWidth="1"/>
    <col min="15" max="15" width="18.42578125" customWidth="1"/>
    <col min="16" max="16" width="20.140625" customWidth="1"/>
    <col min="17" max="17" width="10.5703125" customWidth="1"/>
    <col min="18" max="18" width="33.42578125" style="50" customWidth="1"/>
    <col min="19" max="19" width="5.140625" customWidth="1"/>
    <col min="20" max="20" width="12.42578125" customWidth="1"/>
  </cols>
  <sheetData>
    <row r="1" spans="1:62" s="1" customFormat="1" ht="36" x14ac:dyDescent="0.25">
      <c r="A1" s="157"/>
      <c r="B1" s="158"/>
      <c r="C1" s="158"/>
      <c r="D1" s="158"/>
      <c r="E1" s="158"/>
      <c r="F1" s="158"/>
      <c r="G1" s="158"/>
      <c r="H1" s="158"/>
      <c r="I1" s="158"/>
      <c r="J1" s="158"/>
      <c r="K1" s="158"/>
      <c r="L1" s="158"/>
      <c r="M1" s="158"/>
      <c r="N1" s="158"/>
      <c r="O1" s="158"/>
      <c r="P1" s="158"/>
      <c r="Q1" s="158"/>
      <c r="R1" s="174"/>
      <c r="S1" s="56"/>
      <c r="T1" s="50"/>
      <c r="U1" s="50"/>
      <c r="V1" s="50"/>
      <c r="W1" s="50"/>
      <c r="X1" s="50"/>
      <c r="BI1" s="57"/>
      <c r="BJ1" s="57"/>
    </row>
    <row r="2" spans="1:62" s="1" customFormat="1" ht="30.75" customHeight="1" x14ac:dyDescent="0.25">
      <c r="A2" s="1163" t="s">
        <v>1120</v>
      </c>
      <c r="B2" s="1164"/>
      <c r="C2" s="1164"/>
      <c r="D2" s="176"/>
      <c r="E2" s="176"/>
      <c r="F2" s="176"/>
      <c r="G2" s="176"/>
      <c r="H2" s="176"/>
      <c r="I2" s="176"/>
      <c r="J2" s="176"/>
      <c r="K2" s="176"/>
      <c r="L2" s="176"/>
      <c r="M2" s="176"/>
      <c r="N2" s="176"/>
      <c r="O2" s="176"/>
      <c r="P2" s="176"/>
      <c r="Q2" s="176"/>
      <c r="R2" s="177"/>
      <c r="S2" s="56"/>
      <c r="T2" s="50"/>
      <c r="U2" s="50"/>
      <c r="V2" s="50"/>
      <c r="W2" s="50"/>
      <c r="X2" s="50"/>
      <c r="BI2" s="57"/>
      <c r="BJ2" s="57"/>
    </row>
    <row r="3" spans="1:62" s="16" customFormat="1" ht="22.5" customHeight="1" x14ac:dyDescent="0.25">
      <c r="A3" s="1165">
        <f>Report_Date</f>
        <v>43190</v>
      </c>
      <c r="B3" s="1166"/>
      <c r="C3" s="1166"/>
      <c r="D3" s="1166"/>
      <c r="E3" s="1166"/>
      <c r="F3" s="1166"/>
      <c r="G3" s="1166"/>
      <c r="H3" s="1166"/>
      <c r="I3" s="1166"/>
      <c r="J3" s="1166"/>
      <c r="K3" s="1166"/>
      <c r="L3" s="1166"/>
      <c r="M3" s="1166"/>
      <c r="N3" s="1166"/>
      <c r="O3" s="1166"/>
      <c r="P3" s="1166"/>
      <c r="Q3" s="1166"/>
      <c r="R3" s="1167"/>
      <c r="S3" s="45"/>
      <c r="T3" s="45"/>
      <c r="U3" s="45"/>
      <c r="V3" s="58"/>
      <c r="W3" s="45"/>
      <c r="X3" s="45"/>
      <c r="BI3" s="58"/>
      <c r="BJ3" s="58"/>
    </row>
    <row r="4" spans="1:62" s="16" customFormat="1" ht="19.5" customHeight="1" x14ac:dyDescent="0.25">
      <c r="A4" s="60" t="s">
        <v>1098</v>
      </c>
      <c r="B4" s="60"/>
      <c r="C4" s="60"/>
      <c r="D4" s="45"/>
      <c r="E4" s="45"/>
      <c r="F4" s="45"/>
      <c r="G4" s="45"/>
      <c r="H4" s="45"/>
      <c r="I4" s="45"/>
      <c r="J4" s="45"/>
      <c r="K4" s="45"/>
      <c r="L4" s="45"/>
      <c r="M4" s="180"/>
      <c r="N4" s="38"/>
      <c r="O4" s="180"/>
      <c r="P4" s="180"/>
      <c r="Q4" s="180"/>
      <c r="R4" s="180"/>
      <c r="S4" s="45"/>
      <c r="T4" s="45"/>
      <c r="U4" s="45"/>
      <c r="V4" s="58"/>
      <c r="W4" s="45"/>
      <c r="X4" s="45"/>
      <c r="BI4" s="58"/>
      <c r="BJ4" s="58"/>
    </row>
    <row r="5" spans="1:62" ht="48.75" customHeight="1" x14ac:dyDescent="0.25">
      <c r="A5" s="82" t="s">
        <v>1</v>
      </c>
      <c r="B5" s="82" t="s">
        <v>213</v>
      </c>
      <c r="C5" s="82" t="s">
        <v>214</v>
      </c>
      <c r="D5" s="82" t="s">
        <v>216</v>
      </c>
      <c r="E5" s="821" t="s">
        <v>211</v>
      </c>
      <c r="F5" s="821" t="s">
        <v>212</v>
      </c>
      <c r="G5" s="821" t="s">
        <v>210</v>
      </c>
      <c r="H5" s="815" t="s">
        <v>217</v>
      </c>
      <c r="I5" s="815" t="s">
        <v>215</v>
      </c>
      <c r="J5" s="814" t="s">
        <v>479</v>
      </c>
      <c r="K5" s="815" t="s">
        <v>478</v>
      </c>
      <c r="L5" s="816" t="s">
        <v>480</v>
      </c>
      <c r="M5" s="6"/>
      <c r="N5" s="6"/>
      <c r="O5" s="6"/>
      <c r="P5" s="6"/>
      <c r="Q5" s="6"/>
      <c r="R5" s="6"/>
      <c r="S5" s="50"/>
    </row>
    <row r="6" spans="1:62" x14ac:dyDescent="0.25">
      <c r="A6" s="26" t="s">
        <v>561</v>
      </c>
      <c r="B6" s="33">
        <f>SUMIFS(Camplist_HH,Camplist_Township,'Shelter Progress'!$A6,CampList_Status,"Open")</f>
        <v>415</v>
      </c>
      <c r="C6" s="33">
        <f>SUMIFS(Camplist_Popl,Camplist_Township,'Shelter Progress'!$A6,CampList_Status,"Open")</f>
        <v>1050</v>
      </c>
      <c r="D6" s="52">
        <f t="shared" ref="D6:D10" si="0">SUMIF(Col_Shelter_Township,$A6,Col_Shelter_Tent_Dist)</f>
        <v>0</v>
      </c>
      <c r="E6" s="52">
        <f t="shared" ref="E6:E10" si="1">SUMIF(Col_Shelter_Township,$A6,Col_Shelter_Temp_B)</f>
        <v>53</v>
      </c>
      <c r="F6" s="52">
        <f t="shared" ref="F6:F10" si="2">SUMIF(Col_Shelter_Township,$A6,Col_Shelter_Temp_U)</f>
        <v>0</v>
      </c>
      <c r="G6" s="52">
        <f t="shared" ref="G6:G10" si="3">SUMIF(Col_Shelter_Township,$A6,Col_Shelter_Temp_P)</f>
        <v>53</v>
      </c>
      <c r="H6" s="52">
        <f ca="1">SUMIF(Col_Shelter_Township,$A6,Shelter_HH_Covered)</f>
        <v>424</v>
      </c>
      <c r="I6" s="194">
        <f t="shared" ref="I6:I11" ca="1" si="4">H6*S6</f>
        <v>1072.7710843373493</v>
      </c>
      <c r="J6" s="195">
        <f ca="1">B6-H6</f>
        <v>-9</v>
      </c>
      <c r="K6" s="196">
        <f ca="1">IF(H6/B6&gt;1,1,H6/B6)</f>
        <v>1</v>
      </c>
      <c r="L6" s="195">
        <f ca="1">MAX(0,C6-I6)</f>
        <v>0</v>
      </c>
      <c r="M6" s="6"/>
      <c r="N6" s="6"/>
      <c r="O6" s="6"/>
      <c r="P6" s="6"/>
      <c r="Q6" s="6"/>
      <c r="R6" s="6"/>
      <c r="S6" s="35">
        <f t="shared" ref="S6:S11" si="5">C6/B6</f>
        <v>2.5301204819277108</v>
      </c>
      <c r="T6" s="669"/>
    </row>
    <row r="7" spans="1:62" x14ac:dyDescent="0.25">
      <c r="A7" s="26" t="s">
        <v>14</v>
      </c>
      <c r="B7" s="33">
        <f>SUMIFS(Camplist_HH,Camplist_Township,'Shelter Progress'!$A7,CampList_Status,"Open")</f>
        <v>85</v>
      </c>
      <c r="C7" s="33">
        <f>SUMIFS(Camplist_Popl,Camplist_Township,'Shelter Progress'!$A7,CampList_Status,"Open")</f>
        <v>546</v>
      </c>
      <c r="D7" s="52">
        <f>SUMIF(Col_Shelter_Township,$A7,Col_Shelter_Tent_Dist)</f>
        <v>0</v>
      </c>
      <c r="E7" s="52">
        <f t="shared" si="1"/>
        <v>9</v>
      </c>
      <c r="F7" s="52">
        <f t="shared" si="2"/>
        <v>0</v>
      </c>
      <c r="G7" s="52">
        <f t="shared" si="3"/>
        <v>9</v>
      </c>
      <c r="H7" s="52">
        <f ca="1">SUMIF(Col_Shelter_Township,$A7,Shelter_HH_Covered)</f>
        <v>72</v>
      </c>
      <c r="I7" s="194">
        <f t="shared" ca="1" si="4"/>
        <v>462.49411764705883</v>
      </c>
      <c r="J7" s="195">
        <f t="shared" ref="J7:J11" ca="1" si="6">B7-H7</f>
        <v>13</v>
      </c>
      <c r="K7" s="196">
        <f t="shared" ref="K7:K11" ca="1" si="7">IF(H7/B7&gt;1,1,H7/B7)</f>
        <v>0.84705882352941175</v>
      </c>
      <c r="L7" s="195">
        <f t="shared" ref="L7:L11" ca="1" si="8">MAX(0,C7-I7)</f>
        <v>83.505882352941171</v>
      </c>
      <c r="M7" s="6"/>
      <c r="N7" s="6"/>
      <c r="O7" s="6"/>
      <c r="P7" s="6"/>
      <c r="Q7" s="6"/>
      <c r="R7" s="6"/>
      <c r="S7" s="35">
        <f t="shared" si="5"/>
        <v>6.4235294117647062</v>
      </c>
      <c r="T7" s="669"/>
      <c r="U7" s="41"/>
    </row>
    <row r="8" spans="1:62" x14ac:dyDescent="0.25">
      <c r="A8" s="166" t="s">
        <v>817</v>
      </c>
      <c r="B8" s="33">
        <f>SUMIFS(Camplist_HH,Camplist_Township,'Shelter Progress'!$A8,CampList_Status,"Open")</f>
        <v>687</v>
      </c>
      <c r="C8" s="33">
        <f>SUMIFS(Camplist_Popl,Camplist_Township,'Shelter Progress'!$A8,CampList_Status,"Open")</f>
        <v>2606</v>
      </c>
      <c r="D8" s="52">
        <f t="shared" si="0"/>
        <v>0</v>
      </c>
      <c r="E8" s="52">
        <f t="shared" si="1"/>
        <v>89</v>
      </c>
      <c r="F8" s="52">
        <f t="shared" si="2"/>
        <v>0</v>
      </c>
      <c r="G8" s="52">
        <f t="shared" si="3"/>
        <v>89</v>
      </c>
      <c r="H8" s="52">
        <f ca="1">SUMIF(Col_Shelter_Township,$A8,Shelter_HH_Covered)</f>
        <v>712</v>
      </c>
      <c r="I8" s="194">
        <f t="shared" ca="1" si="4"/>
        <v>2700.8326055312955</v>
      </c>
      <c r="J8" s="195">
        <f ca="1">B8-H8</f>
        <v>-25</v>
      </c>
      <c r="K8" s="196">
        <f t="shared" ca="1" si="7"/>
        <v>1</v>
      </c>
      <c r="L8" s="195">
        <f t="shared" ca="1" si="8"/>
        <v>0</v>
      </c>
      <c r="M8" s="6"/>
      <c r="N8" s="6"/>
      <c r="O8" s="6"/>
      <c r="P8" s="6"/>
      <c r="Q8" s="6"/>
      <c r="R8" s="6"/>
      <c r="S8" s="35">
        <f t="shared" si="5"/>
        <v>3.7933042212518195</v>
      </c>
      <c r="U8" s="41"/>
    </row>
    <row r="9" spans="1:62" x14ac:dyDescent="0.25">
      <c r="A9" s="166" t="s">
        <v>13</v>
      </c>
      <c r="B9" s="33">
        <f>SUMIFS(Camplist_HH,Camplist_Township,'Shelter Progress'!$A9,CampList_Status,"Open")-(648+891)</f>
        <v>3574</v>
      </c>
      <c r="C9" s="33">
        <f>SUMIFS(Camplist_Popl,Camplist_Township,'Shelter Progress'!$A9,CampList_Status,"Open")-(3240+4239)</f>
        <v>14346</v>
      </c>
      <c r="D9" s="52">
        <f t="shared" si="0"/>
        <v>110</v>
      </c>
      <c r="E9" s="52">
        <f t="shared" si="1"/>
        <v>532</v>
      </c>
      <c r="F9" s="52">
        <f t="shared" si="2"/>
        <v>0</v>
      </c>
      <c r="G9" s="52">
        <f t="shared" si="3"/>
        <v>532</v>
      </c>
      <c r="H9" s="52">
        <f ca="1">SUMIF(Col_Shelter_Township,$A9,Shelter_HH_Covered)-1560</f>
        <v>2904</v>
      </c>
      <c r="I9" s="194">
        <f t="shared" ca="1" si="4"/>
        <v>11656.626748740908</v>
      </c>
      <c r="J9" s="195">
        <f t="shared" ca="1" si="6"/>
        <v>670</v>
      </c>
      <c r="K9" s="196">
        <f t="shared" ca="1" si="7"/>
        <v>0.81253497481813097</v>
      </c>
      <c r="L9" s="195">
        <f t="shared" ca="1" si="8"/>
        <v>2689.3732512590923</v>
      </c>
      <c r="M9" s="6"/>
      <c r="N9" s="6"/>
      <c r="O9" s="6"/>
      <c r="P9" s="6"/>
      <c r="Q9" s="6"/>
      <c r="R9" s="6"/>
      <c r="S9" s="35">
        <f t="shared" si="5"/>
        <v>4.0139899272523785</v>
      </c>
      <c r="U9" s="41"/>
    </row>
    <row r="10" spans="1:62" x14ac:dyDescent="0.25">
      <c r="A10" s="26" t="s">
        <v>17</v>
      </c>
      <c r="B10" s="33">
        <f>SUMIFS(Camplist_HH,Camplist_Township,'Shelter Progress'!$A10,CampList_Status,"Open")</f>
        <v>18822</v>
      </c>
      <c r="C10" s="33">
        <f>SUMIFS(Camplist_Popl,Camplist_Township,'Shelter Progress'!$A10,CampList_Status,"Open")</f>
        <v>101547</v>
      </c>
      <c r="D10" s="52">
        <f t="shared" si="0"/>
        <v>0</v>
      </c>
      <c r="E10" s="52">
        <f t="shared" si="1"/>
        <v>1832</v>
      </c>
      <c r="F10" s="52">
        <f t="shared" si="2"/>
        <v>0</v>
      </c>
      <c r="G10" s="52">
        <f t="shared" si="3"/>
        <v>1832</v>
      </c>
      <c r="H10" s="52">
        <f ca="1">SUMIF(Col_Shelter_Township,$A10,Shelter_HH_Covered)-2883</f>
        <v>15056</v>
      </c>
      <c r="I10" s="194">
        <f t="shared" ca="1" si="4"/>
        <v>81228.967803634048</v>
      </c>
      <c r="J10" s="195">
        <f t="shared" ca="1" si="6"/>
        <v>3766</v>
      </c>
      <c r="K10" s="196">
        <f t="shared" ca="1" si="7"/>
        <v>0.79991499309318881</v>
      </c>
      <c r="L10" s="195">
        <f t="shared" ca="1" si="8"/>
        <v>20318.032196365952</v>
      </c>
      <c r="M10" s="6"/>
      <c r="N10" s="6"/>
      <c r="O10" s="6"/>
      <c r="P10" s="6"/>
      <c r="Q10" s="6"/>
      <c r="R10" s="6"/>
      <c r="S10" s="91">
        <f t="shared" si="5"/>
        <v>5.3951227287217085</v>
      </c>
      <c r="U10" s="41"/>
    </row>
    <row r="11" spans="1:62" x14ac:dyDescent="0.25">
      <c r="A11" s="12" t="s">
        <v>5</v>
      </c>
      <c r="B11" s="53">
        <f t="shared" ref="B11:H11" si="9">SUM(B6:B10)</f>
        <v>23583</v>
      </c>
      <c r="C11" s="53">
        <f t="shared" si="9"/>
        <v>120095</v>
      </c>
      <c r="D11" s="53">
        <f t="shared" si="9"/>
        <v>110</v>
      </c>
      <c r="E11" s="53">
        <f t="shared" si="9"/>
        <v>2515</v>
      </c>
      <c r="F11" s="53">
        <f t="shared" si="9"/>
        <v>0</v>
      </c>
      <c r="G11" s="53">
        <f t="shared" si="9"/>
        <v>2515</v>
      </c>
      <c r="H11" s="53">
        <f t="shared" ca="1" si="9"/>
        <v>19168</v>
      </c>
      <c r="I11" s="828">
        <f t="shared" ca="1" si="4"/>
        <v>97611.879743883313</v>
      </c>
      <c r="J11" s="54">
        <f t="shared" ca="1" si="6"/>
        <v>4415</v>
      </c>
      <c r="K11" s="196">
        <f t="shared" ca="1" si="7"/>
        <v>0.81278887334096594</v>
      </c>
      <c r="L11" s="195">
        <f t="shared" ca="1" si="8"/>
        <v>22483.120256116687</v>
      </c>
      <c r="M11" s="6"/>
      <c r="N11" s="6"/>
      <c r="O11" s="6"/>
      <c r="P11" s="6"/>
      <c r="Q11" s="6"/>
      <c r="R11" s="6"/>
      <c r="S11" s="35">
        <f t="shared" si="5"/>
        <v>5.0924394691091042</v>
      </c>
    </row>
    <row r="12" spans="1:62" x14ac:dyDescent="0.25">
      <c r="M12" s="6"/>
      <c r="N12" s="6"/>
      <c r="O12" s="6"/>
      <c r="P12" s="6"/>
      <c r="Q12" s="6"/>
      <c r="R12" s="6"/>
      <c r="S12" s="35"/>
    </row>
    <row r="13" spans="1:62" ht="15.75" x14ac:dyDescent="0.25">
      <c r="A13" s="819" t="s">
        <v>1099</v>
      </c>
      <c r="M13" s="6"/>
      <c r="N13" s="6"/>
      <c r="O13" s="6"/>
      <c r="P13" s="6"/>
      <c r="Q13" s="6"/>
      <c r="R13" s="6"/>
    </row>
    <row r="14" spans="1:62" ht="37.5" customHeight="1" x14ac:dyDescent="0.25">
      <c r="A14" s="774" t="s">
        <v>1</v>
      </c>
      <c r="B14" s="774" t="s">
        <v>213</v>
      </c>
      <c r="C14" s="774" t="s">
        <v>214</v>
      </c>
      <c r="D14" s="388" t="s">
        <v>1091</v>
      </c>
      <c r="E14" s="388" t="s">
        <v>1092</v>
      </c>
      <c r="F14" s="388" t="s">
        <v>1093</v>
      </c>
      <c r="G14" s="815" t="s">
        <v>217</v>
      </c>
      <c r="H14" s="815" t="s">
        <v>215</v>
      </c>
      <c r="I14" s="814" t="s">
        <v>479</v>
      </c>
      <c r="J14" s="815" t="s">
        <v>478</v>
      </c>
      <c r="K14" s="816" t="s">
        <v>480</v>
      </c>
      <c r="L14" s="6"/>
      <c r="M14" s="6"/>
      <c r="N14" s="6"/>
      <c r="O14" s="6"/>
      <c r="P14" s="6"/>
      <c r="Q14" s="6"/>
      <c r="R14" s="6"/>
    </row>
    <row r="15" spans="1:62" x14ac:dyDescent="0.25">
      <c r="A15" s="670" t="s">
        <v>561</v>
      </c>
      <c r="B15" s="670">
        <f>SUMIFS(Camplist_HH,Camplist_Township,'Shelter Progress'!$A15,CampList_Status,"&lt;&gt;Open")</f>
        <v>65</v>
      </c>
      <c r="C15" s="670">
        <f>SUMIFS(Camplist_Popl,Camplist_Township,'Shelter Progress'!$A15,CampList_Status,"&lt;&gt;Open")</f>
        <v>327</v>
      </c>
      <c r="D15" s="670">
        <f t="shared" ref="D15:D20" si="10">SUMIF(Col_Shelter_Township,$A15,Col_Shelter_Individual_B)</f>
        <v>65</v>
      </c>
      <c r="E15" s="670">
        <f t="shared" ref="E15:E21" si="11">SUMIF(Col_Shelter_Township,$A15,Col_Shelter_Individual_U)</f>
        <v>0</v>
      </c>
      <c r="F15" s="670">
        <f t="shared" ref="F15:F22" si="12">SUMIF(Col_Shelter_Township,$A15,Col_Shelter_Individual_P)</f>
        <v>65</v>
      </c>
      <c r="G15" s="197">
        <f>SUMIF(Col_Shelter_Township,$A15,Shelter_Cover2)-424</f>
        <v>65</v>
      </c>
      <c r="H15" s="670">
        <v>327</v>
      </c>
      <c r="I15" s="197">
        <f>B15-G15</f>
        <v>0</v>
      </c>
      <c r="J15" s="820">
        <f>IF(G15/B15&gt;1,1,G15/B15)</f>
        <v>1</v>
      </c>
      <c r="K15" s="670">
        <f>MAX(C15-H15)</f>
        <v>0</v>
      </c>
      <c r="L15" s="6"/>
      <c r="M15" s="6"/>
      <c r="N15" s="6"/>
      <c r="O15" s="6"/>
      <c r="P15" s="6"/>
      <c r="Q15" s="6"/>
      <c r="R15" s="6"/>
    </row>
    <row r="16" spans="1:62" s="669" customFormat="1" x14ac:dyDescent="0.25">
      <c r="A16" s="670" t="s">
        <v>14</v>
      </c>
      <c r="B16" s="670">
        <f>SUMIFS(Camplist_HH,Camplist_Township,'Shelter Progress'!$A16,CampList_Status,"&lt;&gt;Open")</f>
        <v>924</v>
      </c>
      <c r="C16" s="670">
        <f>SUMIFS(Camplist_Popl,Camplist_Township,'Shelter Progress'!$A16,CampList_Status,"&lt;&gt;Open")</f>
        <v>5981</v>
      </c>
      <c r="D16" s="670">
        <f t="shared" si="10"/>
        <v>924</v>
      </c>
      <c r="E16" s="670">
        <f t="shared" si="11"/>
        <v>0</v>
      </c>
      <c r="F16" s="670">
        <f t="shared" si="12"/>
        <v>924</v>
      </c>
      <c r="G16" s="670">
        <f>SUMIF(Col_Shelter_Township,$A16,Shelter_Cover2)-72</f>
        <v>924</v>
      </c>
      <c r="H16" s="670">
        <v>5981</v>
      </c>
      <c r="I16" s="197">
        <f t="shared" ref="I16:I23" si="13">B16-G16</f>
        <v>0</v>
      </c>
      <c r="J16" s="820">
        <f t="shared" ref="J16:J23" si="14">IF(G16/B16&gt;1,1,G16/B16)</f>
        <v>1</v>
      </c>
      <c r="K16" s="670">
        <f t="shared" ref="K16:K23" si="15">MAX(C16-H16)</f>
        <v>0</v>
      </c>
      <c r="L16" s="6"/>
      <c r="M16" s="6"/>
      <c r="N16" s="6"/>
      <c r="O16" s="6"/>
      <c r="P16" s="6"/>
      <c r="Q16" s="6"/>
      <c r="R16" s="6"/>
    </row>
    <row r="17" spans="1:18" x14ac:dyDescent="0.25">
      <c r="A17" s="670" t="s">
        <v>11</v>
      </c>
      <c r="B17" s="670">
        <f>SUMIFS(Camplist_HH,Camplist_Township,'Shelter Progress'!$A17,CampList_Status,"&lt;&gt;Open")</f>
        <v>916</v>
      </c>
      <c r="C17" s="670">
        <f>SUMIFS(Camplist_Popl,Camplist_Township,'Shelter Progress'!$A17,CampList_Status,"&lt;&gt;Open")</f>
        <v>5638</v>
      </c>
      <c r="D17" s="670">
        <f>SUMIF(Col_Shelter_Township,$A17,Col_Shelter_Individual_B)</f>
        <v>916</v>
      </c>
      <c r="E17" s="670">
        <f t="shared" si="11"/>
        <v>0</v>
      </c>
      <c r="F17" s="670">
        <v>916</v>
      </c>
      <c r="G17" s="670">
        <v>916</v>
      </c>
      <c r="H17" s="19">
        <v>5638</v>
      </c>
      <c r="I17" s="197">
        <f t="shared" si="13"/>
        <v>0</v>
      </c>
      <c r="J17" s="820">
        <f t="shared" si="14"/>
        <v>1</v>
      </c>
      <c r="K17" s="670">
        <f t="shared" si="15"/>
        <v>0</v>
      </c>
      <c r="L17" s="6"/>
      <c r="M17" s="6"/>
      <c r="N17" s="6"/>
      <c r="O17" s="6"/>
      <c r="P17" s="6"/>
      <c r="Q17" s="6"/>
      <c r="R17" s="6"/>
    </row>
    <row r="18" spans="1:18" x14ac:dyDescent="0.25">
      <c r="A18" s="670" t="s">
        <v>941</v>
      </c>
      <c r="B18" s="670">
        <f>SUMIFS(Camplist_HH,Camplist_Township,'Shelter Progress'!$A18,CampList_Status,"&lt;&gt;Open")</f>
        <v>611</v>
      </c>
      <c r="C18" s="670">
        <f>SUMIFS(Camplist_Popl,Camplist_Township,'Shelter Progress'!$A18,CampList_Status,"&lt;&gt;Open")</f>
        <v>3826</v>
      </c>
      <c r="D18" s="670">
        <f t="shared" si="10"/>
        <v>611</v>
      </c>
      <c r="E18" s="670">
        <f t="shared" si="11"/>
        <v>0</v>
      </c>
      <c r="F18" s="670">
        <f t="shared" si="12"/>
        <v>611</v>
      </c>
      <c r="G18" s="670">
        <f>SUMIF(Col_Shelter_Township,$A18,Shelter_Cover2)</f>
        <v>611</v>
      </c>
      <c r="H18" s="19">
        <v>3826</v>
      </c>
      <c r="I18" s="197">
        <f t="shared" si="13"/>
        <v>0</v>
      </c>
      <c r="J18" s="820">
        <f t="shared" si="14"/>
        <v>1</v>
      </c>
      <c r="K18" s="670">
        <f t="shared" si="15"/>
        <v>0</v>
      </c>
      <c r="L18" s="6"/>
      <c r="M18" s="6"/>
      <c r="N18" s="6"/>
      <c r="O18" s="6"/>
      <c r="P18" s="6"/>
      <c r="Q18" s="6"/>
      <c r="R18" s="6"/>
    </row>
    <row r="19" spans="1:18" x14ac:dyDescent="0.25">
      <c r="A19" s="670" t="s">
        <v>817</v>
      </c>
      <c r="B19" s="670">
        <f>SUMIFS(Camplist_HH,Camplist_Township,'Shelter Progress'!$A19,CampList_Status,"&lt;&gt;Open")</f>
        <v>40</v>
      </c>
      <c r="C19" s="670">
        <f>SUMIFS(Camplist_Popl,Camplist_Township,'Shelter Progress'!$A19,CampList_Status,"&lt;&gt;Open")</f>
        <v>204</v>
      </c>
      <c r="D19" s="670">
        <f t="shared" si="10"/>
        <v>40</v>
      </c>
      <c r="E19" s="670">
        <f t="shared" si="11"/>
        <v>0</v>
      </c>
      <c r="F19" s="670">
        <f>SUMIF(Col_Shelter_Township,$A19,Col_Shelter_Individual_P)</f>
        <v>40</v>
      </c>
      <c r="G19" s="670">
        <f>SUMIF(Col_Shelter_Township,$A19,Shelter_Cover2)-712</f>
        <v>40</v>
      </c>
      <c r="H19" s="19">
        <v>204</v>
      </c>
      <c r="I19" s="197">
        <f t="shared" si="13"/>
        <v>0</v>
      </c>
      <c r="J19" s="820">
        <f t="shared" si="14"/>
        <v>1</v>
      </c>
      <c r="K19" s="670">
        <f t="shared" si="15"/>
        <v>0</v>
      </c>
      <c r="L19" s="6"/>
      <c r="M19" s="6"/>
      <c r="N19" s="6"/>
      <c r="O19" s="6"/>
      <c r="P19" s="6"/>
      <c r="Q19" s="6"/>
      <c r="R19" s="6"/>
    </row>
    <row r="20" spans="1:18" x14ac:dyDescent="0.25">
      <c r="A20" s="670" t="s">
        <v>13</v>
      </c>
      <c r="B20" s="670">
        <f>SUMIFS(Camplist_HH,Camplist_Township,'Shelter Progress'!$A20,CampList_Status,"&lt;&gt;Open")+(648+891)</f>
        <v>1560</v>
      </c>
      <c r="C20" s="670">
        <f>SUMIFS(Camplist_Popl,Camplist_Township,'Shelter Progress'!$A20,CampList_Status,"&lt;&gt;Open")+(3240+4239)</f>
        <v>7601</v>
      </c>
      <c r="D20" s="670">
        <f t="shared" si="10"/>
        <v>1560</v>
      </c>
      <c r="E20" s="670">
        <f t="shared" si="11"/>
        <v>0</v>
      </c>
      <c r="F20" s="670">
        <f t="shared" si="12"/>
        <v>1560</v>
      </c>
      <c r="G20" s="670">
        <v>1560</v>
      </c>
      <c r="H20" s="19">
        <v>7601</v>
      </c>
      <c r="I20" s="197">
        <f t="shared" si="13"/>
        <v>0</v>
      </c>
      <c r="J20" s="820">
        <f t="shared" si="14"/>
        <v>1</v>
      </c>
      <c r="K20" s="670">
        <f t="shared" si="15"/>
        <v>0</v>
      </c>
      <c r="L20" s="6"/>
      <c r="M20" s="6"/>
      <c r="N20" s="6"/>
      <c r="O20" s="6"/>
      <c r="P20" s="6"/>
      <c r="Q20" s="6"/>
      <c r="R20" s="6"/>
    </row>
    <row r="21" spans="1:18" x14ac:dyDescent="0.25">
      <c r="A21" s="670" t="s">
        <v>15</v>
      </c>
      <c r="B21" s="670">
        <f>SUMIFS(Camplist_HH,Camplist_Township,'Shelter Progress'!$A21,CampList_Status,"&lt;&gt;Open")</f>
        <v>88</v>
      </c>
      <c r="C21" s="670">
        <f>SUMIFS(Camplist_Popl,Camplist_Township,'Shelter Progress'!$A21,CampList_Status,"&lt;&gt;Open")</f>
        <v>489</v>
      </c>
      <c r="D21" s="670">
        <f>SUMIF(Col_Shelter_Township,$A21,Col_Shelter_Individual_B)</f>
        <v>88</v>
      </c>
      <c r="E21" s="670">
        <f t="shared" si="11"/>
        <v>0</v>
      </c>
      <c r="F21" s="670">
        <f t="shared" si="12"/>
        <v>88</v>
      </c>
      <c r="G21" s="670">
        <f>SUMIF(Col_Shelter_Township,$A21,Shelter_Cover2)</f>
        <v>88</v>
      </c>
      <c r="H21" s="19">
        <v>489</v>
      </c>
      <c r="I21" s="197">
        <f t="shared" si="13"/>
        <v>0</v>
      </c>
      <c r="J21" s="820">
        <f t="shared" si="14"/>
        <v>1</v>
      </c>
      <c r="K21" s="670">
        <f t="shared" si="15"/>
        <v>0</v>
      </c>
      <c r="L21" s="6"/>
      <c r="M21" s="6"/>
      <c r="N21" s="6"/>
      <c r="O21" s="6"/>
      <c r="P21" s="6"/>
      <c r="Q21" s="6"/>
      <c r="R21" s="6"/>
    </row>
    <row r="22" spans="1:18" s="669" customFormat="1" x14ac:dyDescent="0.25">
      <c r="A22" s="670" t="s">
        <v>17</v>
      </c>
      <c r="B22" s="670">
        <f>SUMIFS(Camplist_HH,Camplist_Township,'Shelter Progress'!$A22,CampList_Status,"&lt;&gt;Open")</f>
        <v>892</v>
      </c>
      <c r="C22" s="670">
        <f>SUMIFS(Camplist_Popl,Camplist_Township,'Shelter Progress'!$A22,CampList_Status,"&lt;&gt;Open")</f>
        <v>4598</v>
      </c>
      <c r="D22" s="670">
        <f>SUMIF(Col_Shelter_Township,$A22,Col_Shelter_Individual_B)</f>
        <v>892</v>
      </c>
      <c r="E22" s="670"/>
      <c r="F22" s="670">
        <f t="shared" si="12"/>
        <v>892</v>
      </c>
      <c r="G22" s="670">
        <v>892</v>
      </c>
      <c r="H22" s="19">
        <v>4598</v>
      </c>
      <c r="I22" s="197">
        <f t="shared" si="13"/>
        <v>0</v>
      </c>
      <c r="J22" s="820"/>
      <c r="K22" s="670">
        <f t="shared" si="15"/>
        <v>0</v>
      </c>
      <c r="L22" s="6"/>
      <c r="M22" s="6"/>
      <c r="N22" s="6"/>
      <c r="O22" s="6"/>
      <c r="P22" s="6"/>
      <c r="Q22" s="6"/>
      <c r="R22" s="6"/>
    </row>
    <row r="23" spans="1:18" x14ac:dyDescent="0.25">
      <c r="A23" s="775" t="s">
        <v>5</v>
      </c>
      <c r="B23" s="775">
        <f>SUM(B15:B22)</f>
        <v>5096</v>
      </c>
      <c r="C23" s="775">
        <f>SUM(C15:C22)</f>
        <v>28664</v>
      </c>
      <c r="D23" s="775">
        <f>SUM(D15:D22)</f>
        <v>5096</v>
      </c>
      <c r="E23" s="670"/>
      <c r="F23" s="775">
        <f>SUM(F15:F22)</f>
        <v>5096</v>
      </c>
      <c r="G23" s="197">
        <f>SUM(G15:G22)</f>
        <v>5096</v>
      </c>
      <c r="H23" s="670">
        <f>SUM(H15:H22)</f>
        <v>28664</v>
      </c>
      <c r="I23" s="197">
        <f t="shared" si="13"/>
        <v>0</v>
      </c>
      <c r="J23" s="820">
        <f t="shared" si="14"/>
        <v>1</v>
      </c>
      <c r="K23" s="670">
        <f t="shared" si="15"/>
        <v>0</v>
      </c>
      <c r="L23" s="6"/>
      <c r="M23" s="6"/>
      <c r="N23" s="6"/>
      <c r="O23" s="6"/>
      <c r="P23" s="6"/>
      <c r="Q23" s="6"/>
      <c r="R23" s="6"/>
    </row>
    <row r="24" spans="1:18" x14ac:dyDescent="0.25">
      <c r="L24" s="6"/>
      <c r="M24" s="6"/>
      <c r="N24" s="6"/>
      <c r="O24" s="6"/>
      <c r="P24" s="6"/>
      <c r="Q24" s="6"/>
      <c r="R24" s="6"/>
    </row>
    <row r="25" spans="1:18" s="669" customFormat="1" x14ac:dyDescent="0.25">
      <c r="G25" s="6"/>
      <c r="H25" s="6"/>
      <c r="I25" s="6"/>
      <c r="J25" s="6"/>
      <c r="K25" s="6"/>
      <c r="L25" s="6"/>
      <c r="M25" s="6"/>
      <c r="N25" s="6"/>
      <c r="O25" s="6"/>
      <c r="P25" s="6"/>
      <c r="Q25" s="6"/>
      <c r="R25" s="6"/>
    </row>
    <row r="26" spans="1:18" x14ac:dyDescent="0.25">
      <c r="A26" s="170" t="s">
        <v>10</v>
      </c>
      <c r="B26" s="670" t="s">
        <v>7</v>
      </c>
      <c r="D26" s="170" t="s">
        <v>1062</v>
      </c>
      <c r="E26" s="670" t="s">
        <v>1100</v>
      </c>
      <c r="G26" s="6"/>
      <c r="H26" s="38"/>
      <c r="I26" s="38"/>
      <c r="J26" s="6"/>
      <c r="K26" s="6"/>
      <c r="L26" s="6"/>
      <c r="M26" s="6"/>
      <c r="N26" s="6"/>
      <c r="O26" s="6"/>
      <c r="P26" s="6"/>
      <c r="Q26" s="6"/>
      <c r="R26" s="6"/>
    </row>
    <row r="27" spans="1:18" x14ac:dyDescent="0.25">
      <c r="D27" s="1059" t="s">
        <v>278</v>
      </c>
      <c r="E27" s="88">
        <v>2078</v>
      </c>
      <c r="G27" s="6"/>
      <c r="H27" s="6"/>
      <c r="I27" s="6"/>
      <c r="J27" s="6"/>
      <c r="K27" s="6"/>
      <c r="L27" s="6"/>
      <c r="M27" s="6"/>
      <c r="N27" s="6"/>
      <c r="O27" s="6"/>
      <c r="P27" s="6"/>
      <c r="Q27" s="6"/>
      <c r="R27" s="6"/>
    </row>
    <row r="28" spans="1:18" x14ac:dyDescent="0.25">
      <c r="A28" s="170" t="s">
        <v>1062</v>
      </c>
      <c r="B28" s="167" t="s">
        <v>755</v>
      </c>
      <c r="D28" s="1059" t="s">
        <v>1082</v>
      </c>
      <c r="E28" s="88">
        <v>56</v>
      </c>
      <c r="G28" s="6"/>
      <c r="H28" s="6"/>
      <c r="I28" s="6"/>
      <c r="J28" s="6"/>
      <c r="K28" s="6"/>
      <c r="L28" s="6"/>
      <c r="M28" s="6"/>
      <c r="N28" s="6"/>
      <c r="O28" s="6"/>
      <c r="P28" s="6"/>
      <c r="Q28" s="6"/>
      <c r="R28" s="6"/>
    </row>
    <row r="29" spans="1:18" x14ac:dyDescent="0.25">
      <c r="A29" s="1058" t="s">
        <v>278</v>
      </c>
      <c r="B29" s="90">
        <v>941</v>
      </c>
      <c r="D29" s="1059" t="s">
        <v>1065</v>
      </c>
      <c r="E29" s="88">
        <v>589</v>
      </c>
      <c r="G29" s="6"/>
      <c r="H29" s="6"/>
      <c r="I29" s="6"/>
      <c r="J29" s="6"/>
      <c r="K29" s="6"/>
      <c r="L29" s="6"/>
      <c r="M29" s="6"/>
      <c r="N29" s="6"/>
      <c r="O29" s="6"/>
      <c r="P29" s="6"/>
      <c r="Q29" s="6"/>
      <c r="R29" s="6"/>
    </row>
    <row r="30" spans="1:18" x14ac:dyDescent="0.25">
      <c r="A30" s="1059" t="s">
        <v>270</v>
      </c>
      <c r="B30" s="88">
        <v>694</v>
      </c>
      <c r="D30" s="1059" t="s">
        <v>1085</v>
      </c>
      <c r="E30" s="88">
        <v>2301</v>
      </c>
      <c r="G30" s="6"/>
      <c r="H30" s="6"/>
      <c r="I30" s="6"/>
      <c r="J30" s="6"/>
      <c r="K30" s="6"/>
      <c r="L30" s="6"/>
      <c r="M30" s="6"/>
      <c r="N30" s="6"/>
      <c r="O30" s="6"/>
      <c r="P30" s="6"/>
      <c r="Q30" s="6"/>
      <c r="R30" s="6"/>
    </row>
    <row r="31" spans="1:18" x14ac:dyDescent="0.25">
      <c r="A31" s="1059" t="s">
        <v>425</v>
      </c>
      <c r="B31" s="88">
        <v>224</v>
      </c>
      <c r="D31" s="1059" t="s">
        <v>270</v>
      </c>
      <c r="E31" s="88">
        <v>72</v>
      </c>
      <c r="G31" s="6"/>
      <c r="H31" s="6"/>
      <c r="I31" s="6"/>
      <c r="J31" s="6"/>
      <c r="K31" s="6"/>
      <c r="L31" s="6"/>
      <c r="M31" s="6"/>
      <c r="N31" s="6"/>
      <c r="O31" s="6"/>
      <c r="P31" s="6"/>
      <c r="Q31" s="6"/>
      <c r="R31" s="6"/>
    </row>
    <row r="32" spans="1:18" x14ac:dyDescent="0.25">
      <c r="A32" s="1059" t="s">
        <v>273</v>
      </c>
      <c r="B32" s="88">
        <v>223</v>
      </c>
      <c r="D32" s="1059" t="s">
        <v>204</v>
      </c>
      <c r="E32" s="88">
        <v>5096</v>
      </c>
      <c r="G32" s="6"/>
      <c r="H32" s="6"/>
      <c r="I32" s="6"/>
      <c r="J32" s="6"/>
      <c r="K32" s="6"/>
      <c r="L32" s="6"/>
      <c r="M32" s="6"/>
      <c r="N32" s="6"/>
      <c r="O32" s="6"/>
      <c r="P32" s="6"/>
      <c r="Q32" s="6"/>
      <c r="R32" s="6"/>
    </row>
    <row r="33" spans="1:18" x14ac:dyDescent="0.25">
      <c r="A33" s="1059" t="s">
        <v>574</v>
      </c>
      <c r="B33" s="88">
        <v>201</v>
      </c>
      <c r="G33" s="6"/>
      <c r="H33" s="6"/>
      <c r="I33" s="6"/>
      <c r="J33" s="6"/>
      <c r="K33" s="6"/>
      <c r="L33" s="6"/>
      <c r="M33" s="6"/>
      <c r="N33" s="6"/>
      <c r="O33" s="6"/>
      <c r="P33" s="6"/>
      <c r="Q33" s="6"/>
      <c r="R33" s="6"/>
    </row>
    <row r="34" spans="1:18" x14ac:dyDescent="0.25">
      <c r="A34" s="1059" t="s">
        <v>279</v>
      </c>
      <c r="B34" s="88">
        <v>60</v>
      </c>
      <c r="G34" s="6"/>
      <c r="H34" s="6"/>
      <c r="I34" s="6"/>
      <c r="J34" s="6"/>
      <c r="K34" s="6"/>
      <c r="L34" s="6"/>
      <c r="M34" s="6"/>
      <c r="N34" s="6"/>
      <c r="O34" s="6"/>
      <c r="P34" s="6"/>
      <c r="Q34" s="6"/>
      <c r="R34" s="6"/>
    </row>
    <row r="35" spans="1:18" x14ac:dyDescent="0.25">
      <c r="A35" s="1059" t="s">
        <v>282</v>
      </c>
      <c r="B35" s="88">
        <v>50</v>
      </c>
      <c r="G35" s="6"/>
      <c r="H35" s="6"/>
      <c r="I35" s="6"/>
      <c r="J35" s="6"/>
      <c r="K35" s="6"/>
      <c r="L35" s="6"/>
      <c r="M35" s="6"/>
      <c r="N35" s="6"/>
      <c r="O35" s="6"/>
      <c r="P35" s="6"/>
      <c r="Q35" s="6"/>
      <c r="R35" s="6"/>
    </row>
    <row r="36" spans="1:18" x14ac:dyDescent="0.25">
      <c r="A36" s="1059" t="s">
        <v>281</v>
      </c>
      <c r="B36" s="88">
        <v>40</v>
      </c>
      <c r="G36" s="6" t="s">
        <v>1087</v>
      </c>
      <c r="H36" s="6"/>
      <c r="I36" s="6"/>
      <c r="J36" s="6"/>
      <c r="K36" s="6"/>
      <c r="L36" s="6"/>
      <c r="M36" s="6"/>
      <c r="N36" s="6"/>
      <c r="O36" s="6"/>
      <c r="P36" s="6"/>
      <c r="Q36" s="6"/>
      <c r="R36" s="6"/>
    </row>
    <row r="37" spans="1:18" x14ac:dyDescent="0.25">
      <c r="A37" s="1059" t="s">
        <v>280</v>
      </c>
      <c r="B37" s="88">
        <v>32</v>
      </c>
      <c r="G37" s="6"/>
      <c r="H37" s="6"/>
      <c r="I37" s="6"/>
      <c r="J37" s="6"/>
      <c r="K37" s="6"/>
      <c r="L37" s="6"/>
      <c r="M37" s="6"/>
      <c r="N37" s="6"/>
      <c r="O37" s="6"/>
      <c r="P37" s="6"/>
      <c r="Q37" s="6"/>
      <c r="R37" s="6"/>
    </row>
    <row r="38" spans="1:18" x14ac:dyDescent="0.25">
      <c r="A38" s="1059" t="s">
        <v>283</v>
      </c>
      <c r="B38" s="88">
        <v>31</v>
      </c>
      <c r="D38" s="170" t="s">
        <v>203</v>
      </c>
      <c r="E38" s="670" t="s">
        <v>1101</v>
      </c>
      <c r="G38" s="6"/>
      <c r="H38" s="6"/>
      <c r="I38" s="6"/>
      <c r="J38" s="6"/>
      <c r="K38" s="6"/>
      <c r="L38" s="6"/>
      <c r="M38" s="6"/>
      <c r="N38" s="6"/>
      <c r="O38" s="6"/>
      <c r="P38" s="6"/>
      <c r="Q38" s="6"/>
      <c r="R38" s="6"/>
    </row>
    <row r="39" spans="1:18" x14ac:dyDescent="0.25">
      <c r="A39" s="1059" t="s">
        <v>520</v>
      </c>
      <c r="B39" s="88">
        <v>19</v>
      </c>
      <c r="D39" s="1059" t="s">
        <v>17</v>
      </c>
      <c r="E39" s="88">
        <v>2883</v>
      </c>
      <c r="G39" s="6"/>
      <c r="H39" s="6"/>
      <c r="I39" s="6"/>
      <c r="J39" s="6"/>
      <c r="K39" s="6"/>
      <c r="R39"/>
    </row>
    <row r="40" spans="1:18" x14ac:dyDescent="0.25">
      <c r="A40" s="1058" t="s">
        <v>204</v>
      </c>
      <c r="B40" s="90">
        <v>2515</v>
      </c>
      <c r="D40" s="1059" t="s">
        <v>204</v>
      </c>
      <c r="E40" s="88">
        <v>2883</v>
      </c>
    </row>
  </sheetData>
  <sortState ref="A7:P17">
    <sortCondition ref="A12"/>
  </sortState>
  <mergeCells count="2">
    <mergeCell ref="A2:C2"/>
    <mergeCell ref="A3:R3"/>
  </mergeCells>
  <pageMargins left="0.31496062992125984" right="0.11811023622047245" top="0.55118110236220474" bottom="0.55118110236220474" header="0" footer="0"/>
  <pageSetup paperSize="9" scale="46" fitToHeight="2" orientation="landscape"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E228"/>
  <sheetViews>
    <sheetView showZeros="0" topLeftCell="A16" zoomScale="91" zoomScaleNormal="91" workbookViewId="0">
      <selection activeCell="H12" sqref="H12"/>
    </sheetView>
  </sheetViews>
  <sheetFormatPr defaultColWidth="9.140625" defaultRowHeight="15" x14ac:dyDescent="0.25"/>
  <cols>
    <col min="1" max="1" width="11.85546875" style="40" customWidth="1"/>
    <col min="2" max="2" width="18.28515625" style="40" customWidth="1"/>
    <col min="3" max="3" width="19.5703125" style="40" customWidth="1"/>
    <col min="4" max="4" width="41" style="40" customWidth="1"/>
    <col min="5" max="6" width="18.28515625" style="40" customWidth="1"/>
    <col min="7" max="7" width="7.7109375" style="40" customWidth="1"/>
    <col min="8" max="8" width="11" style="40" customWidth="1"/>
    <col min="9" max="9" width="19.7109375" style="40" customWidth="1"/>
    <col min="10" max="16384" width="9.140625" style="40"/>
  </cols>
  <sheetData>
    <row r="1" spans="1:57" s="1" customFormat="1" ht="36" x14ac:dyDescent="0.25">
      <c r="A1" s="157"/>
      <c r="B1" s="158"/>
      <c r="C1" s="158"/>
      <c r="D1" s="158"/>
      <c r="E1" s="158"/>
      <c r="F1" s="174"/>
      <c r="BD1" s="57"/>
      <c r="BE1" s="57"/>
    </row>
    <row r="2" spans="1:57" s="1" customFormat="1" ht="67.5" customHeight="1" x14ac:dyDescent="0.25">
      <c r="A2" s="1095" t="s">
        <v>287</v>
      </c>
      <c r="B2" s="1096"/>
      <c r="C2" s="1096"/>
      <c r="D2" s="56"/>
      <c r="E2" s="56"/>
      <c r="F2" s="182"/>
      <c r="BD2" s="57"/>
      <c r="BE2" s="57"/>
    </row>
    <row r="3" spans="1:57" s="16" customFormat="1" ht="18" customHeight="1" x14ac:dyDescent="0.25">
      <c r="A3" s="1097">
        <f>Report_Date</f>
        <v>43190</v>
      </c>
      <c r="B3" s="1098"/>
      <c r="C3" s="1098"/>
      <c r="D3" s="1098"/>
      <c r="E3" s="1098"/>
      <c r="F3" s="1168"/>
      <c r="G3" s="45"/>
      <c r="H3" s="45"/>
      <c r="I3" s="45"/>
      <c r="J3" s="45"/>
      <c r="K3" s="45"/>
      <c r="L3" s="45"/>
      <c r="M3" s="45"/>
      <c r="N3" s="45"/>
      <c r="O3" s="45"/>
      <c r="P3" s="45"/>
      <c r="Q3" s="58"/>
      <c r="R3" s="45"/>
      <c r="S3" s="45"/>
      <c r="BD3" s="58"/>
      <c r="BE3" s="58"/>
    </row>
    <row r="4" spans="1:57" s="669" customFormat="1" x14ac:dyDescent="0.25">
      <c r="A4" s="255"/>
      <c r="B4" s="827"/>
      <c r="C4" s="4"/>
      <c r="D4" s="4"/>
      <c r="E4" s="4"/>
    </row>
    <row r="5" spans="1:57" x14ac:dyDescent="0.25">
      <c r="A5" s="170" t="s">
        <v>329</v>
      </c>
      <c r="B5" s="670" t="s">
        <v>331</v>
      </c>
      <c r="C5"/>
      <c r="D5"/>
      <c r="E5"/>
      <c r="F5"/>
    </row>
    <row r="6" spans="1:57" x14ac:dyDescent="0.25">
      <c r="A6" s="51"/>
      <c r="B6" s="51"/>
      <c r="C6"/>
      <c r="D6"/>
      <c r="E6"/>
      <c r="F6"/>
    </row>
    <row r="7" spans="1:57" x14ac:dyDescent="0.25">
      <c r="A7" s="670"/>
      <c r="B7" s="670" t="s">
        <v>1097</v>
      </c>
      <c r="C7"/>
      <c r="D7"/>
      <c r="E7"/>
      <c r="F7"/>
    </row>
    <row r="8" spans="1:57" x14ac:dyDescent="0.25">
      <c r="A8" s="1059" t="s">
        <v>425</v>
      </c>
      <c r="B8" s="197">
        <v>1792</v>
      </c>
      <c r="C8"/>
      <c r="D8"/>
      <c r="E8"/>
      <c r="F8"/>
    </row>
    <row r="9" spans="1:57" x14ac:dyDescent="0.25">
      <c r="A9" s="1059" t="s">
        <v>273</v>
      </c>
      <c r="B9" s="197">
        <v>1784</v>
      </c>
      <c r="C9"/>
      <c r="D9"/>
      <c r="E9"/>
      <c r="F9"/>
    </row>
    <row r="10" spans="1:57" x14ac:dyDescent="0.25">
      <c r="A10" s="1059" t="s">
        <v>278</v>
      </c>
      <c r="B10" s="197">
        <v>7806</v>
      </c>
      <c r="C10"/>
      <c r="D10"/>
      <c r="E10"/>
      <c r="F10"/>
    </row>
    <row r="11" spans="1:57" x14ac:dyDescent="0.25">
      <c r="A11" s="1059" t="s">
        <v>520</v>
      </c>
      <c r="B11" s="197">
        <v>152</v>
      </c>
      <c r="C11"/>
      <c r="D11"/>
      <c r="E11"/>
      <c r="F11"/>
    </row>
    <row r="12" spans="1:57" x14ac:dyDescent="0.25">
      <c r="A12" s="1059" t="s">
        <v>282</v>
      </c>
      <c r="B12" s="197">
        <v>400</v>
      </c>
      <c r="C12"/>
      <c r="D12"/>
      <c r="E12"/>
      <c r="F12"/>
    </row>
    <row r="13" spans="1:57" x14ac:dyDescent="0.25">
      <c r="A13" s="1059" t="s">
        <v>280</v>
      </c>
      <c r="B13" s="197">
        <v>256</v>
      </c>
      <c r="C13"/>
      <c r="D13"/>
      <c r="E13"/>
      <c r="F13"/>
    </row>
    <row r="14" spans="1:57" x14ac:dyDescent="0.25">
      <c r="A14" s="1059" t="s">
        <v>279</v>
      </c>
      <c r="B14" s="197">
        <v>480</v>
      </c>
      <c r="C14"/>
      <c r="D14"/>
      <c r="E14"/>
      <c r="F14"/>
    </row>
    <row r="15" spans="1:57" x14ac:dyDescent="0.25">
      <c r="A15" s="1059" t="s">
        <v>574</v>
      </c>
      <c r="B15" s="197">
        <v>1762</v>
      </c>
      <c r="C15"/>
      <c r="D15"/>
      <c r="E15"/>
      <c r="F15"/>
    </row>
    <row r="16" spans="1:57" x14ac:dyDescent="0.25">
      <c r="A16" s="1059" t="s">
        <v>283</v>
      </c>
      <c r="B16" s="197">
        <v>248</v>
      </c>
      <c r="C16"/>
      <c r="D16"/>
      <c r="E16"/>
      <c r="F16"/>
    </row>
    <row r="17" spans="1:6" x14ac:dyDescent="0.25">
      <c r="A17" s="1059" t="s">
        <v>270</v>
      </c>
      <c r="B17" s="197">
        <v>4200</v>
      </c>
      <c r="C17"/>
      <c r="D17"/>
      <c r="E17"/>
      <c r="F17"/>
    </row>
    <row r="18" spans="1:6" x14ac:dyDescent="0.25">
      <c r="A18" s="1059" t="s">
        <v>281</v>
      </c>
      <c r="B18" s="197">
        <v>400</v>
      </c>
      <c r="C18"/>
      <c r="D18"/>
      <c r="E18"/>
      <c r="F18"/>
    </row>
    <row r="19" spans="1:6" x14ac:dyDescent="0.25">
      <c r="A19" s="1059" t="s">
        <v>1065</v>
      </c>
      <c r="B19" s="197">
        <v>480</v>
      </c>
      <c r="C19"/>
      <c r="D19"/>
      <c r="E19"/>
      <c r="F19"/>
    </row>
    <row r="20" spans="1:6" s="78" customFormat="1" x14ac:dyDescent="0.25">
      <c r="A20" s="1059" t="s">
        <v>1082</v>
      </c>
      <c r="B20" s="197">
        <v>56</v>
      </c>
    </row>
    <row r="21" spans="1:6" x14ac:dyDescent="0.25">
      <c r="A21" s="1059" t="s">
        <v>1085</v>
      </c>
      <c r="B21" s="197">
        <v>891</v>
      </c>
      <c r="C21"/>
      <c r="D21"/>
      <c r="E21"/>
      <c r="F21"/>
    </row>
    <row r="22" spans="1:6" x14ac:dyDescent="0.25">
      <c r="A22" s="1059" t="s">
        <v>1096</v>
      </c>
      <c r="B22" s="197">
        <v>2883</v>
      </c>
      <c r="C22"/>
      <c r="D22"/>
      <c r="E22"/>
      <c r="F22"/>
    </row>
    <row r="23" spans="1:6" x14ac:dyDescent="0.25">
      <c r="A23" s="1059" t="s">
        <v>204</v>
      </c>
      <c r="B23" s="197">
        <v>23590</v>
      </c>
      <c r="C23"/>
      <c r="D23"/>
      <c r="E23"/>
      <c r="F23"/>
    </row>
    <row r="24" spans="1:6" s="669" customFormat="1" x14ac:dyDescent="0.25">
      <c r="A24" s="818"/>
      <c r="B24" s="517"/>
    </row>
    <row r="25" spans="1:6" s="669" customFormat="1" x14ac:dyDescent="0.25">
      <c r="A25"/>
      <c r="B25"/>
    </row>
    <row r="26" spans="1:6" s="669" customFormat="1" x14ac:dyDescent="0.25">
      <c r="A26" s="427"/>
      <c r="B26" s="197"/>
    </row>
    <row r="27" spans="1:6" x14ac:dyDescent="0.25">
      <c r="A27" s="170" t="s">
        <v>10</v>
      </c>
      <c r="B27" s="670" t="s">
        <v>7</v>
      </c>
      <c r="C27"/>
      <c r="D27" s="813" t="s">
        <v>203</v>
      </c>
      <c r="E27" s="813" t="s">
        <v>744</v>
      </c>
    </row>
    <row r="28" spans="1:6" x14ac:dyDescent="0.25">
      <c r="A28" s="78"/>
      <c r="B28" s="78"/>
      <c r="C28"/>
      <c r="D28" s="427" t="s">
        <v>425</v>
      </c>
      <c r="E28" s="197">
        <v>1792</v>
      </c>
    </row>
    <row r="29" spans="1:6" x14ac:dyDescent="0.25">
      <c r="A29" s="198" t="s">
        <v>203</v>
      </c>
      <c r="B29" s="670" t="s">
        <v>744</v>
      </c>
      <c r="C29"/>
      <c r="D29" s="427" t="s">
        <v>273</v>
      </c>
      <c r="E29" s="197">
        <v>1736</v>
      </c>
    </row>
    <row r="30" spans="1:6" x14ac:dyDescent="0.25">
      <c r="A30" s="1059" t="s">
        <v>15</v>
      </c>
      <c r="B30" s="197">
        <v>88</v>
      </c>
      <c r="C30"/>
      <c r="D30" s="427" t="s">
        <v>278</v>
      </c>
      <c r="E30" s="197">
        <f>8230-112</f>
        <v>8118</v>
      </c>
    </row>
    <row r="31" spans="1:6" x14ac:dyDescent="0.25">
      <c r="A31" s="1059" t="s">
        <v>18</v>
      </c>
      <c r="B31" s="197">
        <v>150</v>
      </c>
      <c r="C31"/>
      <c r="D31" s="427" t="s">
        <v>520</v>
      </c>
      <c r="E31" s="197">
        <v>152</v>
      </c>
    </row>
    <row r="32" spans="1:6" x14ac:dyDescent="0.25">
      <c r="A32" s="1059" t="s">
        <v>945</v>
      </c>
      <c r="B32" s="197">
        <v>489</v>
      </c>
      <c r="C32" s="6"/>
      <c r="D32" s="427" t="s">
        <v>282</v>
      </c>
      <c r="E32" s="197">
        <v>320</v>
      </c>
    </row>
    <row r="33" spans="1:6" x14ac:dyDescent="0.25">
      <c r="A33" s="1059" t="s">
        <v>941</v>
      </c>
      <c r="B33" s="197">
        <v>611</v>
      </c>
      <c r="C33" s="51"/>
      <c r="D33" s="427" t="s">
        <v>280</v>
      </c>
      <c r="E33" s="197">
        <v>256</v>
      </c>
    </row>
    <row r="34" spans="1:6" x14ac:dyDescent="0.25">
      <c r="A34" s="1059" t="s">
        <v>817</v>
      </c>
      <c r="B34" s="197">
        <v>752</v>
      </c>
      <c r="C34"/>
      <c r="D34" s="427" t="s">
        <v>279</v>
      </c>
      <c r="E34" s="197">
        <v>480</v>
      </c>
    </row>
    <row r="35" spans="1:6" x14ac:dyDescent="0.25">
      <c r="A35" s="1059" t="s">
        <v>11</v>
      </c>
      <c r="B35" s="197">
        <v>916</v>
      </c>
      <c r="C35"/>
      <c r="D35" s="427" t="s">
        <v>574</v>
      </c>
      <c r="E35" s="197">
        <v>1762</v>
      </c>
    </row>
    <row r="36" spans="1:6" x14ac:dyDescent="0.25">
      <c r="A36" s="1059" t="s">
        <v>14</v>
      </c>
      <c r="B36" s="197">
        <v>996</v>
      </c>
      <c r="C36"/>
      <c r="D36" s="427" t="s">
        <v>283</v>
      </c>
      <c r="E36" s="197">
        <v>248</v>
      </c>
    </row>
    <row r="37" spans="1:6" x14ac:dyDescent="0.25">
      <c r="A37" s="1059" t="s">
        <v>13</v>
      </c>
      <c r="B37" s="197">
        <v>5816</v>
      </c>
      <c r="C37"/>
      <c r="D37" s="427" t="s">
        <v>270</v>
      </c>
      <c r="E37" s="197">
        <v>4200</v>
      </c>
    </row>
    <row r="38" spans="1:6" x14ac:dyDescent="0.25">
      <c r="A38" s="1059" t="s">
        <v>17</v>
      </c>
      <c r="B38" s="197">
        <v>18831</v>
      </c>
      <c r="C38"/>
      <c r="D38" s="427" t="s">
        <v>281</v>
      </c>
      <c r="E38" s="197">
        <v>400</v>
      </c>
    </row>
    <row r="39" spans="1:6" x14ac:dyDescent="0.25">
      <c r="A39" s="1059" t="s">
        <v>204</v>
      </c>
      <c r="B39" s="197">
        <v>28649</v>
      </c>
      <c r="C39"/>
      <c r="D39"/>
      <c r="E39"/>
      <c r="F39"/>
    </row>
    <row r="40" spans="1:6" x14ac:dyDescent="0.25">
      <c r="A40"/>
      <c r="B40"/>
      <c r="C40"/>
      <c r="D40"/>
      <c r="E40"/>
      <c r="F40"/>
    </row>
    <row r="41" spans="1:6" s="669" customFormat="1" x14ac:dyDescent="0.25"/>
    <row r="42" spans="1:6" s="669" customFormat="1" x14ac:dyDescent="0.25"/>
    <row r="43" spans="1:6" x14ac:dyDescent="0.25">
      <c r="A43" s="39" t="s">
        <v>329</v>
      </c>
      <c r="B43" s="669" t="s">
        <v>718</v>
      </c>
      <c r="C43"/>
      <c r="D43"/>
      <c r="E43"/>
      <c r="F43"/>
    </row>
    <row r="44" spans="1:6" x14ac:dyDescent="0.25">
      <c r="A44"/>
      <c r="B44"/>
      <c r="C44"/>
      <c r="D44"/>
      <c r="E44"/>
      <c r="F44"/>
    </row>
    <row r="45" spans="1:6" x14ac:dyDescent="0.25">
      <c r="A45" s="39" t="s">
        <v>1</v>
      </c>
      <c r="B45" t="s">
        <v>744</v>
      </c>
      <c r="C45"/>
      <c r="D45"/>
      <c r="E45"/>
      <c r="F45"/>
    </row>
    <row r="46" spans="1:6" x14ac:dyDescent="0.25">
      <c r="A46" s="669" t="s">
        <v>561</v>
      </c>
      <c r="B46" s="4">
        <v>489</v>
      </c>
      <c r="C46"/>
      <c r="D46"/>
      <c r="E46"/>
      <c r="F46"/>
    </row>
    <row r="47" spans="1:6" x14ac:dyDescent="0.25">
      <c r="A47" s="669" t="s">
        <v>14</v>
      </c>
      <c r="B47" s="4">
        <v>996</v>
      </c>
      <c r="C47"/>
      <c r="D47"/>
      <c r="E47"/>
      <c r="F47"/>
    </row>
    <row r="48" spans="1:6" x14ac:dyDescent="0.25">
      <c r="A48" s="669" t="s">
        <v>11</v>
      </c>
      <c r="B48" s="4">
        <v>912</v>
      </c>
      <c r="C48"/>
      <c r="D48"/>
      <c r="E48"/>
      <c r="F48"/>
    </row>
    <row r="49" spans="1:6" x14ac:dyDescent="0.25">
      <c r="A49" s="669" t="s">
        <v>941</v>
      </c>
      <c r="B49" s="4">
        <v>611</v>
      </c>
      <c r="C49"/>
      <c r="D49"/>
      <c r="E49"/>
      <c r="F49"/>
    </row>
    <row r="50" spans="1:6" x14ac:dyDescent="0.25">
      <c r="A50" s="669" t="s">
        <v>817</v>
      </c>
      <c r="B50" s="4">
        <v>752</v>
      </c>
      <c r="C50"/>
      <c r="D50"/>
      <c r="E50"/>
      <c r="F50"/>
    </row>
    <row r="51" spans="1:6" x14ac:dyDescent="0.25">
      <c r="A51" s="669" t="s">
        <v>13</v>
      </c>
      <c r="B51" s="4">
        <v>4464</v>
      </c>
      <c r="C51"/>
      <c r="D51"/>
      <c r="E51"/>
      <c r="F51"/>
    </row>
    <row r="52" spans="1:6" x14ac:dyDescent="0.25">
      <c r="A52" s="669" t="s">
        <v>15</v>
      </c>
      <c r="B52" s="4">
        <v>88</v>
      </c>
      <c r="C52"/>
      <c r="D52"/>
      <c r="E52"/>
      <c r="F52"/>
    </row>
    <row r="53" spans="1:6" x14ac:dyDescent="0.25">
      <c r="A53" s="669" t="s">
        <v>17</v>
      </c>
      <c r="B53" s="4">
        <v>18831</v>
      </c>
      <c r="C53"/>
      <c r="D53"/>
      <c r="E53"/>
      <c r="F53"/>
    </row>
    <row r="54" spans="1:6" x14ac:dyDescent="0.25">
      <c r="A54" s="669" t="s">
        <v>204</v>
      </c>
      <c r="B54" s="4">
        <v>27143</v>
      </c>
      <c r="C54"/>
      <c r="D54"/>
      <c r="E54"/>
      <c r="F54"/>
    </row>
    <row r="55" spans="1:6" x14ac:dyDescent="0.25">
      <c r="A55"/>
      <c r="B55"/>
      <c r="C55"/>
      <c r="D55"/>
      <c r="E55"/>
      <c r="F55"/>
    </row>
    <row r="56" spans="1:6" x14ac:dyDescent="0.25">
      <c r="A56"/>
      <c r="B56"/>
      <c r="C56"/>
      <c r="D56"/>
      <c r="E56"/>
      <c r="F56"/>
    </row>
    <row r="57" spans="1:6" x14ac:dyDescent="0.25">
      <c r="A57"/>
      <c r="B57"/>
      <c r="C57"/>
      <c r="D57"/>
      <c r="E57"/>
      <c r="F57"/>
    </row>
    <row r="58" spans="1:6" x14ac:dyDescent="0.25">
      <c r="A58"/>
      <c r="B58"/>
      <c r="C58"/>
      <c r="D58"/>
      <c r="E58"/>
      <c r="F58"/>
    </row>
    <row r="59" spans="1:6" x14ac:dyDescent="0.25">
      <c r="A59"/>
      <c r="B59"/>
      <c r="C59"/>
      <c r="D59"/>
      <c r="E59"/>
      <c r="F59"/>
    </row>
    <row r="60" spans="1:6" x14ac:dyDescent="0.25">
      <c r="A60"/>
      <c r="B60"/>
      <c r="C60"/>
      <c r="D60"/>
      <c r="E60"/>
      <c r="F60"/>
    </row>
    <row r="61" spans="1:6" x14ac:dyDescent="0.25">
      <c r="A61"/>
      <c r="B61"/>
      <c r="C61"/>
      <c r="D61"/>
      <c r="E61"/>
      <c r="F61"/>
    </row>
    <row r="62" spans="1:6" x14ac:dyDescent="0.25">
      <c r="A62"/>
      <c r="B62"/>
      <c r="C62"/>
      <c r="D62"/>
      <c r="E62"/>
      <c r="F62"/>
    </row>
    <row r="63" spans="1:6" x14ac:dyDescent="0.25">
      <c r="A63"/>
      <c r="B63"/>
      <c r="C63"/>
      <c r="D63"/>
      <c r="E63"/>
      <c r="F63"/>
    </row>
    <row r="64" spans="1:6" x14ac:dyDescent="0.25">
      <c r="A64"/>
      <c r="B64"/>
      <c r="C64"/>
      <c r="D64"/>
      <c r="E64"/>
      <c r="F64"/>
    </row>
    <row r="65" spans="1:6" x14ac:dyDescent="0.25">
      <c r="A65"/>
      <c r="B65"/>
      <c r="C65"/>
      <c r="D65"/>
      <c r="E65"/>
      <c r="F65"/>
    </row>
    <row r="66" spans="1:6" x14ac:dyDescent="0.25">
      <c r="A66"/>
      <c r="B66"/>
      <c r="C66"/>
      <c r="D66"/>
      <c r="E66"/>
      <c r="F66"/>
    </row>
    <row r="67" spans="1:6" x14ac:dyDescent="0.25">
      <c r="A67"/>
      <c r="B67"/>
      <c r="C67"/>
      <c r="D67"/>
      <c r="E67"/>
      <c r="F67"/>
    </row>
    <row r="68" spans="1:6" x14ac:dyDescent="0.25">
      <c r="A68"/>
      <c r="B68"/>
      <c r="C68"/>
      <c r="D68"/>
      <c r="E68"/>
      <c r="F68"/>
    </row>
    <row r="69" spans="1:6" x14ac:dyDescent="0.25">
      <c r="A69"/>
      <c r="B69"/>
      <c r="C69"/>
      <c r="D69"/>
      <c r="E69"/>
      <c r="F69"/>
    </row>
    <row r="70" spans="1:6" x14ac:dyDescent="0.25">
      <c r="A70"/>
      <c r="B70"/>
      <c r="C70"/>
      <c r="D70"/>
      <c r="E70"/>
      <c r="F70"/>
    </row>
    <row r="71" spans="1:6" x14ac:dyDescent="0.25">
      <c r="A71"/>
      <c r="B71"/>
      <c r="C71"/>
      <c r="D71"/>
      <c r="E71"/>
      <c r="F71"/>
    </row>
    <row r="72" spans="1:6" x14ac:dyDescent="0.25">
      <c r="A72"/>
      <c r="B72"/>
      <c r="C72"/>
      <c r="D72"/>
      <c r="E72"/>
      <c r="F72"/>
    </row>
    <row r="73" spans="1:6" x14ac:dyDescent="0.25">
      <c r="A73"/>
      <c r="B73"/>
      <c r="C73"/>
      <c r="D73"/>
      <c r="E73"/>
      <c r="F73"/>
    </row>
    <row r="74" spans="1:6" x14ac:dyDescent="0.25">
      <c r="A74"/>
      <c r="B74"/>
      <c r="C74"/>
      <c r="D74"/>
      <c r="E74"/>
      <c r="F74"/>
    </row>
    <row r="75" spans="1:6" x14ac:dyDescent="0.25">
      <c r="A75"/>
      <c r="B75"/>
      <c r="C75"/>
      <c r="D75"/>
      <c r="E75"/>
      <c r="F75"/>
    </row>
    <row r="76" spans="1:6" x14ac:dyDescent="0.25">
      <c r="A76"/>
      <c r="B76"/>
      <c r="C76"/>
      <c r="D76"/>
      <c r="E76"/>
      <c r="F76"/>
    </row>
    <row r="77" spans="1:6" x14ac:dyDescent="0.25">
      <c r="A77"/>
      <c r="B77"/>
      <c r="C77"/>
      <c r="D77"/>
      <c r="E77"/>
      <c r="F77"/>
    </row>
    <row r="78" spans="1:6" x14ac:dyDescent="0.25">
      <c r="A78"/>
      <c r="B78"/>
      <c r="C78"/>
      <c r="D78"/>
      <c r="E78"/>
      <c r="F78"/>
    </row>
    <row r="79" spans="1:6" x14ac:dyDescent="0.25">
      <c r="A79"/>
      <c r="B79"/>
      <c r="C79"/>
      <c r="D79"/>
      <c r="E79"/>
      <c r="F79"/>
    </row>
    <row r="80" spans="1:6" x14ac:dyDescent="0.25">
      <c r="A80"/>
      <c r="B80"/>
      <c r="C80"/>
      <c r="D80"/>
      <c r="E80"/>
      <c r="F80"/>
    </row>
    <row r="81" spans="1:6" x14ac:dyDescent="0.25">
      <c r="A81"/>
      <c r="B81"/>
      <c r="C81"/>
      <c r="D81"/>
      <c r="E81"/>
      <c r="F81"/>
    </row>
    <row r="82" spans="1:6" x14ac:dyDescent="0.25">
      <c r="A82"/>
      <c r="B82"/>
      <c r="C82"/>
      <c r="D82"/>
      <c r="E82"/>
      <c r="F82"/>
    </row>
    <row r="83" spans="1:6" x14ac:dyDescent="0.25">
      <c r="A83"/>
      <c r="B83"/>
      <c r="C83"/>
      <c r="D83"/>
      <c r="E83"/>
      <c r="F83"/>
    </row>
    <row r="84" spans="1:6" x14ac:dyDescent="0.25">
      <c r="A84"/>
      <c r="B84"/>
      <c r="C84"/>
      <c r="D84"/>
      <c r="E84"/>
      <c r="F84"/>
    </row>
    <row r="85" spans="1:6" x14ac:dyDescent="0.25">
      <c r="A85"/>
      <c r="B85"/>
      <c r="C85"/>
      <c r="D85"/>
      <c r="E85"/>
      <c r="F85"/>
    </row>
    <row r="86" spans="1:6" x14ac:dyDescent="0.25">
      <c r="A86"/>
      <c r="B86"/>
      <c r="C86"/>
      <c r="D86"/>
      <c r="E86"/>
      <c r="F86"/>
    </row>
    <row r="87" spans="1:6" x14ac:dyDescent="0.25">
      <c r="A87"/>
      <c r="B87"/>
      <c r="C87"/>
      <c r="D87"/>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x14ac:dyDescent="0.25">
      <c r="A92"/>
      <c r="B92"/>
      <c r="C92"/>
      <c r="D92"/>
      <c r="E92"/>
      <c r="F92"/>
    </row>
    <row r="93" spans="1:6" x14ac:dyDescent="0.25">
      <c r="A93"/>
      <c r="B93"/>
      <c r="C93"/>
      <c r="D93"/>
      <c r="E93"/>
      <c r="F93"/>
    </row>
    <row r="94" spans="1:6" x14ac:dyDescent="0.25">
      <c r="A94"/>
      <c r="B94"/>
      <c r="C94"/>
      <c r="D94"/>
      <c r="E94"/>
      <c r="F94"/>
    </row>
    <row r="95" spans="1:6" x14ac:dyDescent="0.25">
      <c r="A95"/>
      <c r="B95"/>
      <c r="C95"/>
      <c r="D95"/>
      <c r="E95"/>
      <c r="F95"/>
    </row>
    <row r="96" spans="1:6" x14ac:dyDescent="0.25">
      <c r="A96"/>
      <c r="B96"/>
      <c r="C96"/>
      <c r="D96"/>
      <c r="E96"/>
      <c r="F96"/>
    </row>
    <row r="97" spans="1:6" x14ac:dyDescent="0.25">
      <c r="A97"/>
      <c r="B97"/>
      <c r="C97"/>
      <c r="D97"/>
      <c r="E97"/>
      <c r="F97"/>
    </row>
    <row r="98" spans="1:6" x14ac:dyDescent="0.25">
      <c r="A98"/>
      <c r="B98"/>
      <c r="C98"/>
      <c r="D98"/>
      <c r="E98"/>
      <c r="F98"/>
    </row>
    <row r="99" spans="1:6" x14ac:dyDescent="0.25">
      <c r="A99"/>
      <c r="B99"/>
      <c r="C99"/>
      <c r="D99"/>
      <c r="E99"/>
      <c r="F99"/>
    </row>
    <row r="100" spans="1:6" x14ac:dyDescent="0.25">
      <c r="A100"/>
      <c r="B100"/>
      <c r="C100"/>
      <c r="D100"/>
      <c r="E100"/>
      <c r="F100"/>
    </row>
    <row r="101" spans="1:6" x14ac:dyDescent="0.25">
      <c r="A101"/>
      <c r="B101"/>
      <c r="C101"/>
      <c r="D101"/>
      <c r="E101"/>
      <c r="F101"/>
    </row>
    <row r="102" spans="1:6" x14ac:dyDescent="0.25">
      <c r="A102"/>
      <c r="B102"/>
      <c r="C102"/>
      <c r="D102"/>
      <c r="E102"/>
      <c r="F102"/>
    </row>
    <row r="103" spans="1:6" x14ac:dyDescent="0.25">
      <c r="A103"/>
      <c r="B103"/>
      <c r="C103"/>
      <c r="D103"/>
      <c r="E103"/>
      <c r="F103"/>
    </row>
    <row r="104" spans="1:6" x14ac:dyDescent="0.25">
      <c r="A104"/>
      <c r="B104"/>
      <c r="C104"/>
      <c r="D104"/>
      <c r="E104"/>
      <c r="F104"/>
    </row>
    <row r="105" spans="1:6" x14ac:dyDescent="0.25">
      <c r="A105"/>
      <c r="B105"/>
      <c r="C105"/>
      <c r="D105"/>
      <c r="E105"/>
      <c r="F105"/>
    </row>
    <row r="106" spans="1:6" x14ac:dyDescent="0.25">
      <c r="A106"/>
      <c r="B106"/>
      <c r="C106"/>
      <c r="D106"/>
      <c r="E106"/>
      <c r="F106"/>
    </row>
    <row r="107" spans="1:6" x14ac:dyDescent="0.25">
      <c r="A107"/>
      <c r="B107"/>
      <c r="C107"/>
      <c r="D107"/>
      <c r="E107"/>
      <c r="F107"/>
    </row>
    <row r="108" spans="1:6" x14ac:dyDescent="0.25">
      <c r="A108"/>
      <c r="B108"/>
      <c r="C108"/>
      <c r="D108"/>
      <c r="E108"/>
      <c r="F108"/>
    </row>
    <row r="109" spans="1:6" x14ac:dyDescent="0.25">
      <c r="A109"/>
      <c r="B109"/>
      <c r="C109"/>
      <c r="D109"/>
      <c r="E109"/>
      <c r="F109"/>
    </row>
    <row r="110" spans="1:6" x14ac:dyDescent="0.25">
      <c r="A110"/>
      <c r="B110"/>
      <c r="C110"/>
      <c r="D110"/>
      <c r="E110"/>
      <c r="F110"/>
    </row>
    <row r="111" spans="1:6" x14ac:dyDescent="0.25">
      <c r="A111"/>
      <c r="B111"/>
      <c r="C111"/>
      <c r="D111"/>
      <c r="E111"/>
      <c r="F111"/>
    </row>
    <row r="112" spans="1:6" x14ac:dyDescent="0.25">
      <c r="A112"/>
      <c r="B112"/>
      <c r="C112"/>
      <c r="D112"/>
      <c r="E112"/>
      <c r="F112"/>
    </row>
    <row r="113" spans="1:6" x14ac:dyDescent="0.25">
      <c r="A113"/>
      <c r="B113"/>
      <c r="C113"/>
      <c r="D113"/>
      <c r="E113"/>
      <c r="F113"/>
    </row>
    <row r="114" spans="1:6" x14ac:dyDescent="0.25">
      <c r="A114"/>
      <c r="B114"/>
      <c r="C114"/>
      <c r="D114"/>
      <c r="E114"/>
      <c r="F114"/>
    </row>
    <row r="115" spans="1:6" x14ac:dyDescent="0.25">
      <c r="A115"/>
      <c r="B115"/>
      <c r="C115"/>
      <c r="D115"/>
      <c r="E115"/>
      <c r="F115"/>
    </row>
    <row r="116" spans="1:6" x14ac:dyDescent="0.25">
      <c r="A116"/>
      <c r="B116"/>
      <c r="C116"/>
      <c r="D116"/>
      <c r="E116"/>
      <c r="F116"/>
    </row>
    <row r="117" spans="1:6" x14ac:dyDescent="0.25">
      <c r="A117"/>
      <c r="B117"/>
      <c r="C117"/>
      <c r="D117"/>
      <c r="E117"/>
      <c r="F117"/>
    </row>
    <row r="118" spans="1:6" x14ac:dyDescent="0.25">
      <c r="A118"/>
      <c r="B118"/>
      <c r="C118"/>
      <c r="D118"/>
      <c r="E118"/>
      <c r="F118"/>
    </row>
    <row r="119" spans="1:6" x14ac:dyDescent="0.25">
      <c r="A119"/>
      <c r="B119"/>
      <c r="C119"/>
      <c r="D119"/>
      <c r="E119"/>
      <c r="F119"/>
    </row>
    <row r="120" spans="1:6" x14ac:dyDescent="0.25">
      <c r="A120"/>
      <c r="B120"/>
      <c r="C120"/>
      <c r="D120"/>
      <c r="E120"/>
      <c r="F120"/>
    </row>
    <row r="121" spans="1:6" x14ac:dyDescent="0.25">
      <c r="A121"/>
      <c r="B121"/>
      <c r="C121"/>
      <c r="D121"/>
      <c r="E121"/>
      <c r="F121"/>
    </row>
    <row r="122" spans="1:6" x14ac:dyDescent="0.25">
      <c r="A122"/>
      <c r="B122"/>
      <c r="C122"/>
      <c r="D122"/>
      <c r="E122"/>
      <c r="F122"/>
    </row>
    <row r="123" spans="1:6" x14ac:dyDescent="0.25">
      <c r="A123"/>
      <c r="B123"/>
      <c r="C123"/>
      <c r="D123"/>
      <c r="E123"/>
      <c r="F123"/>
    </row>
    <row r="124" spans="1:6" x14ac:dyDescent="0.25">
      <c r="A124"/>
      <c r="B124"/>
      <c r="C124"/>
      <c r="D124"/>
      <c r="E124"/>
      <c r="F124"/>
    </row>
    <row r="125" spans="1:6" x14ac:dyDescent="0.25">
      <c r="A125"/>
      <c r="B125"/>
      <c r="C125"/>
      <c r="D125"/>
      <c r="E125"/>
      <c r="F125"/>
    </row>
    <row r="126" spans="1:6" x14ac:dyDescent="0.25">
      <c r="A126"/>
      <c r="B126"/>
      <c r="C126"/>
      <c r="D126"/>
      <c r="E126"/>
      <c r="F126"/>
    </row>
    <row r="127" spans="1:6" x14ac:dyDescent="0.25">
      <c r="A127"/>
      <c r="B127"/>
      <c r="C127"/>
      <c r="D127"/>
      <c r="E127"/>
      <c r="F127"/>
    </row>
    <row r="128" spans="1:6" x14ac:dyDescent="0.25">
      <c r="A128"/>
      <c r="B128"/>
      <c r="C128"/>
      <c r="D128"/>
      <c r="E128"/>
      <c r="F128"/>
    </row>
    <row r="129" spans="1:6" x14ac:dyDescent="0.25">
      <c r="A129"/>
      <c r="B129"/>
      <c r="C129"/>
      <c r="D129"/>
      <c r="E129"/>
      <c r="F129"/>
    </row>
    <row r="130" spans="1:6" x14ac:dyDescent="0.25">
      <c r="A130"/>
      <c r="B130"/>
      <c r="C130"/>
      <c r="D130"/>
      <c r="E130"/>
      <c r="F130"/>
    </row>
    <row r="131" spans="1:6" x14ac:dyDescent="0.25">
      <c r="A131"/>
      <c r="B131"/>
      <c r="C131"/>
      <c r="D131"/>
      <c r="E131"/>
      <c r="F131"/>
    </row>
    <row r="132" spans="1:6" x14ac:dyDescent="0.25">
      <c r="A132"/>
      <c r="B132"/>
      <c r="C132"/>
      <c r="D132"/>
      <c r="E132"/>
      <c r="F132"/>
    </row>
    <row r="133" spans="1:6" x14ac:dyDescent="0.25">
      <c r="A133"/>
      <c r="B133"/>
      <c r="C133"/>
      <c r="D133"/>
      <c r="E133"/>
      <c r="F133"/>
    </row>
    <row r="134" spans="1:6" x14ac:dyDescent="0.25">
      <c r="A134"/>
      <c r="B134"/>
      <c r="C134"/>
      <c r="D134"/>
      <c r="E134"/>
      <c r="F134"/>
    </row>
    <row r="135" spans="1:6" x14ac:dyDescent="0.25">
      <c r="A135"/>
      <c r="B135"/>
      <c r="C135"/>
      <c r="D135"/>
      <c r="E135"/>
      <c r="F135"/>
    </row>
    <row r="136" spans="1:6" x14ac:dyDescent="0.25">
      <c r="A136"/>
      <c r="B136"/>
      <c r="C136"/>
      <c r="D136"/>
      <c r="E136"/>
      <c r="F136"/>
    </row>
    <row r="137" spans="1:6" x14ac:dyDescent="0.25">
      <c r="A137"/>
      <c r="B137"/>
      <c r="C137"/>
      <c r="D137"/>
      <c r="E137"/>
      <c r="F137"/>
    </row>
    <row r="138" spans="1:6" x14ac:dyDescent="0.25">
      <c r="A138"/>
      <c r="B138"/>
      <c r="C138"/>
      <c r="D138"/>
      <c r="E138"/>
      <c r="F138"/>
    </row>
    <row r="139" spans="1:6" x14ac:dyDescent="0.25">
      <c r="A139"/>
      <c r="B139"/>
      <c r="C139"/>
      <c r="D139"/>
      <c r="E139"/>
      <c r="F139"/>
    </row>
    <row r="140" spans="1:6" x14ac:dyDescent="0.25">
      <c r="A140"/>
      <c r="B140"/>
      <c r="C140"/>
      <c r="D140"/>
      <c r="E140"/>
      <c r="F140"/>
    </row>
    <row r="141" spans="1:6" x14ac:dyDescent="0.25">
      <c r="A141"/>
      <c r="B141"/>
      <c r="C141"/>
      <c r="D141"/>
      <c r="E141"/>
      <c r="F141"/>
    </row>
    <row r="142" spans="1:6" x14ac:dyDescent="0.25">
      <c r="A142"/>
      <c r="B142"/>
      <c r="C142"/>
      <c r="D142"/>
      <c r="E142"/>
      <c r="F142"/>
    </row>
    <row r="143" spans="1:6" x14ac:dyDescent="0.25">
      <c r="A143"/>
      <c r="B143"/>
      <c r="C143"/>
      <c r="D143"/>
      <c r="E143"/>
      <c r="F143"/>
    </row>
    <row r="144" spans="1:6" x14ac:dyDescent="0.25">
      <c r="A144"/>
      <c r="B144"/>
      <c r="C144"/>
      <c r="D144"/>
      <c r="E144"/>
      <c r="F144"/>
    </row>
    <row r="145" spans="1:6" x14ac:dyDescent="0.25">
      <c r="A145"/>
      <c r="B145"/>
      <c r="C145"/>
      <c r="D145"/>
      <c r="E145"/>
      <c r="F145"/>
    </row>
    <row r="146" spans="1:6" x14ac:dyDescent="0.25">
      <c r="A146"/>
      <c r="B146"/>
      <c r="C146"/>
      <c r="D146"/>
      <c r="E146"/>
      <c r="F146"/>
    </row>
    <row r="147" spans="1:6" x14ac:dyDescent="0.25">
      <c r="A147"/>
      <c r="B147"/>
      <c r="C147"/>
      <c r="D147"/>
      <c r="E147"/>
      <c r="F147"/>
    </row>
    <row r="148" spans="1:6" x14ac:dyDescent="0.25">
      <c r="A148"/>
      <c r="B148"/>
      <c r="C148"/>
      <c r="D148"/>
      <c r="E148"/>
      <c r="F148"/>
    </row>
    <row r="149" spans="1:6" x14ac:dyDescent="0.25">
      <c r="A149"/>
      <c r="B149"/>
      <c r="C149"/>
      <c r="D149"/>
      <c r="E149"/>
      <c r="F149"/>
    </row>
    <row r="150" spans="1:6" x14ac:dyDescent="0.25">
      <c r="A150"/>
      <c r="B150"/>
      <c r="C150"/>
      <c r="D150"/>
      <c r="E150"/>
      <c r="F150"/>
    </row>
    <row r="151" spans="1:6" x14ac:dyDescent="0.25">
      <c r="A151"/>
      <c r="B151"/>
      <c r="C151"/>
      <c r="D151"/>
      <c r="E151"/>
      <c r="F151"/>
    </row>
    <row r="152" spans="1:6" x14ac:dyDescent="0.25">
      <c r="A152"/>
      <c r="B152"/>
      <c r="C152"/>
      <c r="D152"/>
      <c r="E152"/>
      <c r="F152"/>
    </row>
    <row r="153" spans="1:6" x14ac:dyDescent="0.25">
      <c r="A153"/>
      <c r="B153"/>
      <c r="C153"/>
      <c r="D153"/>
      <c r="E153"/>
      <c r="F153"/>
    </row>
    <row r="154" spans="1:6" x14ac:dyDescent="0.25">
      <c r="A154"/>
      <c r="B154"/>
      <c r="C154"/>
      <c r="D154"/>
      <c r="E154"/>
      <c r="F154"/>
    </row>
    <row r="155" spans="1:6" x14ac:dyDescent="0.25">
      <c r="A155"/>
      <c r="B155"/>
      <c r="C155"/>
      <c r="D155"/>
      <c r="E155"/>
      <c r="F155"/>
    </row>
    <row r="156" spans="1:6" x14ac:dyDescent="0.25">
      <c r="A156"/>
      <c r="B156"/>
      <c r="C156"/>
      <c r="D156"/>
      <c r="E156"/>
      <c r="F156"/>
    </row>
    <row r="157" spans="1:6" x14ac:dyDescent="0.25">
      <c r="A157"/>
      <c r="B157"/>
      <c r="C157"/>
      <c r="D157"/>
      <c r="E157"/>
      <c r="F157"/>
    </row>
    <row r="158" spans="1:6" x14ac:dyDescent="0.25">
      <c r="A158"/>
      <c r="B158"/>
      <c r="C158"/>
      <c r="D158"/>
      <c r="E158"/>
      <c r="F158"/>
    </row>
    <row r="159" spans="1:6" x14ac:dyDescent="0.25">
      <c r="A159"/>
      <c r="B159"/>
      <c r="C159"/>
      <c r="D159"/>
      <c r="E159"/>
      <c r="F159"/>
    </row>
    <row r="160" spans="1:6" x14ac:dyDescent="0.25">
      <c r="A160"/>
      <c r="B160"/>
      <c r="C160"/>
      <c r="D160"/>
      <c r="E160"/>
      <c r="F160"/>
    </row>
    <row r="161" spans="1:6" x14ac:dyDescent="0.25">
      <c r="A161"/>
      <c r="B161"/>
      <c r="C161"/>
      <c r="D161"/>
      <c r="E161"/>
      <c r="F161"/>
    </row>
    <row r="162" spans="1:6" x14ac:dyDescent="0.25">
      <c r="A162"/>
      <c r="B162"/>
      <c r="C162"/>
      <c r="D162"/>
      <c r="E162"/>
      <c r="F162"/>
    </row>
    <row r="163" spans="1:6" x14ac:dyDescent="0.25">
      <c r="A163"/>
      <c r="B163"/>
      <c r="C163"/>
      <c r="D163"/>
      <c r="E163"/>
      <c r="F163"/>
    </row>
    <row r="164" spans="1:6" x14ac:dyDescent="0.25">
      <c r="A164"/>
      <c r="B164"/>
      <c r="C164"/>
      <c r="D164"/>
      <c r="E164"/>
      <c r="F164"/>
    </row>
    <row r="165" spans="1:6" x14ac:dyDescent="0.25">
      <c r="A165"/>
      <c r="B165"/>
      <c r="C165"/>
      <c r="D165"/>
      <c r="E165"/>
      <c r="F165"/>
    </row>
    <row r="166" spans="1:6" x14ac:dyDescent="0.25">
      <c r="A166"/>
      <c r="B166"/>
      <c r="C166"/>
      <c r="D166"/>
      <c r="E166"/>
      <c r="F166"/>
    </row>
    <row r="167" spans="1:6" x14ac:dyDescent="0.25">
      <c r="A167"/>
      <c r="B167"/>
      <c r="C167"/>
      <c r="D167"/>
      <c r="E167"/>
      <c r="F167"/>
    </row>
    <row r="168" spans="1:6" x14ac:dyDescent="0.25">
      <c r="A168"/>
      <c r="B168"/>
      <c r="C168"/>
      <c r="D168"/>
      <c r="E168"/>
      <c r="F168"/>
    </row>
    <row r="169" spans="1:6" x14ac:dyDescent="0.25">
      <c r="A169"/>
      <c r="B169"/>
      <c r="C169"/>
      <c r="D169"/>
      <c r="E169"/>
      <c r="F169"/>
    </row>
    <row r="170" spans="1:6" x14ac:dyDescent="0.25">
      <c r="A170"/>
      <c r="B170"/>
      <c r="C170"/>
      <c r="D170"/>
      <c r="E170"/>
      <c r="F170"/>
    </row>
    <row r="171" spans="1:6" x14ac:dyDescent="0.25">
      <c r="A171"/>
      <c r="B171"/>
      <c r="C171"/>
      <c r="D171"/>
      <c r="E171"/>
      <c r="F171"/>
    </row>
    <row r="172" spans="1:6" x14ac:dyDescent="0.25">
      <c r="A172"/>
      <c r="B172"/>
      <c r="C172"/>
      <c r="D172"/>
      <c r="E172"/>
      <c r="F172"/>
    </row>
    <row r="173" spans="1:6" x14ac:dyDescent="0.25">
      <c r="A173"/>
      <c r="B173"/>
      <c r="C173"/>
      <c r="D173"/>
      <c r="E173"/>
      <c r="F173"/>
    </row>
    <row r="174" spans="1:6" x14ac:dyDescent="0.25">
      <c r="A174"/>
      <c r="B174"/>
      <c r="C174"/>
      <c r="D174"/>
      <c r="E174"/>
      <c r="F174"/>
    </row>
    <row r="175" spans="1:6" x14ac:dyDescent="0.25">
      <c r="A175"/>
      <c r="B175"/>
      <c r="C175"/>
      <c r="D175"/>
      <c r="E175"/>
      <c r="F175"/>
    </row>
    <row r="176" spans="1:6" x14ac:dyDescent="0.25">
      <c r="A176"/>
      <c r="B176"/>
      <c r="C176"/>
      <c r="D176"/>
      <c r="E176"/>
      <c r="F176"/>
    </row>
    <row r="177" spans="1:6" x14ac:dyDescent="0.25">
      <c r="A177"/>
      <c r="B177"/>
      <c r="C177"/>
      <c r="D177"/>
      <c r="E177"/>
      <c r="F177"/>
    </row>
    <row r="178" spans="1:6" x14ac:dyDescent="0.25">
      <c r="A178"/>
      <c r="B178"/>
      <c r="C178"/>
      <c r="D178"/>
      <c r="E178"/>
      <c r="F178"/>
    </row>
    <row r="179" spans="1:6" x14ac:dyDescent="0.25">
      <c r="A179"/>
      <c r="B179"/>
      <c r="C179"/>
      <c r="D179"/>
      <c r="E179"/>
      <c r="F179"/>
    </row>
    <row r="180" spans="1:6" x14ac:dyDescent="0.25">
      <c r="A180"/>
      <c r="B180"/>
      <c r="C180"/>
      <c r="D180"/>
      <c r="E180"/>
      <c r="F180"/>
    </row>
    <row r="181" spans="1:6" x14ac:dyDescent="0.25">
      <c r="A181"/>
      <c r="B181"/>
      <c r="C181"/>
      <c r="D181"/>
      <c r="E181"/>
      <c r="F181"/>
    </row>
    <row r="182" spans="1:6" x14ac:dyDescent="0.25">
      <c r="A182"/>
      <c r="B182"/>
      <c r="C182"/>
      <c r="D182"/>
      <c r="E182"/>
      <c r="F182"/>
    </row>
    <row r="183" spans="1:6" x14ac:dyDescent="0.25">
      <c r="A183"/>
      <c r="B183"/>
      <c r="C183"/>
      <c r="D183"/>
      <c r="E183"/>
      <c r="F183"/>
    </row>
    <row r="184" spans="1:6" x14ac:dyDescent="0.25">
      <c r="A184"/>
      <c r="B184"/>
      <c r="C184"/>
      <c r="D184"/>
      <c r="E184"/>
      <c r="F184"/>
    </row>
    <row r="185" spans="1:6" x14ac:dyDescent="0.25">
      <c r="A185"/>
      <c r="B185"/>
      <c r="C185"/>
      <c r="D185"/>
      <c r="E185"/>
      <c r="F185"/>
    </row>
    <row r="186" spans="1:6" x14ac:dyDescent="0.25">
      <c r="A186"/>
      <c r="B186"/>
      <c r="C186"/>
      <c r="D186"/>
      <c r="E186"/>
      <c r="F186"/>
    </row>
    <row r="187" spans="1:6" x14ac:dyDescent="0.25">
      <c r="A187"/>
      <c r="B187"/>
      <c r="C187"/>
      <c r="D187"/>
      <c r="E187"/>
      <c r="F187"/>
    </row>
    <row r="188" spans="1:6" x14ac:dyDescent="0.25">
      <c r="A188"/>
      <c r="B188"/>
      <c r="C188"/>
      <c r="D188"/>
      <c r="E188"/>
      <c r="F188"/>
    </row>
    <row r="189" spans="1:6" x14ac:dyDescent="0.25">
      <c r="A189"/>
      <c r="B189"/>
      <c r="C189"/>
      <c r="D189"/>
      <c r="E189"/>
      <c r="F189"/>
    </row>
    <row r="190" spans="1:6" x14ac:dyDescent="0.25">
      <c r="A190"/>
      <c r="B190"/>
      <c r="C190"/>
      <c r="D190"/>
      <c r="E190"/>
      <c r="F190"/>
    </row>
    <row r="191" spans="1:6" x14ac:dyDescent="0.25">
      <c r="A191"/>
      <c r="B191"/>
      <c r="C191"/>
      <c r="D191"/>
      <c r="E191"/>
      <c r="F191"/>
    </row>
    <row r="192" spans="1:6" x14ac:dyDescent="0.25">
      <c r="A192"/>
      <c r="B192"/>
      <c r="C192"/>
      <c r="D192"/>
      <c r="E192"/>
      <c r="F192"/>
    </row>
    <row r="193" spans="1:6" x14ac:dyDescent="0.25">
      <c r="A193"/>
      <c r="B193"/>
      <c r="C193"/>
      <c r="D193"/>
      <c r="E193"/>
      <c r="F193"/>
    </row>
    <row r="194" spans="1:6" x14ac:dyDescent="0.25">
      <c r="A194"/>
      <c r="B194"/>
      <c r="C194"/>
      <c r="D194"/>
      <c r="E194"/>
      <c r="F194"/>
    </row>
    <row r="195" spans="1:6" x14ac:dyDescent="0.25">
      <c r="A195"/>
      <c r="B195"/>
      <c r="C195"/>
      <c r="D195"/>
      <c r="E195"/>
      <c r="F195"/>
    </row>
    <row r="196" spans="1:6" x14ac:dyDescent="0.25">
      <c r="A196"/>
      <c r="B196"/>
      <c r="C196"/>
      <c r="D196"/>
      <c r="E196"/>
      <c r="F196"/>
    </row>
    <row r="197" spans="1:6" x14ac:dyDescent="0.25">
      <c r="A197"/>
      <c r="B197"/>
      <c r="C197"/>
      <c r="D197"/>
      <c r="E197"/>
      <c r="F197"/>
    </row>
    <row r="198" spans="1:6" x14ac:dyDescent="0.25">
      <c r="A198"/>
      <c r="B198"/>
      <c r="C198"/>
      <c r="D198"/>
      <c r="E198"/>
      <c r="F198"/>
    </row>
    <row r="199" spans="1:6" x14ac:dyDescent="0.25">
      <c r="A199"/>
      <c r="B199"/>
      <c r="C199"/>
      <c r="D199"/>
      <c r="E199"/>
      <c r="F199"/>
    </row>
    <row r="200" spans="1:6" x14ac:dyDescent="0.25">
      <c r="A200"/>
      <c r="B200"/>
      <c r="C200"/>
      <c r="D200"/>
      <c r="E200"/>
      <c r="F200"/>
    </row>
    <row r="201" spans="1:6" x14ac:dyDescent="0.25">
      <c r="A201"/>
      <c r="B201"/>
      <c r="C201"/>
      <c r="D201"/>
      <c r="E201"/>
      <c r="F201"/>
    </row>
    <row r="202" spans="1:6" x14ac:dyDescent="0.25">
      <c r="A202"/>
      <c r="B202"/>
      <c r="C202"/>
      <c r="D202"/>
      <c r="E202"/>
      <c r="F202"/>
    </row>
    <row r="203" spans="1:6" x14ac:dyDescent="0.25">
      <c r="A203"/>
      <c r="B203"/>
      <c r="C203"/>
      <c r="D203"/>
      <c r="E203"/>
      <c r="F203"/>
    </row>
    <row r="204" spans="1:6" x14ac:dyDescent="0.25">
      <c r="A204"/>
      <c r="B204"/>
      <c r="C204"/>
      <c r="D204"/>
      <c r="E204"/>
      <c r="F204"/>
    </row>
    <row r="205" spans="1:6" x14ac:dyDescent="0.25">
      <c r="A205"/>
      <c r="B205"/>
      <c r="C205"/>
      <c r="D205"/>
      <c r="E205"/>
      <c r="F205"/>
    </row>
    <row r="206" spans="1:6" x14ac:dyDescent="0.25">
      <c r="A206"/>
      <c r="B206"/>
      <c r="C206"/>
      <c r="D206"/>
      <c r="E206"/>
      <c r="F206"/>
    </row>
    <row r="207" spans="1:6" x14ac:dyDescent="0.25">
      <c r="A207"/>
      <c r="B207"/>
      <c r="C207"/>
      <c r="D207"/>
      <c r="E207"/>
      <c r="F207"/>
    </row>
    <row r="208" spans="1:6" x14ac:dyDescent="0.25">
      <c r="A208"/>
      <c r="B208"/>
      <c r="C208"/>
      <c r="D208"/>
      <c r="E208"/>
      <c r="F208"/>
    </row>
    <row r="209" spans="1:6" x14ac:dyDescent="0.25">
      <c r="A209"/>
      <c r="B209"/>
      <c r="C209"/>
      <c r="D209"/>
      <c r="E209"/>
      <c r="F209"/>
    </row>
    <row r="210" spans="1:6" x14ac:dyDescent="0.25">
      <c r="A210"/>
      <c r="B210"/>
      <c r="C210"/>
      <c r="D210"/>
      <c r="E210"/>
      <c r="F210"/>
    </row>
    <row r="211" spans="1:6" x14ac:dyDescent="0.25">
      <c r="A211"/>
      <c r="B211"/>
      <c r="C211"/>
      <c r="D211"/>
      <c r="E211"/>
      <c r="F211"/>
    </row>
    <row r="212" spans="1:6" x14ac:dyDescent="0.25">
      <c r="A212"/>
      <c r="B212"/>
      <c r="C212"/>
      <c r="D212"/>
      <c r="E212"/>
      <c r="F212"/>
    </row>
    <row r="213" spans="1:6" x14ac:dyDescent="0.25">
      <c r="A213"/>
      <c r="B213"/>
      <c r="C213"/>
      <c r="D213"/>
      <c r="E213"/>
      <c r="F213"/>
    </row>
    <row r="214" spans="1:6" x14ac:dyDescent="0.25">
      <c r="A214"/>
      <c r="B214"/>
      <c r="C214"/>
      <c r="D214"/>
      <c r="E214"/>
      <c r="F214"/>
    </row>
    <row r="215" spans="1:6" x14ac:dyDescent="0.25">
      <c r="A215"/>
      <c r="B215"/>
      <c r="C215"/>
      <c r="D215"/>
      <c r="E215"/>
      <c r="F215"/>
    </row>
    <row r="216" spans="1:6" x14ac:dyDescent="0.25">
      <c r="A216"/>
      <c r="B216"/>
      <c r="C216"/>
      <c r="D216"/>
      <c r="E216"/>
      <c r="F216"/>
    </row>
    <row r="217" spans="1:6" x14ac:dyDescent="0.25">
      <c r="A217"/>
      <c r="B217"/>
      <c r="C217"/>
      <c r="D217"/>
      <c r="E217"/>
      <c r="F217"/>
    </row>
    <row r="218" spans="1:6" x14ac:dyDescent="0.25">
      <c r="A218"/>
      <c r="B218"/>
      <c r="C218"/>
      <c r="D218"/>
      <c r="E218"/>
      <c r="F218"/>
    </row>
    <row r="219" spans="1:6" x14ac:dyDescent="0.25">
      <c r="A219"/>
      <c r="B219"/>
      <c r="C219"/>
      <c r="D219"/>
      <c r="E219"/>
      <c r="F219"/>
    </row>
    <row r="220" spans="1:6" x14ac:dyDescent="0.25">
      <c r="A220"/>
      <c r="B220"/>
      <c r="C220"/>
      <c r="D220"/>
      <c r="E220"/>
      <c r="F220"/>
    </row>
    <row r="221" spans="1:6" x14ac:dyDescent="0.25">
      <c r="A221"/>
      <c r="B221"/>
      <c r="C221"/>
      <c r="D221"/>
      <c r="E221"/>
      <c r="F221"/>
    </row>
    <row r="222" spans="1:6" x14ac:dyDescent="0.25">
      <c r="A222"/>
      <c r="B222"/>
      <c r="C222"/>
      <c r="D222"/>
      <c r="E222"/>
      <c r="F222"/>
    </row>
    <row r="223" spans="1:6" x14ac:dyDescent="0.25">
      <c r="A223"/>
      <c r="B223"/>
      <c r="C223"/>
      <c r="D223"/>
      <c r="E223"/>
      <c r="F223"/>
    </row>
    <row r="224" spans="1:6" x14ac:dyDescent="0.25">
      <c r="A224"/>
      <c r="B224"/>
      <c r="C224"/>
      <c r="D224"/>
      <c r="E224"/>
      <c r="F224"/>
    </row>
    <row r="225" spans="1:6" x14ac:dyDescent="0.25">
      <c r="A225"/>
      <c r="B225"/>
      <c r="C225"/>
      <c r="D225"/>
      <c r="E225"/>
      <c r="F225"/>
    </row>
    <row r="226" spans="1:6" x14ac:dyDescent="0.25">
      <c r="A226"/>
      <c r="B226"/>
      <c r="C226"/>
      <c r="D226"/>
      <c r="E226"/>
      <c r="F226"/>
    </row>
    <row r="227" spans="1:6" x14ac:dyDescent="0.25">
      <c r="A227"/>
      <c r="B227"/>
      <c r="C227"/>
      <c r="D227"/>
      <c r="E227"/>
      <c r="F227"/>
    </row>
    <row r="228" spans="1:6" x14ac:dyDescent="0.25">
      <c r="A228"/>
      <c r="B228"/>
      <c r="C228"/>
      <c r="D228"/>
      <c r="E228"/>
      <c r="F228"/>
    </row>
  </sheetData>
  <mergeCells count="2">
    <mergeCell ref="A2:C2"/>
    <mergeCell ref="A3:F3"/>
  </mergeCells>
  <pageMargins left="0.7" right="0.7" top="0.75" bottom="0.75" header="0.3" footer="0.3"/>
  <pageSetup paperSize="9" scale="5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BA79"/>
  <sheetViews>
    <sheetView showZeros="0" topLeftCell="A7" zoomScale="80" zoomScaleNormal="80" zoomScalePageLayoutView="80" workbookViewId="0">
      <selection activeCell="R26" sqref="R26"/>
    </sheetView>
  </sheetViews>
  <sheetFormatPr defaultColWidth="9.140625" defaultRowHeight="15" x14ac:dyDescent="0.25"/>
  <cols>
    <col min="1" max="1" width="2.7109375" style="669" customWidth="1"/>
    <col min="2" max="2" width="12.28515625" style="50" customWidth="1"/>
    <col min="3" max="3" width="10.7109375" style="50" bestFit="1" customWidth="1"/>
    <col min="4" max="4" width="13" style="50" customWidth="1"/>
    <col min="5" max="5" width="8.5703125" style="50" customWidth="1"/>
    <col min="6" max="6" width="18.85546875" style="50" customWidth="1"/>
    <col min="7" max="7" width="20.85546875" style="50" customWidth="1"/>
    <col min="8" max="8" width="13" style="50" customWidth="1"/>
    <col min="9" max="9" width="16.85546875" style="50" customWidth="1"/>
    <col min="10" max="10" width="15.42578125" style="50" customWidth="1"/>
    <col min="11" max="11" width="14.28515625" style="50" customWidth="1"/>
    <col min="12" max="12" width="16" style="50" customWidth="1"/>
    <col min="13" max="13" width="17.42578125" style="50" customWidth="1"/>
    <col min="14" max="14" width="16.7109375" style="50" customWidth="1"/>
    <col min="15" max="15" width="15.5703125" style="50" customWidth="1"/>
    <col min="16" max="16" width="1" style="669" customWidth="1"/>
    <col min="17" max="17" width="10" style="50" customWidth="1"/>
    <col min="18" max="18" width="29.5703125" style="50" customWidth="1"/>
    <col min="19" max="19" width="23.140625" style="50" customWidth="1"/>
    <col min="20" max="20" width="12.85546875" style="50" customWidth="1"/>
    <col min="21" max="21" width="25.42578125" style="50" customWidth="1"/>
    <col min="22" max="22" width="14" style="65" customWidth="1"/>
    <col min="23" max="42" width="9.140625" style="65"/>
    <col min="43" max="16384" width="9.140625" style="50"/>
  </cols>
  <sheetData>
    <row r="1" spans="2:53" s="1" customFormat="1" ht="36" x14ac:dyDescent="0.25">
      <c r="B1" s="157"/>
      <c r="C1" s="158"/>
      <c r="D1" s="158"/>
      <c r="E1" s="158"/>
      <c r="F1" s="158"/>
      <c r="G1" s="158"/>
      <c r="H1" s="158"/>
      <c r="I1" s="158"/>
      <c r="J1" s="158"/>
      <c r="K1" s="158"/>
      <c r="L1" s="158"/>
      <c r="M1" s="158"/>
      <c r="N1" s="1172"/>
      <c r="O1" s="1172"/>
      <c r="P1" s="978"/>
      <c r="AY1" s="57"/>
      <c r="AZ1" s="57"/>
    </row>
    <row r="2" spans="2:53" s="1" customFormat="1" ht="33" customHeight="1" x14ac:dyDescent="0.25">
      <c r="B2" s="1095" t="s">
        <v>745</v>
      </c>
      <c r="C2" s="1096"/>
      <c r="D2" s="1096"/>
      <c r="E2" s="1096"/>
      <c r="F2" s="1096"/>
      <c r="G2" s="1096"/>
      <c r="H2" s="1096"/>
      <c r="I2" s="79"/>
      <c r="J2" s="79"/>
      <c r="K2" s="79"/>
      <c r="L2" s="79"/>
      <c r="M2" s="79"/>
      <c r="N2" s="1173"/>
      <c r="O2" s="1173"/>
      <c r="P2" s="829"/>
      <c r="V2" s="78"/>
      <c r="W2" s="78"/>
      <c r="X2" s="78"/>
      <c r="Y2" s="78"/>
      <c r="Z2" s="78"/>
      <c r="AA2" s="78"/>
      <c r="AB2" s="78"/>
      <c r="AC2" s="78"/>
      <c r="AD2" s="78"/>
      <c r="AE2" s="78"/>
      <c r="AF2" s="78"/>
      <c r="AG2" s="78"/>
      <c r="AH2" s="78"/>
      <c r="AI2" s="78"/>
      <c r="AJ2" s="78"/>
      <c r="AK2" s="78"/>
      <c r="AL2" s="78"/>
      <c r="AM2" s="78"/>
      <c r="AN2" s="78"/>
      <c r="AO2" s="78"/>
      <c r="AP2" s="78"/>
      <c r="AZ2" s="57"/>
      <c r="BA2" s="57"/>
    </row>
    <row r="3" spans="2:53" s="16" customFormat="1" ht="18" customHeight="1" x14ac:dyDescent="0.25">
      <c r="B3" s="1169">
        <f>Report_Date</f>
        <v>43190</v>
      </c>
      <c r="C3" s="1170"/>
      <c r="D3" s="1170"/>
      <c r="E3" s="1170"/>
      <c r="F3" s="1170"/>
      <c r="G3" s="1170"/>
      <c r="H3" s="1170"/>
      <c r="I3" s="79"/>
      <c r="J3" s="79"/>
      <c r="K3" s="79"/>
      <c r="L3" s="79"/>
      <c r="M3" s="79"/>
      <c r="N3" s="1173"/>
      <c r="O3" s="1173"/>
      <c r="P3" s="829"/>
      <c r="W3" s="78"/>
      <c r="X3" s="78"/>
      <c r="Y3" s="78"/>
      <c r="Z3" s="78"/>
      <c r="AA3" s="78"/>
      <c r="AB3" s="78"/>
      <c r="AC3" s="78"/>
      <c r="AD3" s="78"/>
      <c r="AE3" s="78"/>
      <c r="AF3" s="78"/>
      <c r="AG3" s="78"/>
      <c r="AH3" s="78"/>
      <c r="AI3" s="78"/>
      <c r="AJ3" s="78"/>
      <c r="AK3" s="78"/>
      <c r="AL3" s="78"/>
      <c r="AM3" s="78"/>
      <c r="AN3" s="78"/>
      <c r="AO3" s="78"/>
      <c r="AP3" s="78"/>
      <c r="AZ3" s="58"/>
      <c r="BA3" s="58"/>
    </row>
    <row r="4" spans="2:53" s="16" customFormat="1" ht="18" customHeight="1" x14ac:dyDescent="0.25">
      <c r="B4" s="975"/>
      <c r="C4" s="976"/>
      <c r="D4" s="976"/>
      <c r="E4" s="976"/>
      <c r="F4" s="976"/>
      <c r="G4" s="976"/>
      <c r="H4" s="976"/>
      <c r="I4" s="79"/>
      <c r="J4" s="79"/>
      <c r="K4" s="79"/>
      <c r="L4" s="79"/>
      <c r="M4" s="79"/>
      <c r="N4" s="977"/>
      <c r="O4" s="977"/>
      <c r="P4" s="829"/>
      <c r="W4" s="669"/>
      <c r="X4" s="669"/>
      <c r="Y4" s="669"/>
      <c r="Z4" s="669"/>
      <c r="AA4" s="669"/>
      <c r="AB4" s="669"/>
      <c r="AC4" s="669"/>
      <c r="AD4" s="669"/>
      <c r="AE4" s="669"/>
      <c r="AF4" s="669"/>
      <c r="AG4" s="669"/>
      <c r="AH4" s="669"/>
      <c r="AI4" s="669"/>
      <c r="AJ4" s="669"/>
      <c r="AK4" s="669"/>
      <c r="AL4" s="669"/>
      <c r="AM4" s="669"/>
      <c r="AN4" s="669"/>
      <c r="AO4" s="669"/>
      <c r="AP4" s="669"/>
      <c r="AZ4" s="58"/>
      <c r="BA4" s="58"/>
    </row>
    <row r="5" spans="2:53" s="16" customFormat="1" ht="18" customHeight="1" x14ac:dyDescent="0.25">
      <c r="B5" s="975"/>
      <c r="C5" s="976"/>
      <c r="D5" s="976"/>
      <c r="E5" s="976"/>
      <c r="F5" s="976"/>
      <c r="G5" s="976"/>
      <c r="H5" s="976"/>
      <c r="I5" s="79"/>
      <c r="J5" s="79"/>
      <c r="K5" s="79"/>
      <c r="L5" s="79"/>
      <c r="M5" s="79"/>
      <c r="N5" s="977"/>
      <c r="O5" s="977"/>
      <c r="P5" s="829"/>
      <c r="W5" s="669"/>
      <c r="X5" s="669"/>
      <c r="Y5" s="669"/>
      <c r="Z5" s="669"/>
      <c r="AA5" s="669"/>
      <c r="AB5" s="669"/>
      <c r="AC5" s="669"/>
      <c r="AD5" s="669"/>
      <c r="AE5" s="669"/>
      <c r="AF5" s="669"/>
      <c r="AG5" s="669"/>
      <c r="AH5" s="669"/>
      <c r="AI5" s="669"/>
      <c r="AJ5" s="669"/>
      <c r="AK5" s="669"/>
      <c r="AL5" s="669"/>
      <c r="AM5" s="669"/>
      <c r="AN5" s="669"/>
      <c r="AO5" s="669"/>
      <c r="AP5" s="669"/>
      <c r="AZ5" s="58"/>
      <c r="BA5" s="58"/>
    </row>
    <row r="6" spans="2:53" ht="24.75" customHeight="1" x14ac:dyDescent="0.25">
      <c r="B6" s="385"/>
      <c r="C6" s="38"/>
      <c r="D6" s="38"/>
      <c r="E6" s="38"/>
      <c r="F6" s="38"/>
      <c r="G6" s="38"/>
      <c r="H6" s="38"/>
      <c r="I6" s="991"/>
      <c r="J6" s="1171" t="s">
        <v>206</v>
      </c>
      <c r="K6" s="1171"/>
      <c r="L6" s="1171"/>
      <c r="M6" s="1171" t="s">
        <v>226</v>
      </c>
      <c r="N6" s="1171"/>
      <c r="O6" s="1171"/>
      <c r="P6" s="923"/>
    </row>
    <row r="7" spans="2:53" ht="21" customHeight="1" x14ac:dyDescent="0.25">
      <c r="B7" s="385"/>
      <c r="C7" s="38"/>
      <c r="D7" s="38"/>
      <c r="E7" s="38"/>
      <c r="F7" s="38"/>
      <c r="G7" s="38"/>
      <c r="H7" s="38"/>
      <c r="I7" s="979" t="s">
        <v>1</v>
      </c>
      <c r="J7" s="980" t="s">
        <v>530</v>
      </c>
      <c r="K7" s="980" t="s">
        <v>533</v>
      </c>
      <c r="L7" s="980" t="s">
        <v>531</v>
      </c>
      <c r="M7" s="981" t="s">
        <v>550</v>
      </c>
      <c r="N7" s="982" t="s">
        <v>551</v>
      </c>
      <c r="O7" s="942" t="s">
        <v>532</v>
      </c>
      <c r="P7" s="924"/>
      <c r="R7" s="16"/>
      <c r="S7" s="17"/>
      <c r="T7" s="16"/>
      <c r="U7" s="16"/>
    </row>
    <row r="8" spans="2:53" ht="21" customHeight="1" x14ac:dyDescent="0.25">
      <c r="B8" s="385"/>
      <c r="C8" s="38"/>
      <c r="D8" s="38"/>
      <c r="E8" s="38"/>
      <c r="F8" s="38"/>
      <c r="G8" s="38"/>
      <c r="H8" s="38"/>
      <c r="I8" s="983" t="s">
        <v>561</v>
      </c>
      <c r="J8" s="984">
        <f>SUMIFS(Camplist_HH,Camplist_Township,'Shelter Coverage &amp; Gaps'!$I8,CampList_Status,"Open")</f>
        <v>415</v>
      </c>
      <c r="K8" s="985">
        <f>SUMIFS(Camplist_Popl,Camplist_Township,'Shelter Coverage &amp; Gaps'!$I8,CampList_Status,"Open")</f>
        <v>1050</v>
      </c>
      <c r="L8" s="984">
        <f>COUNTIFS(Camplist_Township,'Shelter Coverage &amp; Gaps'!I8,CampList_Status,"open")</f>
        <v>1</v>
      </c>
      <c r="M8" s="986">
        <f ca="1">'Shelter Progress'!I6</f>
        <v>1072.7710843373493</v>
      </c>
      <c r="N8" s="987">
        <f ca="1">'Shelter Progress'!L6</f>
        <v>0</v>
      </c>
      <c r="O8" s="943">
        <f t="shared" ref="O8:O14" ca="1" si="0">IFERROR(M8/(M8+N8),0)</f>
        <v>1</v>
      </c>
      <c r="P8" s="920"/>
      <c r="T8" s="18"/>
      <c r="U8" s="16"/>
    </row>
    <row r="9" spans="2:53" ht="21" customHeight="1" x14ac:dyDescent="0.25">
      <c r="B9" s="385"/>
      <c r="C9" s="38"/>
      <c r="D9" s="38"/>
      <c r="E9" s="38"/>
      <c r="F9" s="38"/>
      <c r="G9" s="38"/>
      <c r="H9" s="38"/>
      <c r="I9" s="983" t="s">
        <v>14</v>
      </c>
      <c r="J9" s="984">
        <f>SUMIFS(Camplist_HH,Camplist_Township,'Shelter Coverage &amp; Gaps'!$I9,CampList_Status,"Open")</f>
        <v>85</v>
      </c>
      <c r="K9" s="985">
        <f>SUMIFS(Camplist_Popl,Camplist_Township,'Shelter Coverage &amp; Gaps'!$I9,CampList_Status,"Open")</f>
        <v>546</v>
      </c>
      <c r="L9" s="984">
        <f>COUNTIFS(Camplist_Township,'Shelter Coverage &amp; Gaps'!I9,CampList_Status,"open")</f>
        <v>1</v>
      </c>
      <c r="M9" s="986">
        <f ca="1">'Shelter Progress'!I7</f>
        <v>462.49411764705883</v>
      </c>
      <c r="N9" s="987">
        <f ca="1">'Shelter Progress'!L7</f>
        <v>83.505882352941171</v>
      </c>
      <c r="O9" s="943">
        <f t="shared" ca="1" si="0"/>
        <v>0.84705882352941175</v>
      </c>
      <c r="P9" s="920"/>
    </row>
    <row r="10" spans="2:53" ht="21" customHeight="1" x14ac:dyDescent="0.25">
      <c r="B10" s="385"/>
      <c r="C10" s="38"/>
      <c r="D10" s="38"/>
      <c r="E10" s="38"/>
      <c r="F10" s="38"/>
      <c r="G10" s="38"/>
      <c r="H10" s="38"/>
      <c r="I10" s="983" t="s">
        <v>817</v>
      </c>
      <c r="J10" s="984">
        <f>SUMIFS(Camplist_HH,Camplist_Township,'Shelter Coverage &amp; Gaps'!$I10,CampList_Status,"Open")</f>
        <v>687</v>
      </c>
      <c r="K10" s="985">
        <f>SUMIFS(Camplist_Popl,Camplist_Township,'Shelter Coverage &amp; Gaps'!$I10,CampList_Status,"Open")</f>
        <v>2606</v>
      </c>
      <c r="L10" s="984">
        <f>COUNTIFS(Camplist_Township,'Shelter Coverage &amp; Gaps'!I10,CampList_Status,"open")</f>
        <v>1</v>
      </c>
      <c r="M10" s="986">
        <f ca="1">'Shelter Progress'!I8</f>
        <v>2700.8326055312955</v>
      </c>
      <c r="N10" s="987">
        <f ca="1">'Shelter Progress'!L8</f>
        <v>0</v>
      </c>
      <c r="O10" s="943">
        <f t="shared" ca="1" si="0"/>
        <v>1</v>
      </c>
      <c r="P10" s="920"/>
    </row>
    <row r="11" spans="2:53" ht="21" customHeight="1" x14ac:dyDescent="0.25">
      <c r="B11" s="385"/>
      <c r="C11" s="38"/>
      <c r="D11" s="38"/>
      <c r="E11" s="38"/>
      <c r="F11" s="38"/>
      <c r="G11" s="38"/>
      <c r="H11" s="38"/>
      <c r="I11" s="983" t="s">
        <v>13</v>
      </c>
      <c r="J11" s="984">
        <f>SUMIFS(Camplist_HH,Camplist_Township,'Shelter Coverage &amp; Gaps'!$I11,CampList_Status,"Open")</f>
        <v>5113</v>
      </c>
      <c r="K11" s="985">
        <f>SUMIFS(Camplist_Popl,Camplist_Township,'Shelter Coverage &amp; Gaps'!$I11,CampList_Status,"Open")</f>
        <v>21825</v>
      </c>
      <c r="L11" s="984">
        <f>COUNTIFS(Camplist_Township,'Shelter Coverage &amp; Gaps'!I11,CampList_Status,"open")</f>
        <v>5</v>
      </c>
      <c r="M11" s="986">
        <f ca="1">'Shelter Progress'!I9</f>
        <v>11656.626748740908</v>
      </c>
      <c r="N11" s="987">
        <f ca="1">'Shelter Progress'!L9</f>
        <v>2689.3732512590923</v>
      </c>
      <c r="O11" s="943">
        <f t="shared" ca="1" si="0"/>
        <v>0.81253497481813097</v>
      </c>
      <c r="P11" s="920"/>
    </row>
    <row r="12" spans="2:53" ht="21" customHeight="1" x14ac:dyDescent="0.25">
      <c r="B12" s="385"/>
      <c r="C12" s="38"/>
      <c r="D12" s="38"/>
      <c r="E12" s="38"/>
      <c r="F12" s="38"/>
      <c r="G12" s="38"/>
      <c r="H12" s="38"/>
      <c r="I12" s="983" t="s">
        <v>15</v>
      </c>
      <c r="J12" s="984">
        <f>SUMIFS(Camplist_HH,Camplist_Township,'Shelter Coverage &amp; Gaps'!$I12,CampList_Status,"Open")</f>
        <v>0</v>
      </c>
      <c r="K12" s="985">
        <f>SUMIFS(Camplist_Popl,Camplist_Township,'Shelter Coverage &amp; Gaps'!$I12,CampList_Status,"Open")</f>
        <v>0</v>
      </c>
      <c r="L12" s="984">
        <f>COUNTIFS(Camplist_Township,'Shelter Coverage &amp; Gaps'!I12,CampList_Status,"open")</f>
        <v>0</v>
      </c>
      <c r="M12" s="986"/>
      <c r="N12" s="987"/>
      <c r="O12" s="943">
        <f>IFERROR(M12/(M12+N12),0)</f>
        <v>0</v>
      </c>
      <c r="P12" s="920"/>
    </row>
    <row r="13" spans="2:53" ht="21" customHeight="1" x14ac:dyDescent="0.25">
      <c r="B13" s="385"/>
      <c r="C13" s="38"/>
      <c r="D13" s="38"/>
      <c r="E13" s="38"/>
      <c r="F13" s="38"/>
      <c r="G13" s="38"/>
      <c r="H13" s="38"/>
      <c r="I13" s="983" t="s">
        <v>17</v>
      </c>
      <c r="J13" s="984">
        <f>SUMIFS(Camplist_HH,Camplist_Township,'Shelter Coverage &amp; Gaps'!$I13,CampList_Status,"Open")</f>
        <v>18822</v>
      </c>
      <c r="K13" s="985">
        <f>SUMIFS(Camplist_Popl,Camplist_Township,'Shelter Coverage &amp; Gaps'!$I13,CampList_Status,"Open")</f>
        <v>101547</v>
      </c>
      <c r="L13" s="984">
        <f>COUNTIFS(Camplist_Township,'Shelter Coverage &amp; Gaps'!I13,CampList_Status,"open")</f>
        <v>15</v>
      </c>
      <c r="M13" s="986">
        <f ca="1">'Shelter Progress'!I10</f>
        <v>81228.967803634048</v>
      </c>
      <c r="N13" s="987">
        <f ca="1">'Shelter Progress'!L10</f>
        <v>20318.032196365952</v>
      </c>
      <c r="O13" s="943">
        <f t="shared" ca="1" si="0"/>
        <v>0.79991499309318881</v>
      </c>
      <c r="P13" s="920"/>
    </row>
    <row r="14" spans="2:53" ht="26.25" customHeight="1" x14ac:dyDescent="0.25">
      <c r="B14" s="385"/>
      <c r="C14" s="38"/>
      <c r="D14" s="38"/>
      <c r="E14" s="38"/>
      <c r="F14" s="38"/>
      <c r="G14" s="38"/>
      <c r="H14" s="38"/>
      <c r="I14" s="983" t="s">
        <v>5</v>
      </c>
      <c r="J14" s="988">
        <f>SUM(J8:J13)</f>
        <v>25122</v>
      </c>
      <c r="K14" s="988">
        <f>SUM(K8:K13)</f>
        <v>127574</v>
      </c>
      <c r="L14" s="988">
        <f>SUM(L8:L13)</f>
        <v>23</v>
      </c>
      <c r="M14" s="989">
        <f ca="1">'Shelter Progress'!I11</f>
        <v>97611.879743883313</v>
      </c>
      <c r="N14" s="990">
        <f ca="1">'Shelter Progress'!L11</f>
        <v>22483.120256116687</v>
      </c>
      <c r="O14" s="941">
        <f t="shared" ca="1" si="0"/>
        <v>0.81278887334096606</v>
      </c>
      <c r="P14" s="921"/>
    </row>
    <row r="15" spans="2:53" s="669" customFormat="1" ht="12.75" customHeight="1" x14ac:dyDescent="0.25">
      <c r="B15" s="385"/>
      <c r="C15" s="38"/>
      <c r="D15" s="38"/>
      <c r="E15" s="38"/>
      <c r="F15" s="38"/>
      <c r="G15" s="38"/>
      <c r="H15" s="38"/>
      <c r="I15" s="38"/>
      <c r="J15" s="38"/>
      <c r="K15" s="38"/>
      <c r="L15" s="38"/>
      <c r="M15" s="38"/>
      <c r="N15" s="38"/>
      <c r="O15" s="38"/>
      <c r="P15" s="386"/>
    </row>
    <row r="16" spans="2:53" s="669" customFormat="1" ht="12.75" customHeight="1" x14ac:dyDescent="0.25">
      <c r="B16" s="385"/>
      <c r="C16" s="38"/>
      <c r="D16" s="38"/>
      <c r="E16" s="38"/>
      <c r="F16" s="38"/>
      <c r="G16" s="38"/>
      <c r="H16" s="1"/>
      <c r="I16" s="38"/>
      <c r="J16" s="38"/>
      <c r="K16" s="38"/>
      <c r="L16" s="38"/>
      <c r="M16" s="38"/>
      <c r="N16" s="38"/>
      <c r="O16" s="38"/>
      <c r="P16" s="386"/>
    </row>
    <row r="17" spans="2:16" ht="26.25" customHeight="1" x14ac:dyDescent="0.25">
      <c r="B17" s="811"/>
      <c r="C17" s="812"/>
      <c r="D17" s="812"/>
      <c r="E17" s="812"/>
      <c r="F17" s="812"/>
      <c r="G17" s="812"/>
      <c r="H17" s="812"/>
      <c r="I17" s="38"/>
      <c r="J17" s="38"/>
      <c r="K17" s="38"/>
      <c r="L17" s="38"/>
      <c r="M17" s="38"/>
      <c r="N17" s="38"/>
      <c r="O17" s="38"/>
      <c r="P17" s="386"/>
    </row>
    <row r="18" spans="2:16" ht="12.75" customHeight="1" x14ac:dyDescent="0.25">
      <c r="B18" s="811"/>
      <c r="C18" s="812"/>
      <c r="D18" s="812"/>
      <c r="E18" s="812"/>
      <c r="F18" s="812"/>
      <c r="G18" s="812"/>
      <c r="H18" s="812"/>
      <c r="I18" s="38"/>
      <c r="J18" s="38"/>
      <c r="K18" s="38"/>
      <c r="L18" s="38"/>
      <c r="M18" s="38"/>
      <c r="N18" s="38"/>
      <c r="O18" s="38"/>
      <c r="P18" s="386"/>
    </row>
    <row r="19" spans="2:16" ht="12.75" customHeight="1" x14ac:dyDescent="0.25">
      <c r="B19" s="811"/>
      <c r="C19" s="812"/>
      <c r="D19" s="812"/>
      <c r="E19" s="812"/>
      <c r="F19" s="812"/>
      <c r="G19" s="812"/>
      <c r="H19" s="812"/>
      <c r="I19" s="38"/>
      <c r="J19" s="38"/>
      <c r="K19" s="38"/>
      <c r="L19" s="38"/>
      <c r="M19" s="38"/>
      <c r="N19" s="38"/>
      <c r="O19" s="38"/>
      <c r="P19" s="386"/>
    </row>
    <row r="20" spans="2:16" ht="12.75" customHeight="1" x14ac:dyDescent="0.25">
      <c r="B20" s="811"/>
      <c r="C20" s="812"/>
      <c r="D20" s="812"/>
      <c r="E20" s="812"/>
      <c r="F20" s="812"/>
      <c r="G20" s="812"/>
      <c r="H20" s="812"/>
      <c r="I20" s="38"/>
      <c r="J20" s="38"/>
      <c r="K20" s="38"/>
      <c r="L20" s="38"/>
      <c r="M20" s="38"/>
      <c r="N20" s="38"/>
      <c r="O20" s="38"/>
      <c r="P20" s="386"/>
    </row>
    <row r="21" spans="2:16" ht="12.75" customHeight="1" x14ac:dyDescent="0.25">
      <c r="B21" s="811"/>
      <c r="C21" s="812"/>
      <c r="D21" s="812"/>
      <c r="E21" s="812"/>
      <c r="F21" s="812"/>
      <c r="G21" s="812"/>
      <c r="H21" s="812"/>
      <c r="I21" s="38"/>
      <c r="J21" s="38"/>
      <c r="K21" s="38"/>
      <c r="L21" s="38"/>
      <c r="M21" s="38"/>
      <c r="N21" s="38"/>
      <c r="O21" s="38"/>
      <c r="P21" s="386"/>
    </row>
    <row r="22" spans="2:16" ht="12.75" customHeight="1" x14ac:dyDescent="0.25">
      <c r="B22" s="811"/>
      <c r="C22" s="812"/>
      <c r="D22" s="812"/>
      <c r="E22" s="812"/>
      <c r="F22" s="812"/>
      <c r="G22" s="812"/>
      <c r="H22" s="812"/>
      <c r="I22" s="38"/>
      <c r="J22" s="38"/>
      <c r="K22" s="38"/>
      <c r="L22" s="38"/>
      <c r="M22" s="38"/>
      <c r="N22" s="38"/>
      <c r="O22" s="1"/>
      <c r="P22" s="153"/>
    </row>
    <row r="23" spans="2:16" ht="12.75" customHeight="1" x14ac:dyDescent="0.25">
      <c r="B23" s="811"/>
      <c r="C23" s="812"/>
      <c r="D23" s="812"/>
      <c r="E23" s="812"/>
      <c r="F23" s="812"/>
      <c r="G23" s="812"/>
      <c r="H23" s="812"/>
      <c r="I23" s="38"/>
      <c r="J23" s="38"/>
      <c r="K23" s="38"/>
      <c r="L23" s="38"/>
      <c r="M23" s="38"/>
      <c r="N23" s="38"/>
      <c r="O23" s="38"/>
      <c r="P23" s="386"/>
    </row>
    <row r="24" spans="2:16" ht="12.75" customHeight="1" x14ac:dyDescent="0.25">
      <c r="B24" s="811"/>
      <c r="C24" s="812"/>
      <c r="D24" s="812"/>
      <c r="E24" s="812"/>
      <c r="F24" s="812"/>
      <c r="G24" s="812"/>
      <c r="H24" s="812"/>
      <c r="I24" s="38"/>
      <c r="J24" s="38"/>
      <c r="K24" s="38"/>
      <c r="L24" s="38"/>
      <c r="M24" s="38"/>
      <c r="N24" s="38"/>
      <c r="O24" s="38"/>
      <c r="P24" s="386"/>
    </row>
    <row r="25" spans="2:16" ht="12.75" customHeight="1" x14ac:dyDescent="0.25">
      <c r="B25" s="811"/>
      <c r="C25" s="812"/>
      <c r="D25" s="812"/>
      <c r="E25" s="812"/>
      <c r="F25" s="812"/>
      <c r="G25" s="812"/>
      <c r="H25" s="812"/>
      <c r="I25" s="38"/>
      <c r="J25" s="38"/>
      <c r="K25" s="38"/>
      <c r="L25" s="38"/>
      <c r="M25" s="38"/>
      <c r="N25" s="38"/>
      <c r="O25" s="38"/>
      <c r="P25" s="386"/>
    </row>
    <row r="26" spans="2:16" ht="14.45" customHeight="1" x14ac:dyDescent="0.25">
      <c r="B26" s="811"/>
      <c r="C26" s="812"/>
      <c r="D26" s="812"/>
      <c r="E26" s="812"/>
      <c r="F26" s="812"/>
      <c r="G26" s="812"/>
      <c r="H26" s="812"/>
      <c r="I26" s="38"/>
      <c r="J26" s="38"/>
      <c r="K26" s="38"/>
      <c r="L26" s="38"/>
      <c r="M26" s="38"/>
      <c r="N26" s="38"/>
      <c r="O26" s="38"/>
      <c r="P26" s="386"/>
    </row>
    <row r="27" spans="2:16" ht="15" customHeight="1" x14ac:dyDescent="0.25">
      <c r="B27" s="811"/>
      <c r="C27" s="812"/>
      <c r="D27" s="812"/>
      <c r="E27" s="812"/>
      <c r="F27" s="812"/>
      <c r="G27" s="812"/>
      <c r="H27" s="812"/>
      <c r="I27" s="38"/>
      <c r="J27" s="38"/>
      <c r="K27" s="38"/>
      <c r="L27" s="38"/>
      <c r="M27" s="38"/>
      <c r="N27" s="38"/>
      <c r="O27" s="38"/>
      <c r="P27" s="386"/>
    </row>
    <row r="28" spans="2:16" x14ac:dyDescent="0.25">
      <c r="B28" s="811"/>
      <c r="C28" s="812"/>
      <c r="D28" s="812"/>
      <c r="E28" s="812"/>
      <c r="F28" s="812"/>
      <c r="G28" s="812"/>
      <c r="H28" s="812"/>
      <c r="I28" s="38"/>
      <c r="J28" s="38"/>
      <c r="K28" s="38"/>
      <c r="L28" s="38"/>
      <c r="M28" s="38"/>
      <c r="N28" s="38"/>
      <c r="O28" s="38"/>
      <c r="P28" s="386"/>
    </row>
    <row r="29" spans="2:16" x14ac:dyDescent="0.25">
      <c r="B29" s="811"/>
      <c r="C29" s="812"/>
      <c r="D29" s="812"/>
      <c r="E29" s="812"/>
      <c r="F29" s="812"/>
      <c r="G29" s="812"/>
      <c r="H29" s="812"/>
      <c r="I29" s="38"/>
      <c r="J29" s="38"/>
      <c r="K29" s="38"/>
      <c r="L29" s="38"/>
      <c r="M29" s="38"/>
      <c r="N29" s="38"/>
      <c r="O29" s="38"/>
      <c r="P29" s="386"/>
    </row>
    <row r="30" spans="2:16" x14ac:dyDescent="0.25">
      <c r="B30" s="811"/>
      <c r="C30" s="812"/>
      <c r="D30" s="812"/>
      <c r="E30" s="812"/>
      <c r="F30" s="812"/>
      <c r="G30" s="812"/>
      <c r="H30" s="812"/>
      <c r="I30" s="38"/>
      <c r="J30" s="38"/>
      <c r="K30" s="38"/>
      <c r="L30" s="38"/>
      <c r="M30" s="38"/>
      <c r="N30" s="38"/>
      <c r="O30" s="38"/>
      <c r="P30" s="386"/>
    </row>
    <row r="31" spans="2:16" x14ac:dyDescent="0.25">
      <c r="B31" s="811"/>
      <c r="C31" s="812"/>
      <c r="D31" s="812"/>
      <c r="E31" s="812"/>
      <c r="F31" s="812"/>
      <c r="G31" s="812"/>
      <c r="H31" s="812"/>
      <c r="I31" s="38"/>
      <c r="J31" s="38"/>
      <c r="K31" s="38"/>
      <c r="L31" s="38"/>
      <c r="M31" s="38"/>
      <c r="N31" s="38"/>
      <c r="O31" s="38"/>
      <c r="P31" s="386"/>
    </row>
    <row r="32" spans="2:16" x14ac:dyDescent="0.25">
      <c r="B32" s="811"/>
      <c r="C32" s="812"/>
      <c r="D32" s="812"/>
      <c r="E32" s="812"/>
      <c r="F32" s="812"/>
      <c r="G32" s="812"/>
      <c r="H32" s="812"/>
      <c r="I32" s="38"/>
      <c r="J32" s="38"/>
      <c r="K32" s="38"/>
      <c r="L32" s="38"/>
      <c r="M32" s="38"/>
      <c r="N32" s="38"/>
      <c r="O32" s="38"/>
      <c r="P32" s="386"/>
    </row>
    <row r="33" spans="2:23" x14ac:dyDescent="0.25">
      <c r="B33" s="811"/>
      <c r="C33" s="812"/>
      <c r="D33" s="812"/>
      <c r="E33" s="812"/>
      <c r="F33" s="812"/>
      <c r="G33" s="812"/>
      <c r="H33" s="812"/>
      <c r="I33" s="38"/>
      <c r="J33" s="38"/>
      <c r="K33" s="38"/>
      <c r="L33" s="38"/>
      <c r="M33" s="38"/>
      <c r="N33" s="38"/>
      <c r="O33" s="38"/>
      <c r="P33" s="386"/>
    </row>
    <row r="34" spans="2:23" x14ac:dyDescent="0.25">
      <c r="B34" s="811"/>
      <c r="C34" s="812"/>
      <c r="D34" s="812"/>
      <c r="E34" s="812"/>
      <c r="F34" s="812"/>
      <c r="G34" s="812"/>
      <c r="H34" s="812"/>
      <c r="I34" s="38"/>
      <c r="J34" s="38"/>
      <c r="K34" s="38"/>
      <c r="L34" s="38"/>
      <c r="M34" s="38"/>
      <c r="N34" s="38"/>
      <c r="O34" s="38"/>
      <c r="P34" s="386"/>
    </row>
    <row r="35" spans="2:23" ht="75" customHeight="1" x14ac:dyDescent="0.25">
      <c r="B35" s="811"/>
      <c r="C35" s="812"/>
      <c r="D35" s="812"/>
      <c r="E35" s="812"/>
      <c r="F35" s="812"/>
      <c r="G35" s="812"/>
      <c r="H35" s="812"/>
      <c r="I35" s="38"/>
      <c r="J35" s="38"/>
      <c r="K35" s="38"/>
      <c r="L35" s="38"/>
      <c r="M35" s="38"/>
      <c r="N35" s="38"/>
      <c r="O35" s="38"/>
      <c r="P35" s="386"/>
    </row>
    <row r="36" spans="2:23" x14ac:dyDescent="0.25">
      <c r="B36" s="385"/>
      <c r="C36" s="38"/>
      <c r="D36" s="38"/>
      <c r="E36" s="38"/>
      <c r="F36" s="38"/>
      <c r="G36" s="38"/>
      <c r="H36" s="38"/>
      <c r="I36" s="38"/>
      <c r="J36" s="38"/>
      <c r="K36" s="38"/>
      <c r="L36" s="38"/>
      <c r="M36" s="38"/>
      <c r="N36" s="38"/>
      <c r="O36" s="38"/>
      <c r="P36" s="386"/>
      <c r="V36" s="50"/>
      <c r="W36" s="50"/>
    </row>
    <row r="37" spans="2:23" x14ac:dyDescent="0.25">
      <c r="B37" s="385"/>
      <c r="C37" s="38"/>
      <c r="D37" s="38"/>
      <c r="E37" s="38"/>
      <c r="F37" s="38"/>
      <c r="G37" s="38"/>
      <c r="H37" s="38"/>
      <c r="I37" s="38"/>
      <c r="J37" s="38"/>
      <c r="K37" s="38"/>
      <c r="L37" s="38"/>
      <c r="M37" s="38"/>
      <c r="N37" s="38"/>
      <c r="O37" s="38"/>
      <c r="P37" s="386"/>
      <c r="T37" s="21"/>
      <c r="U37" s="22"/>
    </row>
    <row r="38" spans="2:23" x14ac:dyDescent="0.25">
      <c r="B38" s="922"/>
      <c r="C38" s="387"/>
      <c r="D38" s="387"/>
      <c r="E38" s="387"/>
      <c r="F38" s="387"/>
      <c r="G38" s="387"/>
      <c r="H38" s="387"/>
      <c r="I38" s="387"/>
      <c r="J38" s="387"/>
      <c r="K38" s="387"/>
      <c r="L38" s="387"/>
      <c r="M38" s="387"/>
      <c r="N38" s="387"/>
      <c r="O38" s="387"/>
      <c r="P38" s="330"/>
      <c r="T38" s="16"/>
      <c r="U38" s="16"/>
    </row>
    <row r="39" spans="2:23" x14ac:dyDescent="0.25">
      <c r="O39" s="77"/>
    </row>
    <row r="40" spans="2:23" x14ac:dyDescent="0.25">
      <c r="S40" s="16"/>
    </row>
    <row r="41" spans="2:23" x14ac:dyDescent="0.25">
      <c r="S41" s="16"/>
    </row>
    <row r="42" spans="2:23" x14ac:dyDescent="0.25">
      <c r="O42" s="20"/>
      <c r="P42" s="20"/>
      <c r="Q42" s="23"/>
      <c r="S42" s="16"/>
    </row>
    <row r="43" spans="2:23" x14ac:dyDescent="0.25">
      <c r="O43" s="20"/>
      <c r="P43" s="20"/>
      <c r="Q43" s="23"/>
    </row>
    <row r="44" spans="2:23" x14ac:dyDescent="0.25">
      <c r="O44" s="16"/>
      <c r="P44" s="16"/>
      <c r="Q44" s="21"/>
      <c r="R44" s="16"/>
    </row>
    <row r="45" spans="2:23" x14ac:dyDescent="0.25">
      <c r="O45" s="16"/>
      <c r="P45" s="16"/>
      <c r="Q45" s="21"/>
      <c r="R45" s="16"/>
    </row>
    <row r="46" spans="2:23" x14ac:dyDescent="0.25">
      <c r="O46" s="16"/>
      <c r="P46" s="16"/>
      <c r="Q46" s="21"/>
      <c r="R46" s="16"/>
    </row>
    <row r="47" spans="2:23" x14ac:dyDescent="0.25">
      <c r="O47" s="16"/>
      <c r="P47" s="16"/>
      <c r="Q47" s="16"/>
      <c r="R47" s="16"/>
    </row>
    <row r="48" spans="2:23" x14ac:dyDescent="0.25">
      <c r="Q48" s="16"/>
      <c r="R48" s="16"/>
    </row>
    <row r="49" spans="17:18" x14ac:dyDescent="0.25">
      <c r="Q49" s="16"/>
      <c r="R49" s="16"/>
    </row>
    <row r="50" spans="17:18" x14ac:dyDescent="0.25">
      <c r="Q50" s="16"/>
      <c r="R50" s="16"/>
    </row>
    <row r="77" spans="17:17" ht="19.5" x14ac:dyDescent="0.35">
      <c r="Q77" s="24"/>
    </row>
    <row r="78" spans="17:17" ht="15.75" x14ac:dyDescent="0.3">
      <c r="Q78" s="25"/>
    </row>
    <row r="79" spans="17:17" ht="15.75" x14ac:dyDescent="0.3">
      <c r="Q79" s="25"/>
    </row>
  </sheetData>
  <mergeCells count="5">
    <mergeCell ref="B2:H2"/>
    <mergeCell ref="B3:H3"/>
    <mergeCell ref="J6:L6"/>
    <mergeCell ref="M6:O6"/>
    <mergeCell ref="N1:O3"/>
  </mergeCells>
  <conditionalFormatting sqref="O8:P14">
    <cfRule type="dataBar" priority="63">
      <dataBar>
        <cfvo type="min"/>
        <cfvo type="max"/>
        <color rgb="FF63C384"/>
      </dataBar>
      <extLst>
        <ext xmlns:x14="http://schemas.microsoft.com/office/spreadsheetml/2009/9/main" uri="{B025F937-C7B1-47D3-B67F-A62EFF666E3E}">
          <x14:id>{49FC8DEE-90F8-448D-A9A9-16FB24286B5C}</x14:id>
        </ext>
      </extLst>
    </cfRule>
  </conditionalFormatting>
  <conditionalFormatting sqref="O8:P13">
    <cfRule type="dataBar" priority="70">
      <dataBar>
        <cfvo type="min"/>
        <cfvo type="max"/>
        <color rgb="FF63C384"/>
      </dataBar>
      <extLst>
        <ext xmlns:x14="http://schemas.microsoft.com/office/spreadsheetml/2009/9/main" uri="{B025F937-C7B1-47D3-B67F-A62EFF666E3E}">
          <x14:id>{D1FB3DA3-F070-47AD-A949-728BF2F08CA5}</x14:id>
        </ext>
      </extLst>
    </cfRule>
  </conditionalFormatting>
  <pageMargins left="0.23622047244094499" right="0.23622047244094499" top="0.15748031496063" bottom="0.74803149606299202" header="0.196850393700787" footer="0.31496062992126"/>
  <pageSetup paperSize="9" scale="68" orientation="landscape" horizontalDpi="1200" verticalDpi="1200" r:id="rId1"/>
  <rowBreaks count="1" manualBreakCount="1">
    <brk id="38" max="16383" man="1"/>
  </row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49FC8DEE-90F8-448D-A9A9-16FB24286B5C}">
            <x14:dataBar minLength="0" maxLength="100" border="1" negativeBarBorderColorSameAsPositive="0">
              <x14:cfvo type="autoMin"/>
              <x14:cfvo type="autoMax"/>
              <x14:borderColor rgb="FF63C384"/>
              <x14:negativeFillColor rgb="FFFF0000"/>
              <x14:negativeBorderColor rgb="FFFF0000"/>
              <x14:axisColor rgb="FF000000"/>
            </x14:dataBar>
          </x14:cfRule>
          <xm:sqref>O8:P14</xm:sqref>
        </x14:conditionalFormatting>
        <x14:conditionalFormatting xmlns:xm="http://schemas.microsoft.com/office/excel/2006/main">
          <x14:cfRule type="dataBar" id="{D1FB3DA3-F070-47AD-A949-728BF2F08CA5}">
            <x14:dataBar minLength="0" maxLength="100" border="1" negativeBarBorderColorSameAsPositive="0">
              <x14:cfvo type="autoMin"/>
              <x14:cfvo type="autoMax"/>
              <x14:borderColor rgb="FF63C384"/>
              <x14:negativeFillColor rgb="FFFF0000"/>
              <x14:negativeBorderColor rgb="FFFF0000"/>
              <x14:axisColor rgb="FF000000"/>
            </x14:dataBar>
          </x14:cfRule>
          <xm:sqref>O8:P13</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Q65"/>
  <sheetViews>
    <sheetView zoomScale="70" zoomScaleNormal="70" workbookViewId="0">
      <selection activeCell="J42" sqref="J42"/>
    </sheetView>
  </sheetViews>
  <sheetFormatPr defaultColWidth="9.140625" defaultRowHeight="12.75" x14ac:dyDescent="0.2"/>
  <cols>
    <col min="1" max="1" width="25.42578125" style="137" customWidth="1"/>
    <col min="2" max="2" width="15.7109375" style="137" customWidth="1"/>
    <col min="3" max="3" width="14.5703125" style="137" customWidth="1"/>
    <col min="4" max="4" width="19.140625" style="138" customWidth="1"/>
    <col min="5" max="5" width="17.140625" style="136" bestFit="1" customWidth="1"/>
    <col min="6" max="6" width="25.5703125" style="136" customWidth="1"/>
    <col min="7" max="7" width="8.7109375" style="136" customWidth="1"/>
    <col min="8" max="8" width="10.28515625" style="129" customWidth="1"/>
    <col min="9" max="9" width="21.28515625" style="129" customWidth="1"/>
    <col min="10" max="10" width="139.28515625" style="129" customWidth="1"/>
    <col min="11" max="11" width="24.42578125" style="129" customWidth="1"/>
    <col min="12" max="12" width="16.28515625" style="129" customWidth="1"/>
    <col min="13" max="13" width="8.42578125" style="129" customWidth="1"/>
    <col min="14" max="14" width="8.28515625" style="129" customWidth="1"/>
    <col min="15" max="15" width="11.5703125" style="129" customWidth="1"/>
    <col min="16" max="16" width="11.28515625" style="129" bestFit="1" customWidth="1"/>
    <col min="17" max="16384" width="9.140625" style="129"/>
  </cols>
  <sheetData>
    <row r="1" spans="1:11" ht="15" x14ac:dyDescent="0.25">
      <c r="A1" s="234" t="s">
        <v>491</v>
      </c>
      <c r="B1" s="235" t="s">
        <v>616</v>
      </c>
      <c r="C1" s="236"/>
      <c r="D1" s="237"/>
    </row>
    <row r="2" spans="1:11" ht="15" x14ac:dyDescent="0.25">
      <c r="A2" s="238" t="s">
        <v>203</v>
      </c>
      <c r="B2" s="239" t="s">
        <v>696</v>
      </c>
      <c r="C2" s="239" t="s">
        <v>722</v>
      </c>
      <c r="D2" s="240" t="s">
        <v>204</v>
      </c>
    </row>
    <row r="3" spans="1:11" ht="15" x14ac:dyDescent="0.25">
      <c r="A3" s="241" t="s">
        <v>689</v>
      </c>
      <c r="B3" s="624"/>
      <c r="C3" s="624">
        <v>9</v>
      </c>
      <c r="D3" s="625">
        <v>9</v>
      </c>
    </row>
    <row r="4" spans="1:11" ht="15" x14ac:dyDescent="0.25">
      <c r="A4" s="241" t="s">
        <v>690</v>
      </c>
      <c r="B4" s="624">
        <v>2</v>
      </c>
      <c r="C4" s="624">
        <v>13</v>
      </c>
      <c r="D4" s="625">
        <v>15</v>
      </c>
    </row>
    <row r="5" spans="1:11" ht="15" x14ac:dyDescent="0.25">
      <c r="A5" s="241" t="s">
        <v>688</v>
      </c>
      <c r="B5" s="624"/>
      <c r="C5" s="624">
        <v>10</v>
      </c>
      <c r="D5" s="625">
        <v>10</v>
      </c>
    </row>
    <row r="6" spans="1:11" ht="15" x14ac:dyDescent="0.25">
      <c r="A6" s="241" t="s">
        <v>691</v>
      </c>
      <c r="B6" s="624"/>
      <c r="C6" s="624">
        <v>8</v>
      </c>
      <c r="D6" s="625">
        <v>8</v>
      </c>
    </row>
    <row r="7" spans="1:11" ht="15.75" thickBot="1" x14ac:dyDescent="0.3">
      <c r="A7" s="243" t="s">
        <v>204</v>
      </c>
      <c r="B7" s="626">
        <v>2</v>
      </c>
      <c r="C7" s="626">
        <v>40</v>
      </c>
      <c r="D7" s="627">
        <v>42</v>
      </c>
    </row>
    <row r="8" spans="1:11" ht="15" hidden="1" x14ac:dyDescent="0.25">
      <c r="A8" s="258"/>
      <c r="B8" s="242"/>
      <c r="C8" s="242"/>
      <c r="D8" s="242"/>
    </row>
    <row r="9" spans="1:11" ht="15" hidden="1" x14ac:dyDescent="0.25">
      <c r="A9" s="258"/>
      <c r="B9" s="242"/>
      <c r="C9" s="242"/>
      <c r="D9" s="242"/>
    </row>
    <row r="10" spans="1:11" hidden="1" x14ac:dyDescent="0.2"/>
    <row r="11" spans="1:11" ht="13.5" hidden="1" thickBot="1" x14ac:dyDescent="0.25"/>
    <row r="12" spans="1:11" ht="50.1" customHeight="1" thickBot="1" x14ac:dyDescent="0.25">
      <c r="A12" s="222" t="s">
        <v>697</v>
      </c>
      <c r="B12" s="223" t="s">
        <v>10</v>
      </c>
      <c r="C12" s="223" t="s">
        <v>1</v>
      </c>
      <c r="D12" s="223" t="s">
        <v>492</v>
      </c>
      <c r="E12" s="223" t="s">
        <v>521</v>
      </c>
      <c r="F12" s="224" t="s">
        <v>698</v>
      </c>
      <c r="G12" s="224" t="s">
        <v>699</v>
      </c>
      <c r="H12" s="225" t="s">
        <v>5</v>
      </c>
      <c r="I12" s="225" t="s">
        <v>329</v>
      </c>
      <c r="J12" s="221" t="s">
        <v>328</v>
      </c>
      <c r="K12" s="132"/>
    </row>
    <row r="13" spans="1:11" ht="16.5" customHeight="1" x14ac:dyDescent="0.2">
      <c r="A13" s="296" t="s">
        <v>694</v>
      </c>
      <c r="B13" s="296" t="s">
        <v>7</v>
      </c>
      <c r="C13" s="296" t="s">
        <v>17</v>
      </c>
      <c r="D13" s="298" t="s">
        <v>59</v>
      </c>
      <c r="E13" s="298" t="str">
        <f ca="1">IFERROR(OFFSET(Camp_List[P_Code],MATCH(Data_Infrastructure[[#This Row],[Camp]],Camp_List[Camp Name],0)-1,0,1,1),"")</f>
        <v>MMR012CMP039</v>
      </c>
      <c r="F13" s="300" t="s">
        <v>688</v>
      </c>
      <c r="G13" s="300"/>
      <c r="H13" s="266">
        <v>1</v>
      </c>
      <c r="I13" s="267" t="s">
        <v>722</v>
      </c>
      <c r="J13" s="303"/>
      <c r="K13" s="132"/>
    </row>
    <row r="14" spans="1:11" ht="16.5" customHeight="1" x14ac:dyDescent="0.2">
      <c r="A14" s="297" t="s">
        <v>694</v>
      </c>
      <c r="B14" s="297" t="s">
        <v>7</v>
      </c>
      <c r="C14" s="297" t="s">
        <v>17</v>
      </c>
      <c r="D14" s="299" t="s">
        <v>59</v>
      </c>
      <c r="E14" s="298" t="str">
        <f ca="1">IFERROR(OFFSET(Camp_List[P_Code],MATCH(Data_Infrastructure[[#This Row],[Camp]],Camp_List[Camp Name],0)-1,0,1,1),"")</f>
        <v>MMR012CMP039</v>
      </c>
      <c r="F14" s="301" t="s">
        <v>691</v>
      </c>
      <c r="G14" s="301"/>
      <c r="H14" s="226">
        <v>1</v>
      </c>
      <c r="I14" s="228" t="s">
        <v>722</v>
      </c>
      <c r="J14" s="304"/>
      <c r="K14" s="132"/>
    </row>
    <row r="15" spans="1:11" ht="16.5" customHeight="1" x14ac:dyDescent="0.2">
      <c r="A15" s="297" t="s">
        <v>694</v>
      </c>
      <c r="B15" s="297" t="s">
        <v>7</v>
      </c>
      <c r="C15" s="297" t="s">
        <v>17</v>
      </c>
      <c r="D15" s="299" t="s">
        <v>59</v>
      </c>
      <c r="E15" s="298" t="str">
        <f ca="1">IFERROR(OFFSET(Camp_List[P_Code],MATCH(Data_Infrastructure[[#This Row],[Camp]],Camp_List[Camp Name],0)-1,0,1,1),"")</f>
        <v>MMR012CMP039</v>
      </c>
      <c r="F15" s="301" t="s">
        <v>689</v>
      </c>
      <c r="G15" s="301"/>
      <c r="H15" s="226">
        <v>1</v>
      </c>
      <c r="I15" s="228" t="s">
        <v>722</v>
      </c>
      <c r="J15" s="304"/>
      <c r="K15" s="132"/>
    </row>
    <row r="16" spans="1:11" ht="16.5" customHeight="1" x14ac:dyDescent="0.2">
      <c r="A16" s="297" t="s">
        <v>694</v>
      </c>
      <c r="B16" s="297" t="s">
        <v>7</v>
      </c>
      <c r="C16" s="297" t="s">
        <v>17</v>
      </c>
      <c r="D16" s="299" t="s">
        <v>59</v>
      </c>
      <c r="E16" s="298" t="str">
        <f ca="1">IFERROR(OFFSET(Camp_List[P_Code],MATCH(Data_Infrastructure[[#This Row],[Camp]],Camp_List[Camp Name],0)-1,0,1,1),"")</f>
        <v>MMR012CMP039</v>
      </c>
      <c r="F16" s="301" t="s">
        <v>690</v>
      </c>
      <c r="G16" s="301"/>
      <c r="H16" s="226">
        <v>1</v>
      </c>
      <c r="I16" s="228" t="s">
        <v>722</v>
      </c>
      <c r="J16" s="304"/>
      <c r="K16" s="132"/>
    </row>
    <row r="17" spans="1:17" ht="16.5" customHeight="1" x14ac:dyDescent="0.2">
      <c r="A17" s="297" t="s">
        <v>694</v>
      </c>
      <c r="B17" s="297" t="s">
        <v>7</v>
      </c>
      <c r="C17" s="297" t="s">
        <v>17</v>
      </c>
      <c r="D17" s="299" t="s">
        <v>581</v>
      </c>
      <c r="E17" s="298" t="str">
        <f ca="1">IFERROR(OFFSET(Camp_List[P_Code],MATCH(Data_Infrastructure[[#This Row],[Camp]],Camp_List[Camp Name],0)-1,0,1,1),"")</f>
        <v>MMR012CMP113</v>
      </c>
      <c r="F17" s="301" t="s">
        <v>690</v>
      </c>
      <c r="G17" s="301"/>
      <c r="H17" s="229">
        <v>1</v>
      </c>
      <c r="I17" s="302" t="s">
        <v>696</v>
      </c>
      <c r="J17" s="227" t="s">
        <v>695</v>
      </c>
      <c r="K17" s="132"/>
    </row>
    <row r="18" spans="1:17" ht="16.5" customHeight="1" x14ac:dyDescent="0.2">
      <c r="A18" s="297" t="s">
        <v>694</v>
      </c>
      <c r="B18" s="297" t="s">
        <v>7</v>
      </c>
      <c r="C18" s="297" t="s">
        <v>17</v>
      </c>
      <c r="D18" s="299" t="s">
        <v>581</v>
      </c>
      <c r="E18" s="298" t="str">
        <f ca="1">IFERROR(OFFSET(Camp_List[P_Code],MATCH(Data_Infrastructure[[#This Row],[Camp]],Camp_List[Camp Name],0)-1,0,1,1),"")</f>
        <v>MMR012CMP113</v>
      </c>
      <c r="F18" s="299" t="s">
        <v>689</v>
      </c>
      <c r="G18" s="299"/>
      <c r="H18" s="229">
        <v>1</v>
      </c>
      <c r="I18" s="228" t="s">
        <v>722</v>
      </c>
      <c r="J18" s="227" t="s">
        <v>693</v>
      </c>
      <c r="K18" s="132"/>
    </row>
    <row r="19" spans="1:17" ht="16.5" customHeight="1" x14ac:dyDescent="0.25">
      <c r="A19" s="297" t="s">
        <v>694</v>
      </c>
      <c r="B19" s="297" t="s">
        <v>7</v>
      </c>
      <c r="C19" s="297" t="s">
        <v>17</v>
      </c>
      <c r="D19" s="299" t="s">
        <v>582</v>
      </c>
      <c r="E19" s="298" t="str">
        <f ca="1">IFERROR(OFFSET(Camp_List[P_Code],MATCH(Data_Infrastructure[[#This Row],[Camp]],Camp_List[Camp Name],0)-1,0,1,1),"")</f>
        <v>MMR012CMP114</v>
      </c>
      <c r="F19" s="301" t="s">
        <v>690</v>
      </c>
      <c r="G19" s="301"/>
      <c r="H19" s="229">
        <v>1</v>
      </c>
      <c r="I19" s="228" t="s">
        <v>722</v>
      </c>
      <c r="J19" s="227" t="s">
        <v>693</v>
      </c>
      <c r="K19" s="132"/>
      <c r="L19" s="230"/>
      <c r="M19" s="230"/>
      <c r="N19" s="230"/>
      <c r="O19" s="230"/>
      <c r="P19" s="230"/>
      <c r="Q19" s="230"/>
    </row>
    <row r="20" spans="1:17" ht="16.5" customHeight="1" x14ac:dyDescent="0.25">
      <c r="A20" s="297" t="s">
        <v>694</v>
      </c>
      <c r="B20" s="297" t="s">
        <v>7</v>
      </c>
      <c r="C20" s="297" t="s">
        <v>17</v>
      </c>
      <c r="D20" s="299" t="s">
        <v>582</v>
      </c>
      <c r="E20" s="298" t="str">
        <f ca="1">IFERROR(OFFSET(Camp_List[P_Code],MATCH(Data_Infrastructure[[#This Row],[Camp]],Camp_List[Camp Name],0)-1,0,1,1),"")</f>
        <v>MMR012CMP114</v>
      </c>
      <c r="F20" s="301" t="s">
        <v>689</v>
      </c>
      <c r="G20" s="301"/>
      <c r="H20" s="229">
        <v>1</v>
      </c>
      <c r="I20" s="228" t="s">
        <v>722</v>
      </c>
      <c r="J20" s="227" t="s">
        <v>693</v>
      </c>
      <c r="K20" s="132"/>
      <c r="L20" s="230"/>
      <c r="M20" s="230"/>
      <c r="N20" s="230"/>
      <c r="O20" s="230"/>
      <c r="P20" s="230"/>
      <c r="Q20" s="230"/>
    </row>
    <row r="21" spans="1:17" ht="16.5" customHeight="1" x14ac:dyDescent="0.25">
      <c r="A21" s="297" t="s">
        <v>694</v>
      </c>
      <c r="B21" s="297" t="s">
        <v>7</v>
      </c>
      <c r="C21" s="297" t="s">
        <v>17</v>
      </c>
      <c r="D21" s="299" t="s">
        <v>61</v>
      </c>
      <c r="E21" s="298" t="str">
        <f ca="1">IFERROR(OFFSET(Camp_List[P_Code],MATCH(Data_Infrastructure[[#This Row],[Camp]],Camp_List[Camp Name],0)-1,0,1,1),"")</f>
        <v>MMR012CMP041</v>
      </c>
      <c r="F21" s="301" t="s">
        <v>690</v>
      </c>
      <c r="G21" s="301"/>
      <c r="H21" s="226">
        <v>1</v>
      </c>
      <c r="I21" s="302" t="s">
        <v>696</v>
      </c>
      <c r="J21" s="227" t="s">
        <v>695</v>
      </c>
      <c r="K21" s="132"/>
      <c r="L21" s="230"/>
      <c r="M21" s="230"/>
      <c r="N21" s="230"/>
      <c r="O21" s="230"/>
      <c r="P21" s="230"/>
      <c r="Q21" s="230"/>
    </row>
    <row r="22" spans="1:17" ht="16.5" customHeight="1" x14ac:dyDescent="0.25">
      <c r="A22" s="297" t="s">
        <v>694</v>
      </c>
      <c r="B22" s="297" t="s">
        <v>7</v>
      </c>
      <c r="C22" s="297" t="s">
        <v>17</v>
      </c>
      <c r="D22" s="299" t="s">
        <v>61</v>
      </c>
      <c r="E22" s="298" t="str">
        <f ca="1">IFERROR(OFFSET(Camp_List[P_Code],MATCH(Data_Infrastructure[[#This Row],[Camp]],Camp_List[Camp Name],0)-1,0,1,1),"")</f>
        <v>MMR012CMP041</v>
      </c>
      <c r="F22" s="299" t="s">
        <v>689</v>
      </c>
      <c r="G22" s="299"/>
      <c r="H22" s="226">
        <v>1</v>
      </c>
      <c r="I22" s="228" t="s">
        <v>722</v>
      </c>
      <c r="J22" s="227" t="s">
        <v>693</v>
      </c>
      <c r="K22" s="132"/>
      <c r="L22" s="230"/>
      <c r="M22" s="230"/>
      <c r="N22" s="230"/>
      <c r="O22" s="230"/>
      <c r="P22" s="230"/>
      <c r="Q22" s="230"/>
    </row>
    <row r="23" spans="1:17" ht="16.5" customHeight="1" x14ac:dyDescent="0.25">
      <c r="A23" s="297" t="s">
        <v>692</v>
      </c>
      <c r="B23" s="297" t="s">
        <v>7</v>
      </c>
      <c r="C23" s="297" t="s">
        <v>17</v>
      </c>
      <c r="D23" s="299" t="s">
        <v>62</v>
      </c>
      <c r="E23" s="298" t="str">
        <f ca="1">IFERROR(OFFSET(Camp_List[P_Code],MATCH(Data_Infrastructure[[#This Row],[Camp]],Camp_List[Camp Name],0)-1,0,1,1),"")</f>
        <v>MMR012CMP042</v>
      </c>
      <c r="F23" s="301" t="s">
        <v>689</v>
      </c>
      <c r="G23" s="301"/>
      <c r="H23" s="229">
        <v>1</v>
      </c>
      <c r="I23" s="228" t="s">
        <v>722</v>
      </c>
      <c r="J23" s="305"/>
      <c r="K23" s="132"/>
      <c r="L23" s="230"/>
      <c r="M23" s="230"/>
      <c r="N23" s="230"/>
      <c r="O23" s="230"/>
      <c r="P23" s="230"/>
      <c r="Q23" s="230"/>
    </row>
    <row r="24" spans="1:17" ht="16.5" customHeight="1" x14ac:dyDescent="0.25">
      <c r="A24" s="297" t="s">
        <v>692</v>
      </c>
      <c r="B24" s="297" t="s">
        <v>7</v>
      </c>
      <c r="C24" s="297" t="s">
        <v>17</v>
      </c>
      <c r="D24" s="299" t="s">
        <v>62</v>
      </c>
      <c r="E24" s="298" t="str">
        <f ca="1">IFERROR(OFFSET(Camp_List[P_Code],MATCH(Data_Infrastructure[[#This Row],[Camp]],Camp_List[Camp Name],0)-1,0,1,1),"")</f>
        <v>MMR012CMP042</v>
      </c>
      <c r="F24" s="301" t="s">
        <v>690</v>
      </c>
      <c r="G24" s="301" t="s">
        <v>701</v>
      </c>
      <c r="H24" s="229">
        <v>2</v>
      </c>
      <c r="I24" s="228" t="s">
        <v>722</v>
      </c>
      <c r="J24" s="305"/>
      <c r="K24" s="132"/>
      <c r="L24" s="230"/>
      <c r="M24" s="230"/>
      <c r="N24" s="230"/>
      <c r="O24" s="230"/>
      <c r="P24" s="230"/>
      <c r="Q24" s="230"/>
    </row>
    <row r="25" spans="1:17" ht="16.5" customHeight="1" x14ac:dyDescent="0.25">
      <c r="A25" s="297" t="s">
        <v>692</v>
      </c>
      <c r="B25" s="297" t="s">
        <v>7</v>
      </c>
      <c r="C25" s="297" t="s">
        <v>17</v>
      </c>
      <c r="D25" s="299" t="s">
        <v>62</v>
      </c>
      <c r="E25" s="298" t="str">
        <f ca="1">IFERROR(OFFSET(Camp_List[P_Code],MATCH(Data_Infrastructure[[#This Row],[Camp]],Camp_List[Camp Name],0)-1,0,1,1),"")</f>
        <v>MMR012CMP042</v>
      </c>
      <c r="F25" s="301" t="s">
        <v>688</v>
      </c>
      <c r="G25" s="301" t="s">
        <v>701</v>
      </c>
      <c r="H25" s="229">
        <v>2</v>
      </c>
      <c r="I25" s="228" t="s">
        <v>722</v>
      </c>
      <c r="J25" s="305"/>
      <c r="K25" s="132"/>
      <c r="L25" s="230"/>
      <c r="M25" s="230"/>
      <c r="N25" s="230"/>
      <c r="O25" s="230"/>
      <c r="P25" s="230"/>
      <c r="Q25" s="230"/>
    </row>
    <row r="26" spans="1:17" ht="16.5" customHeight="1" x14ac:dyDescent="0.25">
      <c r="A26" s="297" t="s">
        <v>692</v>
      </c>
      <c r="B26" s="297" t="s">
        <v>7</v>
      </c>
      <c r="C26" s="297" t="s">
        <v>17</v>
      </c>
      <c r="D26" s="299" t="s">
        <v>62</v>
      </c>
      <c r="E26" s="298" t="str">
        <f ca="1">IFERROR(OFFSET(Camp_List[P_Code],MATCH(Data_Infrastructure[[#This Row],[Camp]],Camp_List[Camp Name],0)-1,0,1,1),"")</f>
        <v>MMR012CMP042</v>
      </c>
      <c r="F26" s="301" t="s">
        <v>691</v>
      </c>
      <c r="G26" s="301"/>
      <c r="H26" s="229">
        <v>1</v>
      </c>
      <c r="I26" s="228" t="s">
        <v>722</v>
      </c>
      <c r="J26" s="305"/>
      <c r="K26" s="132"/>
      <c r="L26" s="230"/>
      <c r="M26" s="230"/>
      <c r="N26" s="230"/>
    </row>
    <row r="27" spans="1:17" ht="16.5" customHeight="1" x14ac:dyDescent="0.25">
      <c r="A27" s="297" t="s">
        <v>692</v>
      </c>
      <c r="B27" s="297" t="s">
        <v>7</v>
      </c>
      <c r="C27" s="297" t="s">
        <v>17</v>
      </c>
      <c r="D27" s="299" t="s">
        <v>580</v>
      </c>
      <c r="E27" s="298" t="str">
        <f ca="1">IFERROR(OFFSET(Camp_List[P_Code],MATCH(Data_Infrastructure[[#This Row],[Camp]],Camp_List[Camp Name],0)-1,0,1,1),"")</f>
        <v>MMR012CMP092</v>
      </c>
      <c r="F27" s="301" t="s">
        <v>690</v>
      </c>
      <c r="G27" s="301"/>
      <c r="H27" s="229">
        <v>1</v>
      </c>
      <c r="I27" s="228" t="s">
        <v>722</v>
      </c>
      <c r="J27" s="227" t="s">
        <v>693</v>
      </c>
      <c r="K27" s="132"/>
      <c r="L27" s="230"/>
      <c r="M27" s="230"/>
      <c r="N27" s="230"/>
    </row>
    <row r="28" spans="1:17" ht="16.5" customHeight="1" x14ac:dyDescent="0.25">
      <c r="A28" s="297" t="s">
        <v>692</v>
      </c>
      <c r="B28" s="297" t="s">
        <v>7</v>
      </c>
      <c r="C28" s="297" t="s">
        <v>17</v>
      </c>
      <c r="D28" s="299" t="s">
        <v>580</v>
      </c>
      <c r="E28" s="298" t="str">
        <f ca="1">IFERROR(OFFSET(Camp_List[P_Code],MATCH(Data_Infrastructure[[#This Row],[Camp]],Camp_List[Camp Name],0)-1,0,1,1),"")</f>
        <v>MMR012CMP092</v>
      </c>
      <c r="F28" s="301" t="s">
        <v>688</v>
      </c>
      <c r="G28" s="301"/>
      <c r="H28" s="229">
        <v>1</v>
      </c>
      <c r="I28" s="228" t="s">
        <v>722</v>
      </c>
      <c r="J28" s="227" t="s">
        <v>693</v>
      </c>
      <c r="K28" s="132"/>
      <c r="L28" s="230"/>
      <c r="M28" s="230"/>
      <c r="N28" s="230"/>
    </row>
    <row r="29" spans="1:17" ht="16.5" customHeight="1" x14ac:dyDescent="0.25">
      <c r="A29" s="297" t="s">
        <v>692</v>
      </c>
      <c r="B29" s="297" t="s">
        <v>7</v>
      </c>
      <c r="C29" s="297" t="s">
        <v>17</v>
      </c>
      <c r="D29" s="299" t="s">
        <v>580</v>
      </c>
      <c r="E29" s="298" t="str">
        <f ca="1">IFERROR(OFFSET(Camp_List[P_Code],MATCH(Data_Infrastructure[[#This Row],[Camp]],Camp_List[Camp Name],0)-1,0,1,1),"")</f>
        <v>MMR012CMP092</v>
      </c>
      <c r="F29" s="301" t="s">
        <v>689</v>
      </c>
      <c r="G29" s="301"/>
      <c r="H29" s="229">
        <v>1</v>
      </c>
      <c r="I29" s="228" t="s">
        <v>722</v>
      </c>
      <c r="J29" s="227" t="s">
        <v>693</v>
      </c>
      <c r="K29" s="132"/>
      <c r="L29" s="230"/>
      <c r="M29" s="230"/>
      <c r="N29" s="230"/>
    </row>
    <row r="30" spans="1:17" ht="16.5" customHeight="1" x14ac:dyDescent="0.25">
      <c r="A30" s="297" t="s">
        <v>687</v>
      </c>
      <c r="B30" s="297" t="s">
        <v>7</v>
      </c>
      <c r="C30" s="297" t="s">
        <v>17</v>
      </c>
      <c r="D30" s="299" t="s">
        <v>585</v>
      </c>
      <c r="E30" s="298" t="str">
        <f ca="1">IFERROR(OFFSET(Camp_List[P_Code],MATCH(Data_Infrastructure[[#This Row],[Camp]],Camp_List[Camp Name],0)-1,0,1,1),"")</f>
        <v>MMR012CMP098</v>
      </c>
      <c r="F30" s="301" t="s">
        <v>691</v>
      </c>
      <c r="G30" s="301"/>
      <c r="H30" s="229">
        <v>1</v>
      </c>
      <c r="I30" s="231" t="s">
        <v>722</v>
      </c>
      <c r="J30" s="305"/>
      <c r="K30" s="132"/>
      <c r="L30" s="230"/>
      <c r="M30" s="230"/>
    </row>
    <row r="31" spans="1:17" ht="16.5" customHeight="1" x14ac:dyDescent="0.25">
      <c r="A31" s="297" t="s">
        <v>687</v>
      </c>
      <c r="B31" s="297" t="s">
        <v>7</v>
      </c>
      <c r="C31" s="297" t="s">
        <v>17</v>
      </c>
      <c r="D31" s="299" t="s">
        <v>586</v>
      </c>
      <c r="E31" s="298" t="str">
        <f ca="1">IFERROR(OFFSET(Camp_List[P_Code],MATCH(Data_Infrastructure[[#This Row],[Camp]],Camp_List[Camp Name],0)-1,0,1,1),"")</f>
        <v>MMR012CMP115</v>
      </c>
      <c r="F31" s="301" t="s">
        <v>690</v>
      </c>
      <c r="G31" s="301" t="s">
        <v>701</v>
      </c>
      <c r="H31" s="229">
        <v>2</v>
      </c>
      <c r="I31" s="228" t="s">
        <v>722</v>
      </c>
      <c r="J31" s="305"/>
      <c r="K31" s="132"/>
      <c r="L31" s="230"/>
      <c r="M31" s="230"/>
    </row>
    <row r="32" spans="1:17" ht="16.5" customHeight="1" x14ac:dyDescent="0.25">
      <c r="A32" s="297" t="s">
        <v>687</v>
      </c>
      <c r="B32" s="297" t="s">
        <v>7</v>
      </c>
      <c r="C32" s="297" t="s">
        <v>17</v>
      </c>
      <c r="D32" s="299" t="s">
        <v>586</v>
      </c>
      <c r="E32" s="298" t="str">
        <f ca="1">IFERROR(OFFSET(Camp_List[P_Code],MATCH(Data_Infrastructure[[#This Row],[Camp]],Camp_List[Camp Name],0)-1,0,1,1),"")</f>
        <v>MMR012CMP115</v>
      </c>
      <c r="F32" s="301" t="s">
        <v>688</v>
      </c>
      <c r="G32" s="301"/>
      <c r="H32" s="229">
        <v>1</v>
      </c>
      <c r="I32" s="228" t="s">
        <v>722</v>
      </c>
      <c r="J32" s="305"/>
      <c r="K32" s="132"/>
      <c r="L32" s="230"/>
      <c r="M32" s="230"/>
    </row>
    <row r="33" spans="1:13" ht="16.5" customHeight="1" x14ac:dyDescent="0.2">
      <c r="A33" s="297" t="s">
        <v>687</v>
      </c>
      <c r="B33" s="297" t="s">
        <v>7</v>
      </c>
      <c r="C33" s="297" t="s">
        <v>17</v>
      </c>
      <c r="D33" s="299" t="s">
        <v>587</v>
      </c>
      <c r="E33" s="298" t="str">
        <f ca="1">IFERROR(OFFSET(Camp_List[P_Code],MATCH(Data_Infrastructure[[#This Row],[Camp]],Camp_List[Camp Name],0)-1,0,1,1),"")</f>
        <v>MMR012CMP116</v>
      </c>
      <c r="F33" s="301" t="s">
        <v>689</v>
      </c>
      <c r="G33" s="301"/>
      <c r="H33" s="229">
        <v>1</v>
      </c>
      <c r="I33" s="228" t="s">
        <v>722</v>
      </c>
      <c r="J33" s="305"/>
      <c r="K33" s="132"/>
      <c r="L33" s="132"/>
      <c r="M33" s="132"/>
    </row>
    <row r="34" spans="1:13" ht="16.5" customHeight="1" x14ac:dyDescent="0.2">
      <c r="A34" s="297" t="s">
        <v>687</v>
      </c>
      <c r="B34" s="297" t="s">
        <v>7</v>
      </c>
      <c r="C34" s="297" t="s">
        <v>17</v>
      </c>
      <c r="D34" s="299" t="s">
        <v>587</v>
      </c>
      <c r="E34" s="298" t="str">
        <f ca="1">IFERROR(OFFSET(Camp_List[P_Code],MATCH(Data_Infrastructure[[#This Row],[Camp]],Camp_List[Camp Name],0)-1,0,1,1),"")</f>
        <v>MMR012CMP116</v>
      </c>
      <c r="F34" s="301" t="s">
        <v>690</v>
      </c>
      <c r="G34" s="301"/>
      <c r="H34" s="229">
        <v>1</v>
      </c>
      <c r="I34" s="228" t="s">
        <v>722</v>
      </c>
      <c r="J34" s="305"/>
      <c r="K34" s="132"/>
      <c r="L34" s="132"/>
      <c r="M34" s="132"/>
    </row>
    <row r="35" spans="1:13" ht="16.5" customHeight="1" x14ac:dyDescent="0.2">
      <c r="A35" s="297" t="s">
        <v>687</v>
      </c>
      <c r="B35" s="297" t="s">
        <v>7</v>
      </c>
      <c r="C35" s="297" t="s">
        <v>17</v>
      </c>
      <c r="D35" s="299" t="s">
        <v>587</v>
      </c>
      <c r="E35" s="298" t="str">
        <f ca="1">IFERROR(OFFSET(Camp_List[P_Code],MATCH(Data_Infrastructure[[#This Row],[Camp]],Camp_List[Camp Name],0)-1,0,1,1),"")</f>
        <v>MMR012CMP116</v>
      </c>
      <c r="F35" s="301" t="s">
        <v>688</v>
      </c>
      <c r="G35" s="301" t="s">
        <v>702</v>
      </c>
      <c r="H35" s="229">
        <v>4</v>
      </c>
      <c r="I35" s="228" t="s">
        <v>722</v>
      </c>
      <c r="J35" s="305"/>
      <c r="K35" s="132"/>
      <c r="L35" s="132"/>
      <c r="M35" s="132"/>
    </row>
    <row r="36" spans="1:13" ht="16.5" customHeight="1" x14ac:dyDescent="0.2">
      <c r="A36" s="297" t="s">
        <v>687</v>
      </c>
      <c r="B36" s="297" t="s">
        <v>7</v>
      </c>
      <c r="C36" s="297" t="s">
        <v>17</v>
      </c>
      <c r="D36" s="299" t="s">
        <v>587</v>
      </c>
      <c r="E36" s="298" t="str">
        <f ca="1">IFERROR(OFFSET(Camp_List[P_Code],MATCH(Data_Infrastructure[[#This Row],[Camp]],Camp_List[Camp Name],0)-1,0,1,1),"")</f>
        <v>MMR012CMP116</v>
      </c>
      <c r="F36" s="301" t="s">
        <v>691</v>
      </c>
      <c r="G36" s="301" t="s">
        <v>703</v>
      </c>
      <c r="H36" s="229">
        <v>3</v>
      </c>
      <c r="I36" s="228" t="s">
        <v>722</v>
      </c>
      <c r="J36" s="305"/>
    </row>
    <row r="37" spans="1:13" ht="16.5" customHeight="1" x14ac:dyDescent="0.2">
      <c r="A37" s="297" t="s">
        <v>694</v>
      </c>
      <c r="B37" s="297" t="s">
        <v>7</v>
      </c>
      <c r="C37" s="297" t="s">
        <v>17</v>
      </c>
      <c r="D37" s="299" t="s">
        <v>590</v>
      </c>
      <c r="E37" s="298" t="str">
        <f ca="1">IFERROR(OFFSET(Camp_List[P_Code],MATCH(Data_Infrastructure[[#This Row],[Camp]],Camp_List[Camp Name],0)-1,0,1,1),"")</f>
        <v>MMR012CMP111</v>
      </c>
      <c r="F37" s="301" t="s">
        <v>689</v>
      </c>
      <c r="G37" s="301"/>
      <c r="H37" s="226">
        <v>1</v>
      </c>
      <c r="I37" s="228" t="s">
        <v>722</v>
      </c>
      <c r="J37" s="304"/>
    </row>
    <row r="38" spans="1:13" ht="16.5" customHeight="1" x14ac:dyDescent="0.2">
      <c r="A38" s="297" t="s">
        <v>694</v>
      </c>
      <c r="B38" s="297" t="s">
        <v>7</v>
      </c>
      <c r="C38" s="297" t="s">
        <v>17</v>
      </c>
      <c r="D38" s="299" t="s">
        <v>590</v>
      </c>
      <c r="E38" s="298" t="str">
        <f ca="1">IFERROR(OFFSET(Camp_List[P_Code],MATCH(Data_Infrastructure[[#This Row],[Camp]],Camp_List[Camp Name],0)-1,0,1,1),"")</f>
        <v>MMR012CMP111</v>
      </c>
      <c r="F38" s="301" t="s">
        <v>690</v>
      </c>
      <c r="G38" s="301"/>
      <c r="H38" s="226">
        <v>1</v>
      </c>
      <c r="I38" s="228" t="s">
        <v>722</v>
      </c>
      <c r="J38" s="304"/>
    </row>
    <row r="39" spans="1:13" ht="16.5" customHeight="1" x14ac:dyDescent="0.2">
      <c r="A39" s="297" t="s">
        <v>694</v>
      </c>
      <c r="B39" s="297" t="s">
        <v>7</v>
      </c>
      <c r="C39" s="297" t="s">
        <v>17</v>
      </c>
      <c r="D39" s="299" t="s">
        <v>590</v>
      </c>
      <c r="E39" s="298" t="str">
        <f ca="1">IFERROR(OFFSET(Camp_List[P_Code],MATCH(Data_Infrastructure[[#This Row],[Camp]],Camp_List[Camp Name],0)-1,0,1,1),"")</f>
        <v>MMR012CMP111</v>
      </c>
      <c r="F39" s="301" t="s">
        <v>691</v>
      </c>
      <c r="G39" s="301"/>
      <c r="H39" s="226">
        <v>1</v>
      </c>
      <c r="I39" s="228" t="s">
        <v>722</v>
      </c>
      <c r="J39" s="304"/>
    </row>
    <row r="40" spans="1:13" ht="16.5" customHeight="1" x14ac:dyDescent="0.2">
      <c r="A40" s="297" t="s">
        <v>694</v>
      </c>
      <c r="B40" s="297" t="s">
        <v>7</v>
      </c>
      <c r="C40" s="297" t="s">
        <v>17</v>
      </c>
      <c r="D40" s="299" t="s">
        <v>591</v>
      </c>
      <c r="E40" s="298" t="str">
        <f ca="1">IFERROR(OFFSET(Camp_List[P_Code],MATCH(Data_Infrastructure[[#This Row],[Camp]],Camp_List[Camp Name],0)-1,0,1,1),"")</f>
        <v>MMR012CMP112</v>
      </c>
      <c r="F40" s="301" t="s">
        <v>691</v>
      </c>
      <c r="G40" s="301"/>
      <c r="H40" s="226">
        <v>1</v>
      </c>
      <c r="I40" s="228" t="s">
        <v>722</v>
      </c>
      <c r="J40" s="304"/>
    </row>
    <row r="41" spans="1:13" ht="16.5" customHeight="1" x14ac:dyDescent="0.2">
      <c r="A41" s="297" t="s">
        <v>692</v>
      </c>
      <c r="B41" s="297" t="s">
        <v>7</v>
      </c>
      <c r="C41" s="297" t="s">
        <v>17</v>
      </c>
      <c r="D41" s="299" t="s">
        <v>65</v>
      </c>
      <c r="E41" s="298" t="str">
        <f ca="1">IFERROR(OFFSET(Camp_List[P_Code],MATCH(Data_Infrastructure[[#This Row],[Camp]],Camp_List[Camp Name],0)-1,0,1,1),"")</f>
        <v>MMR012CMP045</v>
      </c>
      <c r="F41" s="301" t="s">
        <v>690</v>
      </c>
      <c r="G41" s="301"/>
      <c r="H41" s="229">
        <v>1</v>
      </c>
      <c r="I41" s="228" t="s">
        <v>722</v>
      </c>
      <c r="J41" s="305" t="s">
        <v>704</v>
      </c>
    </row>
    <row r="42" spans="1:13" ht="16.5" customHeight="1" x14ac:dyDescent="0.2">
      <c r="A42" s="297" t="s">
        <v>692</v>
      </c>
      <c r="B42" s="297" t="s">
        <v>7</v>
      </c>
      <c r="C42" s="297" t="s">
        <v>17</v>
      </c>
      <c r="D42" s="299" t="s">
        <v>65</v>
      </c>
      <c r="E42" s="298" t="str">
        <f ca="1">IFERROR(OFFSET(Camp_List[P_Code],MATCH(Data_Infrastructure[[#This Row],[Camp]],Camp_List[Camp Name],0)-1,0,1,1),"")</f>
        <v>MMR012CMP045</v>
      </c>
      <c r="F42" s="301" t="s">
        <v>690</v>
      </c>
      <c r="G42" s="301"/>
      <c r="H42" s="229">
        <v>1</v>
      </c>
      <c r="I42" s="228" t="s">
        <v>722</v>
      </c>
      <c r="J42" s="305" t="s">
        <v>705</v>
      </c>
    </row>
    <row r="43" spans="1:13" ht="16.5" customHeight="1" x14ac:dyDescent="0.2">
      <c r="A43" s="297" t="s">
        <v>692</v>
      </c>
      <c r="B43" s="297" t="s">
        <v>7</v>
      </c>
      <c r="C43" s="297" t="s">
        <v>17</v>
      </c>
      <c r="D43" s="299" t="s">
        <v>68</v>
      </c>
      <c r="E43" s="298" t="str">
        <f ca="1">IFERROR(OFFSET(Camp_List[P_Code],MATCH(Data_Infrastructure[[#This Row],[Camp]],Camp_List[Camp Name],0)-1,0,1,1),"")</f>
        <v>MMR012CMP048</v>
      </c>
      <c r="F43" s="301" t="s">
        <v>689</v>
      </c>
      <c r="G43" s="301"/>
      <c r="H43" s="229">
        <v>1</v>
      </c>
      <c r="I43" s="228" t="s">
        <v>722</v>
      </c>
      <c r="J43" s="305"/>
    </row>
    <row r="44" spans="1:13" ht="16.5" customHeight="1" x14ac:dyDescent="0.2">
      <c r="A44" s="297" t="s">
        <v>692</v>
      </c>
      <c r="B44" s="297" t="s">
        <v>7</v>
      </c>
      <c r="C44" s="297" t="s">
        <v>17</v>
      </c>
      <c r="D44" s="299" t="s">
        <v>68</v>
      </c>
      <c r="E44" s="298" t="str">
        <f ca="1">IFERROR(OFFSET(Camp_List[P_Code],MATCH(Data_Infrastructure[[#This Row],[Camp]],Camp_List[Camp Name],0)-1,0,1,1),"")</f>
        <v>MMR012CMP048</v>
      </c>
      <c r="F44" s="301" t="s">
        <v>690</v>
      </c>
      <c r="G44" s="301" t="s">
        <v>700</v>
      </c>
      <c r="H44" s="229">
        <v>2</v>
      </c>
      <c r="I44" s="228" t="s">
        <v>722</v>
      </c>
      <c r="J44" s="305"/>
    </row>
    <row r="45" spans="1:13" ht="16.5" customHeight="1" x14ac:dyDescent="0.2">
      <c r="A45" s="297" t="s">
        <v>692</v>
      </c>
      <c r="B45" s="297" t="s">
        <v>7</v>
      </c>
      <c r="C45" s="297" t="s">
        <v>17</v>
      </c>
      <c r="D45" s="299" t="s">
        <v>68</v>
      </c>
      <c r="E45" s="298" t="str">
        <f ca="1">IFERROR(OFFSET(Camp_List[P_Code],MATCH(Data_Infrastructure[[#This Row],[Camp]],Camp_List[Camp Name],0)-1,0,1,1),"")</f>
        <v>MMR012CMP048</v>
      </c>
      <c r="F45" s="301" t="s">
        <v>688</v>
      </c>
      <c r="G45" s="301"/>
      <c r="H45" s="229">
        <v>1</v>
      </c>
      <c r="I45" s="228" t="s">
        <v>722</v>
      </c>
      <c r="J45" s="305"/>
    </row>
    <row r="46" spans="1:13" x14ac:dyDescent="0.2">
      <c r="A46" s="134"/>
      <c r="B46" s="134"/>
      <c r="C46" s="134"/>
      <c r="D46" s="135"/>
      <c r="E46" s="134"/>
      <c r="F46" s="134"/>
      <c r="G46" s="134"/>
      <c r="H46" s="133"/>
    </row>
    <row r="47" spans="1:13" x14ac:dyDescent="0.2">
      <c r="G47" s="131"/>
      <c r="H47" s="133"/>
    </row>
    <row r="48" spans="1:13" x14ac:dyDescent="0.2">
      <c r="G48" s="131"/>
      <c r="H48" s="133"/>
    </row>
    <row r="49" spans="1:8" x14ac:dyDescent="0.2">
      <c r="G49" s="131"/>
      <c r="H49" s="133"/>
    </row>
    <row r="50" spans="1:8" x14ac:dyDescent="0.2">
      <c r="G50" s="131"/>
      <c r="H50" s="133"/>
    </row>
    <row r="51" spans="1:8" x14ac:dyDescent="0.2">
      <c r="G51" s="131"/>
      <c r="H51" s="133"/>
    </row>
    <row r="52" spans="1:8" x14ac:dyDescent="0.2">
      <c r="G52" s="131"/>
      <c r="H52" s="133"/>
    </row>
    <row r="53" spans="1:8" x14ac:dyDescent="0.2">
      <c r="G53" s="131"/>
      <c r="H53" s="133"/>
    </row>
    <row r="54" spans="1:8" x14ac:dyDescent="0.2">
      <c r="A54" s="131"/>
      <c r="B54" s="131"/>
      <c r="C54" s="131"/>
      <c r="D54" s="131"/>
      <c r="G54" s="131"/>
      <c r="H54" s="133"/>
    </row>
    <row r="59" spans="1:8" ht="15" x14ac:dyDescent="0.25">
      <c r="A59" s="129"/>
      <c r="B59" s="129"/>
      <c r="C59" s="129"/>
      <c r="D59" s="129"/>
      <c r="E59"/>
      <c r="F59"/>
    </row>
    <row r="60" spans="1:8" ht="15" x14ac:dyDescent="0.25">
      <c r="A60" s="129"/>
      <c r="B60" s="129"/>
      <c r="C60" s="129"/>
      <c r="D60" s="129"/>
      <c r="E60"/>
      <c r="F60"/>
    </row>
    <row r="61" spans="1:8" ht="15" x14ac:dyDescent="0.25">
      <c r="A61" s="129"/>
      <c r="B61" s="129"/>
      <c r="C61" s="129"/>
      <c r="D61" s="129"/>
      <c r="E61"/>
      <c r="F61"/>
    </row>
    <row r="62" spans="1:8" ht="15" x14ac:dyDescent="0.25">
      <c r="A62" s="129"/>
      <c r="B62" s="129"/>
      <c r="C62" s="129"/>
      <c r="D62" s="129"/>
      <c r="E62"/>
      <c r="F62"/>
    </row>
    <row r="63" spans="1:8" ht="15" x14ac:dyDescent="0.25">
      <c r="A63" s="129"/>
      <c r="B63" s="129"/>
      <c r="C63" s="129"/>
      <c r="D63" s="129"/>
      <c r="E63"/>
      <c r="F63"/>
    </row>
    <row r="64" spans="1:8" ht="15" x14ac:dyDescent="0.25">
      <c r="A64" s="129"/>
      <c r="B64" s="129"/>
      <c r="C64" s="129"/>
      <c r="D64" s="129"/>
      <c r="E64"/>
      <c r="F64"/>
    </row>
    <row r="65" spans="1:6" ht="15" x14ac:dyDescent="0.25">
      <c r="A65" s="129"/>
      <c r="B65" s="129"/>
      <c r="C65" s="129"/>
      <c r="D65" s="129"/>
      <c r="E65"/>
      <c r="F65"/>
    </row>
  </sheetData>
  <sortState ref="A6:H50">
    <sortCondition ref="D6"/>
  </sortState>
  <dataValidations count="1">
    <dataValidation type="list" errorStyle="warning" showInputMessage="1" showErrorMessage="1" sqref="D13:D45">
      <formula1>OFFSET(TCL_T1,MATCH(C13,TCL_T,0)-1,1,COUNTIF(TCL_T,C13),1)</formula1>
    </dataValidation>
  </dataValidations>
  <pageMargins left="0.7" right="0.7" top="0.75" bottom="0.75" header="0.3" footer="0.3"/>
  <pageSetup orientation="portrait"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S540"/>
  <sheetViews>
    <sheetView showZeros="0" topLeftCell="A4" zoomScale="85" zoomScaleNormal="85" workbookViewId="0">
      <selection activeCell="E19" sqref="E19"/>
    </sheetView>
  </sheetViews>
  <sheetFormatPr defaultColWidth="11.140625" defaultRowHeight="15" x14ac:dyDescent="0.25"/>
  <cols>
    <col min="1" max="1" width="9.7109375" style="35" customWidth="1"/>
    <col min="2" max="2" width="15.140625" customWidth="1"/>
    <col min="3" max="3" width="15.140625" style="35" customWidth="1"/>
    <col min="4" max="4" width="15.140625" customWidth="1"/>
    <col min="5" max="5" width="19.42578125" customWidth="1"/>
    <col min="6" max="6" width="14.28515625" customWidth="1"/>
    <col min="7" max="7" width="15.7109375" bestFit="1" customWidth="1"/>
    <col min="8" max="8" width="25.7109375" customWidth="1"/>
    <col min="9" max="9" width="12" hidden="1" customWidth="1"/>
    <col min="10" max="10" width="12" style="669" customWidth="1"/>
    <col min="11" max="11" width="12.7109375" style="669" customWidth="1"/>
    <col min="12" max="12" width="12" customWidth="1"/>
    <col min="13" max="13" width="12" hidden="1" customWidth="1"/>
    <col min="14" max="18" width="12" customWidth="1"/>
    <col min="19" max="19" width="12" style="78" hidden="1" customWidth="1"/>
    <col min="20" max="20" width="12" style="35" hidden="1" customWidth="1"/>
    <col min="21" max="21" width="10.7109375" style="78" customWidth="1"/>
    <col min="22" max="23" width="10.7109375" style="669" customWidth="1"/>
    <col min="24" max="28" width="12.5703125" style="669" customWidth="1"/>
    <col min="29" max="33" width="13.5703125" style="44" hidden="1" customWidth="1"/>
    <col min="34" max="34" width="10.7109375" style="44" hidden="1" customWidth="1"/>
    <col min="35" max="42" width="13.5703125" style="44" hidden="1" customWidth="1"/>
    <col min="43" max="43" width="6.42578125" style="44" hidden="1" customWidth="1"/>
    <col min="44" max="44" width="16.85546875" customWidth="1"/>
    <col min="45" max="45" width="28" bestFit="1" customWidth="1"/>
    <col min="46" max="46" width="17" customWidth="1"/>
    <col min="47" max="48" width="11.140625" customWidth="1"/>
    <col min="49" max="49" width="33.85546875" customWidth="1"/>
  </cols>
  <sheetData>
    <row r="1" spans="1:71" s="1" customFormat="1" ht="36" x14ac:dyDescent="0.25">
      <c r="A1" s="157"/>
      <c r="B1" s="158"/>
      <c r="C1" s="232"/>
      <c r="D1" s="158"/>
      <c r="E1" s="158"/>
      <c r="F1" s="158"/>
      <c r="G1" s="158"/>
      <c r="H1" s="158"/>
      <c r="I1" s="158"/>
      <c r="J1" s="158"/>
      <c r="K1" s="158"/>
      <c r="L1" s="199">
        <f>'NFI Summary'!P3</f>
        <v>1</v>
      </c>
      <c r="M1" s="158"/>
      <c r="N1" s="158"/>
      <c r="O1" s="158"/>
      <c r="P1" s="158"/>
      <c r="Q1" s="158"/>
      <c r="R1" s="200"/>
      <c r="S1" s="200"/>
      <c r="T1" s="415"/>
      <c r="U1" s="200"/>
      <c r="V1" s="200"/>
      <c r="W1" s="200"/>
      <c r="X1" s="200"/>
      <c r="Y1" s="200"/>
      <c r="Z1" s="200"/>
      <c r="AA1" s="200"/>
      <c r="AB1" s="200"/>
      <c r="AC1" s="200"/>
      <c r="AD1" s="200"/>
      <c r="AE1" s="200"/>
      <c r="AF1" s="200"/>
      <c r="AG1" s="201"/>
      <c r="AH1" s="201"/>
      <c r="AI1" s="159"/>
      <c r="AJ1" s="159"/>
      <c r="AK1" s="159"/>
      <c r="AL1" s="159"/>
      <c r="AM1" s="159"/>
      <c r="AN1" s="159"/>
      <c r="AO1" s="159"/>
      <c r="AP1" s="159"/>
      <c r="AQ1" s="159"/>
      <c r="AR1" s="159"/>
      <c r="AS1" s="160"/>
      <c r="BR1" s="57"/>
      <c r="BS1" s="57"/>
    </row>
    <row r="2" spans="1:71" s="1" customFormat="1" ht="33" customHeight="1" x14ac:dyDescent="0.35">
      <c r="A2" s="1095" t="s">
        <v>746</v>
      </c>
      <c r="B2" s="1096"/>
      <c r="C2" s="1096"/>
      <c r="D2" s="1096"/>
      <c r="E2" s="1096"/>
      <c r="F2" s="1096"/>
      <c r="G2" s="1096"/>
      <c r="H2" s="1096"/>
      <c r="I2" s="1096"/>
      <c r="J2" s="822"/>
      <c r="K2" s="822"/>
      <c r="L2" s="79"/>
      <c r="M2" s="79"/>
      <c r="N2" s="79"/>
      <c r="O2" s="79"/>
      <c r="P2" s="79"/>
      <c r="Q2" s="79"/>
      <c r="R2" s="202"/>
      <c r="S2" s="154"/>
      <c r="T2" s="416"/>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61"/>
      <c r="AT2" s="78"/>
      <c r="AU2" s="78"/>
      <c r="AV2" s="78"/>
      <c r="AW2" s="78"/>
      <c r="AX2" s="78"/>
      <c r="AY2" s="78"/>
      <c r="AZ2" s="78"/>
      <c r="BA2" s="78"/>
      <c r="BB2" s="78"/>
      <c r="BC2" s="78"/>
      <c r="BD2" s="78"/>
      <c r="BE2" s="78"/>
      <c r="BF2" s="78"/>
      <c r="BP2" s="57"/>
      <c r="BQ2" s="57"/>
    </row>
    <row r="3" spans="1:71" s="16" customFormat="1" ht="18" customHeight="1" x14ac:dyDescent="0.35">
      <c r="A3" s="1169">
        <f>Report_Date</f>
        <v>43190</v>
      </c>
      <c r="B3" s="1170"/>
      <c r="C3" s="1170"/>
      <c r="D3" s="1170"/>
      <c r="E3" s="1170"/>
      <c r="F3" s="1170"/>
      <c r="G3" s="1170"/>
      <c r="H3" s="1170"/>
      <c r="I3" s="1170"/>
      <c r="J3" s="823"/>
      <c r="K3" s="823"/>
      <c r="L3" s="79"/>
      <c r="M3" s="79"/>
      <c r="N3" s="79"/>
      <c r="O3" s="79"/>
      <c r="P3" s="79"/>
      <c r="Q3" s="79"/>
      <c r="R3" s="202"/>
      <c r="S3" s="154"/>
      <c r="T3" s="416"/>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61"/>
      <c r="AT3" s="78"/>
      <c r="AU3" s="78"/>
      <c r="AV3" s="78"/>
      <c r="AW3" s="78"/>
      <c r="AX3" s="78"/>
      <c r="AY3" s="78"/>
      <c r="AZ3" s="78"/>
      <c r="BA3" s="78"/>
      <c r="BB3" s="78"/>
      <c r="BC3" s="78"/>
      <c r="BD3" s="78"/>
      <c r="BE3" s="78"/>
      <c r="BF3" s="78"/>
      <c r="BP3" s="58"/>
      <c r="BQ3" s="58"/>
    </row>
    <row r="4" spans="1:71" s="16" customFormat="1" ht="11.25" customHeight="1" x14ac:dyDescent="0.25">
      <c r="A4" s="1174"/>
      <c r="B4" s="1175"/>
      <c r="C4" s="1175"/>
      <c r="D4" s="1175"/>
      <c r="E4" s="203"/>
      <c r="F4" s="203"/>
      <c r="G4" s="203"/>
      <c r="H4" s="203"/>
      <c r="I4" s="203"/>
      <c r="J4" s="203"/>
      <c r="K4" s="203"/>
      <c r="L4" s="203"/>
      <c r="M4" s="203"/>
      <c r="N4" s="164"/>
      <c r="O4" s="203"/>
      <c r="P4" s="203"/>
      <c r="Q4" s="203"/>
      <c r="R4" s="203"/>
      <c r="S4" s="203"/>
      <c r="T4" s="417"/>
      <c r="U4" s="203"/>
      <c r="V4" s="203"/>
      <c r="W4" s="203"/>
      <c r="X4" s="203"/>
      <c r="Y4" s="203"/>
      <c r="Z4" s="203"/>
      <c r="AA4" s="203"/>
      <c r="AB4" s="203"/>
      <c r="AC4" s="203"/>
      <c r="AD4" s="203"/>
      <c r="AE4" s="203"/>
      <c r="AF4" s="204"/>
      <c r="AG4" s="203"/>
      <c r="AH4" s="203"/>
      <c r="AI4" s="164"/>
      <c r="AJ4" s="164"/>
      <c r="AK4" s="164"/>
      <c r="AL4" s="164"/>
      <c r="AM4" s="164"/>
      <c r="AN4" s="164"/>
      <c r="AO4" s="164"/>
      <c r="AP4" s="164"/>
      <c r="AQ4" s="164"/>
      <c r="AR4" s="164"/>
      <c r="AS4" s="165"/>
      <c r="BR4" s="58"/>
      <c r="BS4" s="58"/>
    </row>
    <row r="5" spans="1:71" s="43" customFormat="1" ht="55.5" customHeight="1" x14ac:dyDescent="0.25">
      <c r="A5" s="1023" t="s">
        <v>220</v>
      </c>
      <c r="B5" s="1024" t="s">
        <v>748</v>
      </c>
      <c r="C5" s="1025" t="s">
        <v>201</v>
      </c>
      <c r="D5" s="1025" t="s">
        <v>191</v>
      </c>
      <c r="E5" s="1025" t="s">
        <v>202</v>
      </c>
      <c r="F5" s="1025" t="s">
        <v>10</v>
      </c>
      <c r="G5" s="1025" t="s">
        <v>1</v>
      </c>
      <c r="H5" s="1025" t="s">
        <v>9</v>
      </c>
      <c r="I5" s="205" t="s">
        <v>284</v>
      </c>
      <c r="J5" s="1022" t="s">
        <v>1114</v>
      </c>
      <c r="K5" s="1022" t="s">
        <v>1118</v>
      </c>
      <c r="L5" s="205" t="s">
        <v>193</v>
      </c>
      <c r="M5" s="205" t="s">
        <v>285</v>
      </c>
      <c r="N5" s="205" t="s">
        <v>552</v>
      </c>
      <c r="O5" s="205" t="s">
        <v>286</v>
      </c>
      <c r="P5" s="205" t="s">
        <v>218</v>
      </c>
      <c r="Q5" s="205" t="s">
        <v>219</v>
      </c>
      <c r="R5" s="205" t="s">
        <v>310</v>
      </c>
      <c r="S5" s="205" t="s">
        <v>535</v>
      </c>
      <c r="T5" s="418" t="s">
        <v>871</v>
      </c>
      <c r="U5" s="205" t="s">
        <v>536</v>
      </c>
      <c r="V5" s="205" t="s">
        <v>1022</v>
      </c>
      <c r="W5" s="205" t="s">
        <v>1023</v>
      </c>
      <c r="X5" s="205" t="s">
        <v>1024</v>
      </c>
      <c r="Y5" s="205" t="s">
        <v>1052</v>
      </c>
      <c r="Z5" s="205" t="s">
        <v>1125</v>
      </c>
      <c r="AA5" s="205" t="s">
        <v>1126</v>
      </c>
      <c r="AB5" s="205" t="s">
        <v>1127</v>
      </c>
      <c r="AC5" s="206" t="s">
        <v>847</v>
      </c>
      <c r="AD5" s="206" t="s">
        <v>848</v>
      </c>
      <c r="AE5" s="206" t="s">
        <v>849</v>
      </c>
      <c r="AF5" s="206" t="s">
        <v>850</v>
      </c>
      <c r="AG5" s="206" t="s">
        <v>851</v>
      </c>
      <c r="AH5" s="206" t="s">
        <v>852</v>
      </c>
      <c r="AI5" s="206" t="s">
        <v>853</v>
      </c>
      <c r="AJ5" s="206" t="s">
        <v>854</v>
      </c>
      <c r="AK5" s="206" t="s">
        <v>855</v>
      </c>
      <c r="AL5" s="206" t="s">
        <v>878</v>
      </c>
      <c r="AM5" s="206" t="s">
        <v>856</v>
      </c>
      <c r="AN5" s="206" t="s">
        <v>1027</v>
      </c>
      <c r="AO5" s="206" t="s">
        <v>1028</v>
      </c>
      <c r="AP5" s="206" t="s">
        <v>1029</v>
      </c>
      <c r="AQ5" s="206" t="s">
        <v>1053</v>
      </c>
      <c r="AR5" s="207" t="s">
        <v>521</v>
      </c>
      <c r="AS5" s="207" t="s">
        <v>329</v>
      </c>
      <c r="AT5" s="747" t="s">
        <v>1038</v>
      </c>
      <c r="AW5" s="672"/>
    </row>
    <row r="6" spans="1:71" s="770" customFormat="1" ht="17.25" customHeight="1" x14ac:dyDescent="0.25">
      <c r="A6" s="1065">
        <f t="shared" ref="A6:A69" si="0">IF(ISBLANK(C6),"",(Report_Date-C6)/30)</f>
        <v>0.4</v>
      </c>
      <c r="B6" s="1066">
        <f>YEAR(Data_NFI_t[[#This Row],[Distribution Date]])</f>
        <v>2018</v>
      </c>
      <c r="C6" s="1067">
        <v>43178</v>
      </c>
      <c r="D6" s="1064" t="s">
        <v>1130</v>
      </c>
      <c r="E6" s="1064" t="s">
        <v>1130</v>
      </c>
      <c r="F6" s="1064" t="s">
        <v>7</v>
      </c>
      <c r="G6" s="1068" t="s">
        <v>17</v>
      </c>
      <c r="H6" s="1068" t="s">
        <v>65</v>
      </c>
      <c r="I6" s="739"/>
      <c r="J6" s="1069">
        <v>2280</v>
      </c>
      <c r="K6" s="1069">
        <v>12540</v>
      </c>
      <c r="L6" s="740">
        <v>2280</v>
      </c>
      <c r="M6" s="740"/>
      <c r="N6" s="741"/>
      <c r="O6" s="741"/>
      <c r="P6" s="741"/>
      <c r="Q6" s="741"/>
      <c r="R6" s="741"/>
      <c r="S6" s="741"/>
      <c r="T6" s="742"/>
      <c r="U6" s="741"/>
      <c r="V6" s="955"/>
      <c r="W6" s="955"/>
      <c r="X6" s="741"/>
      <c r="Y6" s="741"/>
      <c r="Z6" s="741"/>
      <c r="AA6" s="741"/>
      <c r="AB6" s="741"/>
      <c r="AC6" s="778">
        <f>IF(NFI_Expiration=1,IF($A6&lt;VLOOKUP(I$5,NFI,5,0),1,0)*Data_NFI_t[[#This Row],[Hygiene Kit]],0)</f>
        <v>0</v>
      </c>
      <c r="AD6" s="778">
        <f>IF(NFI_Expiration=1,IF($A6&lt;VLOOKUP(L$5,NFI,5,0),1,0)*Data_NFI_t[[#This Row],[NFI Core Kit]],0)</f>
        <v>2280</v>
      </c>
      <c r="AE6" s="740">
        <f>IF(NFI_Expiration=1,IF($A6&lt;VLOOKUP(M$5,NFI,5,0),1,0)*Data_NFI_t[[#This Row],[Sanitary Kit]],0)</f>
        <v>0</v>
      </c>
      <c r="AF6" s="740">
        <f>IF(NFI_Expiration=1,IF($A6&lt;VLOOKUP(N$5,NFI,5,0),1,0)*Data_NFI_t[[#This Row],[Mosquito net]],0)</f>
        <v>0</v>
      </c>
      <c r="AG6" s="740">
        <f>IF(NFI_Expiration=1,IF($A6&lt;VLOOKUP(O$5,NFI,5,0),1,0)*Data_NFI_t[[#This Row],[Tarpaulin]],0)</f>
        <v>0</v>
      </c>
      <c r="AH6" s="740">
        <f>IF(NFI_Expiration=1,IF($A6&lt;VLOOKUP(P$5,NFI,5,0),1,0)*Data_NFI_t[[#This Row],[Blanket]],0)</f>
        <v>0</v>
      </c>
      <c r="AI6" s="740">
        <f>IF(NFI_Expiration=1,IF($A6&lt;VLOOKUP(Q$5,NFI,5,0),1,0)*Data_NFI_t[[#This Row],[Kitchen Set]],0)</f>
        <v>0</v>
      </c>
      <c r="AJ6" s="740">
        <f>IF(NFI_Expiration=1,IF($A6&lt;VLOOKUP(R$5,NFI,5,0),1,0)*Data_NFI_t[[#This Row],[Complementary Kit]],0)</f>
        <v>0</v>
      </c>
      <c r="AK6" s="740">
        <f>IF(NFI_Expiration=1,IF($A6&lt;VLOOKUP(S$5,NFI,5,0),1,0)*Data_NFI_t[[#This Row],[Plastic Bucket]],0)</f>
        <v>0</v>
      </c>
      <c r="AL6" s="778">
        <f>IF(NFI_Expiration=1,IF($A6&lt;VLOOKUP(T$5,NFI,5,0),1,0)*Data_NFI_t[[#This Row],[Jerry Can]],0)</f>
        <v>0</v>
      </c>
      <c r="AM6" s="778">
        <f>IF(NFI_Expiration=1,IF($A6&lt;VLOOKUP(U$5,NFI,5,0),1,0)*Data_NFI_t[[#This Row],[Plastic Mat]],0)*IF(Data_NFI_t[[#This Row],[Distribution Date]]&gt;"01-06-2015",1,2.5)</f>
        <v>0</v>
      </c>
      <c r="AN6" s="778">
        <f>IF(NFI_Expiration=1,IF($A6&lt;VLOOKUP(V$5,NFI,5,0),1,0)*Data_NFI_t[[#This Row],[Adult Clothes]],0)</f>
        <v>0</v>
      </c>
      <c r="AO6" s="778">
        <f>IF(NFI_Expiration=1,IF($A6&lt;VLOOKUP(W$5,NFI,5,0),1,0)*Data_NFI_t[[#This Row],[Children Clothes]],0)</f>
        <v>0</v>
      </c>
      <c r="AP6" s="778">
        <f>IF(NFI_Expiration=1,IF($A6&lt;VLOOKUP(X$5,NFI,5,0),1,0)*Data_NFI_t[[#This Row],[Sewing Kit]],0)</f>
        <v>0</v>
      </c>
      <c r="AQ6" s="778">
        <f>IF(NFI_Expiration=1,IF($A6&lt;VLOOKUP(X$5,NFI,5,0),1,0)*Data_NFI_t[[#This Row],[Solar Lantern]],0)</f>
        <v>0</v>
      </c>
      <c r="AR6" s="779" t="str">
        <f ca="1">IFERROR(OFFSET(Camp_List[P_Code],MATCH(Data_NFI_t[[#This Row],[Camp Name]],Camp_List[Camp Name],0)-1,0,1,1),"")</f>
        <v>MMR012CMP045</v>
      </c>
      <c r="AS6" s="780" t="str">
        <f ca="1">IFERROR(OFFSET(Camp_List[Status],MATCH(Data_NFI_t[[#This Row],[Camp Name]],Camp_List[Camp Name],0)-1,0,1,1),"")</f>
        <v>Open</v>
      </c>
      <c r="AT6" s="779"/>
      <c r="AW6" s="772"/>
    </row>
    <row r="7" spans="1:71" s="770" customFormat="1" ht="17.25" customHeight="1" x14ac:dyDescent="0.25">
      <c r="A7" s="1065">
        <f t="shared" si="0"/>
        <v>0.43333333333333335</v>
      </c>
      <c r="B7" s="1066">
        <f>YEAR(Data_NFI_t[[#This Row],[Distribution Date]])</f>
        <v>2018</v>
      </c>
      <c r="C7" s="1067">
        <v>43177</v>
      </c>
      <c r="D7" s="1064" t="s">
        <v>1130</v>
      </c>
      <c r="E7" s="1064" t="s">
        <v>1130</v>
      </c>
      <c r="F7" s="1064" t="s">
        <v>7</v>
      </c>
      <c r="G7" s="1068" t="s">
        <v>17</v>
      </c>
      <c r="H7" s="1068" t="s">
        <v>586</v>
      </c>
      <c r="I7" s="739"/>
      <c r="J7" s="1069">
        <v>2728</v>
      </c>
      <c r="K7" s="1069">
        <v>15004</v>
      </c>
      <c r="L7" s="740">
        <v>2728</v>
      </c>
      <c r="M7" s="740"/>
      <c r="N7" s="741"/>
      <c r="O7" s="741"/>
      <c r="P7" s="741"/>
      <c r="Q7" s="741"/>
      <c r="R7" s="741"/>
      <c r="S7" s="741"/>
      <c r="T7" s="742"/>
      <c r="U7" s="741"/>
      <c r="V7" s="955"/>
      <c r="W7" s="955"/>
      <c r="X7" s="741"/>
      <c r="Y7" s="741"/>
      <c r="Z7" s="741"/>
      <c r="AA7" s="741"/>
      <c r="AB7" s="741"/>
      <c r="AC7" s="734">
        <f>IF(NFI_Expiration=1,IF($A7&lt;VLOOKUP(I$5,NFI,5,0),1,0)*Data_NFI_t[[#This Row],[Hygiene Kit]],0)</f>
        <v>0</v>
      </c>
      <c r="AD7" s="734">
        <f>IF(NFI_Expiration=1,IF($A7&lt;VLOOKUP(L$5,NFI,5,0),1,0)*Data_NFI_t[[#This Row],[NFI Core Kit]],0)</f>
        <v>2728</v>
      </c>
      <c r="AE7" s="735">
        <f>IF(NFI_Expiration=1,IF($A7&lt;VLOOKUP(M$5,NFI,5,0),1,0)*Data_NFI_t[[#This Row],[Sanitary Kit]],0)</f>
        <v>0</v>
      </c>
      <c r="AF7" s="735">
        <f>IF(NFI_Expiration=1,IF($A7&lt;VLOOKUP(N$5,NFI,5,0),1,0)*Data_NFI_t[[#This Row],[Mosquito net]],0)</f>
        <v>0</v>
      </c>
      <c r="AG7" s="735">
        <f>IF(NFI_Expiration=1,IF($A7&lt;VLOOKUP(O$5,NFI,5,0),1,0)*Data_NFI_t[[#This Row],[Tarpaulin]],0)</f>
        <v>0</v>
      </c>
      <c r="AH7" s="735">
        <f>IF(NFI_Expiration=1,IF($A7&lt;VLOOKUP(P$5,NFI,5,0),1,0)*Data_NFI_t[[#This Row],[Blanket]],0)</f>
        <v>0</v>
      </c>
      <c r="AI7" s="735">
        <f>IF(NFI_Expiration=1,IF($A7&lt;VLOOKUP(Q$5,NFI,5,0),1,0)*Data_NFI_t[[#This Row],[Kitchen Set]],0)</f>
        <v>0</v>
      </c>
      <c r="AJ7" s="735">
        <f>IF(NFI_Expiration=1,IF($A7&lt;VLOOKUP(R$5,NFI,5,0),1,0)*Data_NFI_t[[#This Row],[Complementary Kit]],0)</f>
        <v>0</v>
      </c>
      <c r="AK7" s="735">
        <f>IF(NFI_Expiration=1,IF($A7&lt;VLOOKUP(S$5,NFI,5,0),1,0)*Data_NFI_t[[#This Row],[Plastic Bucket]],0)</f>
        <v>0</v>
      </c>
      <c r="AL7" s="734">
        <f>IF(NFI_Expiration=1,IF($A7&lt;VLOOKUP(T$5,NFI,5,0),1,0)*Data_NFI_t[[#This Row],[Jerry Can]],0)</f>
        <v>0</v>
      </c>
      <c r="AM7" s="734">
        <f>IF(NFI_Expiration=1,IF($A7&lt;VLOOKUP(U$5,NFI,5,0),1,0)*Data_NFI_t[[#This Row],[Plastic Mat]],0)*IF(Data_NFI_t[[#This Row],[Distribution Date]]&gt;"01-06-2015",1,2.5)</f>
        <v>0</v>
      </c>
      <c r="AN7" s="734">
        <f>IF(NFI_Expiration=1,IF($A7&lt;VLOOKUP(V$5,NFI,5,0),1,0)*Data_NFI_t[[#This Row],[Adult Clothes]],0)</f>
        <v>0</v>
      </c>
      <c r="AO7" s="734">
        <f>IF(NFI_Expiration=1,IF($A7&lt;VLOOKUP(W$5,NFI,5,0),1,0)*Data_NFI_t[[#This Row],[Children Clothes]],0)</f>
        <v>0</v>
      </c>
      <c r="AP7" s="734">
        <f>IF(NFI_Expiration=1,IF($A7&lt;VLOOKUP(X$5,NFI,5,0),1,0)*Data_NFI_t[[#This Row],[Sewing Kit]],0)</f>
        <v>0</v>
      </c>
      <c r="AQ7" s="734">
        <f>IF(NFI_Expiration=1,IF($A7&lt;VLOOKUP(X$5,NFI,5,0),1,0)*Data_NFI_t[[#This Row],[Solar Lantern]],0)</f>
        <v>0</v>
      </c>
      <c r="AR7" s="105" t="str">
        <f ca="1">IFERROR(OFFSET(Camp_List[P_Code],MATCH(Data_NFI_t[[#This Row],[Camp Name]],Camp_List[Camp Name],0)-1,0,1,1),"")</f>
        <v>MMR012CMP115</v>
      </c>
      <c r="AS7" s="421" t="str">
        <f ca="1">IFERROR(OFFSET(Camp_List[Status],MATCH(Data_NFI_t[[#This Row],[Camp Name]],Camp_List[Camp Name],0)-1,0,1,1),"")</f>
        <v>Open</v>
      </c>
      <c r="AT7" s="105"/>
      <c r="AW7" s="772"/>
    </row>
    <row r="8" spans="1:71" s="770" customFormat="1" ht="17.25" customHeight="1" x14ac:dyDescent="0.25">
      <c r="A8" s="1065">
        <f t="shared" si="0"/>
        <v>0.46666666666666667</v>
      </c>
      <c r="B8" s="1066">
        <f>YEAR(Data_NFI_t[[#This Row],[Distribution Date]])</f>
        <v>2018</v>
      </c>
      <c r="C8" s="1067">
        <v>43176</v>
      </c>
      <c r="D8" s="1064" t="s">
        <v>1130</v>
      </c>
      <c r="E8" s="1064" t="s">
        <v>1130</v>
      </c>
      <c r="F8" s="1064" t="s">
        <v>7</v>
      </c>
      <c r="G8" s="1068" t="s">
        <v>17</v>
      </c>
      <c r="H8" s="1068" t="s">
        <v>68</v>
      </c>
      <c r="I8" s="739"/>
      <c r="J8" s="1069">
        <v>1312</v>
      </c>
      <c r="K8" s="1069">
        <v>7216</v>
      </c>
      <c r="L8" s="740">
        <v>1312</v>
      </c>
      <c r="M8" s="740"/>
      <c r="N8" s="741"/>
      <c r="O8" s="741"/>
      <c r="P8" s="741"/>
      <c r="Q8" s="741"/>
      <c r="R8" s="741"/>
      <c r="S8" s="741"/>
      <c r="T8" s="742"/>
      <c r="U8" s="741"/>
      <c r="V8" s="955"/>
      <c r="W8" s="955"/>
      <c r="X8" s="741"/>
      <c r="Y8" s="741"/>
      <c r="Z8" s="741"/>
      <c r="AA8" s="741"/>
      <c r="AB8" s="741"/>
      <c r="AC8" s="734">
        <f>IF(NFI_Expiration=1,IF($A8&lt;VLOOKUP(I$5,NFI,5,0),1,0)*Data_NFI_t[[#This Row],[Hygiene Kit]],0)</f>
        <v>0</v>
      </c>
      <c r="AD8" s="734">
        <f>IF(NFI_Expiration=1,IF($A8&lt;VLOOKUP(L$5,NFI,5,0),1,0)*Data_NFI_t[[#This Row],[NFI Core Kit]],0)</f>
        <v>1312</v>
      </c>
      <c r="AE8" s="735">
        <f>IF(NFI_Expiration=1,IF($A8&lt;VLOOKUP(M$5,NFI,5,0),1,0)*Data_NFI_t[[#This Row],[Sanitary Kit]],0)</f>
        <v>0</v>
      </c>
      <c r="AF8" s="735">
        <f>IF(NFI_Expiration=1,IF($A8&lt;VLOOKUP(N$5,NFI,5,0),1,0)*Data_NFI_t[[#This Row],[Mosquito net]],0)</f>
        <v>0</v>
      </c>
      <c r="AG8" s="735">
        <f>IF(NFI_Expiration=1,IF($A8&lt;VLOOKUP(O$5,NFI,5,0),1,0)*Data_NFI_t[[#This Row],[Tarpaulin]],0)</f>
        <v>0</v>
      </c>
      <c r="AH8" s="735">
        <f>IF(NFI_Expiration=1,IF($A8&lt;VLOOKUP(P$5,NFI,5,0),1,0)*Data_NFI_t[[#This Row],[Blanket]],0)</f>
        <v>0</v>
      </c>
      <c r="AI8" s="735">
        <f>IF(NFI_Expiration=1,IF($A8&lt;VLOOKUP(Q$5,NFI,5,0),1,0)*Data_NFI_t[[#This Row],[Kitchen Set]],0)</f>
        <v>0</v>
      </c>
      <c r="AJ8" s="735">
        <f>IF(NFI_Expiration=1,IF($A8&lt;VLOOKUP(R$5,NFI,5,0),1,0)*Data_NFI_t[[#This Row],[Complementary Kit]],0)</f>
        <v>0</v>
      </c>
      <c r="AK8" s="735">
        <f>IF(NFI_Expiration=1,IF($A8&lt;VLOOKUP(S$5,NFI,5,0),1,0)*Data_NFI_t[[#This Row],[Plastic Bucket]],0)</f>
        <v>0</v>
      </c>
      <c r="AL8" s="734">
        <f>IF(NFI_Expiration=1,IF($A8&lt;VLOOKUP(T$5,NFI,5,0),1,0)*Data_NFI_t[[#This Row],[Jerry Can]],0)</f>
        <v>0</v>
      </c>
      <c r="AM8" s="734">
        <f>IF(NFI_Expiration=1,IF($A8&lt;VLOOKUP(U$5,NFI,5,0),1,0)*Data_NFI_t[[#This Row],[Plastic Mat]],0)*IF(Data_NFI_t[[#This Row],[Distribution Date]]&gt;"01-06-2015",1,2.5)</f>
        <v>0</v>
      </c>
      <c r="AN8" s="734">
        <f>IF(NFI_Expiration=1,IF($A8&lt;VLOOKUP(V$5,NFI,5,0),1,0)*Data_NFI_t[[#This Row],[Adult Clothes]],0)</f>
        <v>0</v>
      </c>
      <c r="AO8" s="734">
        <f>IF(NFI_Expiration=1,IF($A8&lt;VLOOKUP(W$5,NFI,5,0),1,0)*Data_NFI_t[[#This Row],[Children Clothes]],0)</f>
        <v>0</v>
      </c>
      <c r="AP8" s="734">
        <f>IF(NFI_Expiration=1,IF($A8&lt;VLOOKUP(X$5,NFI,5,0),1,0)*Data_NFI_t[[#This Row],[Sewing Kit]],0)</f>
        <v>0</v>
      </c>
      <c r="AQ8" s="734">
        <f>IF(NFI_Expiration=1,IF($A8&lt;VLOOKUP(X$5,NFI,5,0),1,0)*Data_NFI_t[[#This Row],[Solar Lantern]],0)</f>
        <v>0</v>
      </c>
      <c r="AR8" s="105" t="str">
        <f ca="1">IFERROR(OFFSET(Camp_List[P_Code],MATCH(Data_NFI_t[[#This Row],[Camp Name]],Camp_List[Camp Name],0)-1,0,1,1),"")</f>
        <v>MMR012CMP048</v>
      </c>
      <c r="AS8" s="421" t="str">
        <f ca="1">IFERROR(OFFSET(Camp_List[Status],MATCH(Data_NFI_t[[#This Row],[Camp Name]],Camp_List[Camp Name],0)-1,0,1,1),"")</f>
        <v>Open</v>
      </c>
      <c r="AT8" s="105"/>
      <c r="AW8" s="772"/>
    </row>
    <row r="9" spans="1:71" s="770" customFormat="1" ht="17.25" customHeight="1" x14ac:dyDescent="0.25">
      <c r="A9" s="1065">
        <f t="shared" si="0"/>
        <v>0.46666666666666667</v>
      </c>
      <c r="B9" s="1066">
        <f>YEAR(Data_NFI_t[[#This Row],[Distribution Date]])</f>
        <v>2018</v>
      </c>
      <c r="C9" s="1067">
        <v>43176</v>
      </c>
      <c r="D9" s="1064" t="s">
        <v>1130</v>
      </c>
      <c r="E9" s="1064" t="s">
        <v>1130</v>
      </c>
      <c r="F9" s="1064" t="s">
        <v>7</v>
      </c>
      <c r="G9" s="1068" t="s">
        <v>17</v>
      </c>
      <c r="H9" s="1068" t="s">
        <v>580</v>
      </c>
      <c r="I9" s="739"/>
      <c r="J9" s="1069">
        <v>656</v>
      </c>
      <c r="K9" s="1069">
        <v>3608</v>
      </c>
      <c r="L9" s="740">
        <v>656</v>
      </c>
      <c r="M9" s="740"/>
      <c r="N9" s="741"/>
      <c r="O9" s="741"/>
      <c r="P9" s="741"/>
      <c r="Q9" s="741"/>
      <c r="R9" s="741"/>
      <c r="S9" s="741"/>
      <c r="T9" s="742"/>
      <c r="U9" s="741"/>
      <c r="V9" s="955"/>
      <c r="W9" s="955"/>
      <c r="X9" s="741"/>
      <c r="Y9" s="741"/>
      <c r="Z9" s="741"/>
      <c r="AA9" s="741"/>
      <c r="AB9" s="741"/>
      <c r="AC9" s="734">
        <f>IF(NFI_Expiration=1,IF($A9&lt;VLOOKUP(I$5,NFI,5,0),1,0)*Data_NFI_t[[#This Row],[Hygiene Kit]],0)</f>
        <v>0</v>
      </c>
      <c r="AD9" s="734">
        <f>IF(NFI_Expiration=1,IF($A9&lt;VLOOKUP(L$5,NFI,5,0),1,0)*Data_NFI_t[[#This Row],[NFI Core Kit]],0)</f>
        <v>656</v>
      </c>
      <c r="AE9" s="735">
        <f>IF(NFI_Expiration=1,IF($A9&lt;VLOOKUP(M$5,NFI,5,0),1,0)*Data_NFI_t[[#This Row],[Sanitary Kit]],0)</f>
        <v>0</v>
      </c>
      <c r="AF9" s="735">
        <f>IF(NFI_Expiration=1,IF($A9&lt;VLOOKUP(N$5,NFI,5,0),1,0)*Data_NFI_t[[#This Row],[Mosquito net]],0)</f>
        <v>0</v>
      </c>
      <c r="AG9" s="735">
        <f>IF(NFI_Expiration=1,IF($A9&lt;VLOOKUP(O$5,NFI,5,0),1,0)*Data_NFI_t[[#This Row],[Tarpaulin]],0)</f>
        <v>0</v>
      </c>
      <c r="AH9" s="735">
        <f>IF(NFI_Expiration=1,IF($A9&lt;VLOOKUP(P$5,NFI,5,0),1,0)*Data_NFI_t[[#This Row],[Blanket]],0)</f>
        <v>0</v>
      </c>
      <c r="AI9" s="735">
        <f>IF(NFI_Expiration=1,IF($A9&lt;VLOOKUP(Q$5,NFI,5,0),1,0)*Data_NFI_t[[#This Row],[Kitchen Set]],0)</f>
        <v>0</v>
      </c>
      <c r="AJ9" s="735">
        <f>IF(NFI_Expiration=1,IF($A9&lt;VLOOKUP(R$5,NFI,5,0),1,0)*Data_NFI_t[[#This Row],[Complementary Kit]],0)</f>
        <v>0</v>
      </c>
      <c r="AK9" s="735">
        <f>IF(NFI_Expiration=1,IF($A9&lt;VLOOKUP(S$5,NFI,5,0),1,0)*Data_NFI_t[[#This Row],[Plastic Bucket]],0)</f>
        <v>0</v>
      </c>
      <c r="AL9" s="734">
        <f>IF(NFI_Expiration=1,IF($A9&lt;VLOOKUP(T$5,NFI,5,0),1,0)*Data_NFI_t[[#This Row],[Jerry Can]],0)</f>
        <v>0</v>
      </c>
      <c r="AM9" s="734">
        <f>IF(NFI_Expiration=1,IF($A9&lt;VLOOKUP(U$5,NFI,5,0),1,0)*Data_NFI_t[[#This Row],[Plastic Mat]],0)*IF(Data_NFI_t[[#This Row],[Distribution Date]]&gt;"01-06-2015",1,2.5)</f>
        <v>0</v>
      </c>
      <c r="AN9" s="734">
        <f>IF(NFI_Expiration=1,IF($A9&lt;VLOOKUP(V$5,NFI,5,0),1,0)*Data_NFI_t[[#This Row],[Adult Clothes]],0)</f>
        <v>0</v>
      </c>
      <c r="AO9" s="734">
        <f>IF(NFI_Expiration=1,IF($A9&lt;VLOOKUP(W$5,NFI,5,0),1,0)*Data_NFI_t[[#This Row],[Children Clothes]],0)</f>
        <v>0</v>
      </c>
      <c r="AP9" s="734">
        <f>IF(NFI_Expiration=1,IF($A9&lt;VLOOKUP(X$5,NFI,5,0),1,0)*Data_NFI_t[[#This Row],[Sewing Kit]],0)</f>
        <v>0</v>
      </c>
      <c r="AQ9" s="734">
        <f>IF(NFI_Expiration=1,IF($A9&lt;VLOOKUP(X$5,NFI,5,0),1,0)*Data_NFI_t[[#This Row],[Solar Lantern]],0)</f>
        <v>0</v>
      </c>
      <c r="AR9" s="105" t="str">
        <f ca="1">IFERROR(OFFSET(Camp_List[P_Code],MATCH(Data_NFI_t[[#This Row],[Camp Name]],Camp_List[Camp Name],0)-1,0,1,1),"")</f>
        <v>MMR012CMP092</v>
      </c>
      <c r="AS9" s="421" t="str">
        <f ca="1">IFERROR(OFFSET(Camp_List[Status],MATCH(Data_NFI_t[[#This Row],[Camp Name]],Camp_List[Camp Name],0)-1,0,1,1),"")</f>
        <v>Open</v>
      </c>
      <c r="AT9" s="105"/>
      <c r="AW9" s="772"/>
    </row>
    <row r="10" spans="1:71" s="770" customFormat="1" ht="17.25" customHeight="1" x14ac:dyDescent="0.25">
      <c r="A10" s="1065">
        <f t="shared" si="0"/>
        <v>0.83333333333333337</v>
      </c>
      <c r="B10" s="1066">
        <f>YEAR(Data_NFI_t[[#This Row],[Distribution Date]])</f>
        <v>2018</v>
      </c>
      <c r="C10" s="1067">
        <v>43165</v>
      </c>
      <c r="D10" s="1064" t="s">
        <v>1044</v>
      </c>
      <c r="E10" s="1064" t="s">
        <v>1044</v>
      </c>
      <c r="F10" s="1064" t="s">
        <v>7</v>
      </c>
      <c r="G10" s="1068" t="s">
        <v>13</v>
      </c>
      <c r="H10" s="1068" t="s">
        <v>41</v>
      </c>
      <c r="I10" s="739"/>
      <c r="J10" s="1069">
        <v>720</v>
      </c>
      <c r="K10" s="1069">
        <v>2810</v>
      </c>
      <c r="L10" s="740">
        <v>1440</v>
      </c>
      <c r="M10" s="740"/>
      <c r="N10" s="741"/>
      <c r="O10" s="741"/>
      <c r="P10" s="741"/>
      <c r="Q10" s="741"/>
      <c r="R10" s="741"/>
      <c r="S10" s="741"/>
      <c r="T10" s="742"/>
      <c r="U10" s="741"/>
      <c r="V10" s="955"/>
      <c r="W10" s="955"/>
      <c r="X10" s="741"/>
      <c r="Y10" s="741"/>
      <c r="Z10" s="741"/>
      <c r="AA10" s="741"/>
      <c r="AB10" s="741"/>
      <c r="AC10" s="734">
        <f>IF(NFI_Expiration=1,IF($A10&lt;VLOOKUP(I$5,NFI,5,0),1,0)*Data_NFI_t[[#This Row],[Hygiene Kit]],0)</f>
        <v>0</v>
      </c>
      <c r="AD10" s="734">
        <f>IF(NFI_Expiration=1,IF($A10&lt;VLOOKUP(L$5,NFI,5,0),1,0)*Data_NFI_t[[#This Row],[NFI Core Kit]],0)</f>
        <v>1440</v>
      </c>
      <c r="AE10" s="735">
        <f>IF(NFI_Expiration=1,IF($A10&lt;VLOOKUP(M$5,NFI,5,0),1,0)*Data_NFI_t[[#This Row],[Sanitary Kit]],0)</f>
        <v>0</v>
      </c>
      <c r="AF10" s="735">
        <f>IF(NFI_Expiration=1,IF($A10&lt;VLOOKUP(N$5,NFI,5,0),1,0)*Data_NFI_t[[#This Row],[Mosquito net]],0)</f>
        <v>0</v>
      </c>
      <c r="AG10" s="735">
        <f>IF(NFI_Expiration=1,IF($A10&lt;VLOOKUP(O$5,NFI,5,0),1,0)*Data_NFI_t[[#This Row],[Tarpaulin]],0)</f>
        <v>0</v>
      </c>
      <c r="AH10" s="735">
        <f>IF(NFI_Expiration=1,IF($A10&lt;VLOOKUP(P$5,NFI,5,0),1,0)*Data_NFI_t[[#This Row],[Blanket]],0)</f>
        <v>0</v>
      </c>
      <c r="AI10" s="735">
        <f>IF(NFI_Expiration=1,IF($A10&lt;VLOOKUP(Q$5,NFI,5,0),1,0)*Data_NFI_t[[#This Row],[Kitchen Set]],0)</f>
        <v>0</v>
      </c>
      <c r="AJ10" s="735">
        <f>IF(NFI_Expiration=1,IF($A10&lt;VLOOKUP(R$5,NFI,5,0),1,0)*Data_NFI_t[[#This Row],[Complementary Kit]],0)</f>
        <v>0</v>
      </c>
      <c r="AK10" s="735">
        <f>IF(NFI_Expiration=1,IF($A10&lt;VLOOKUP(S$5,NFI,5,0),1,0)*Data_NFI_t[[#This Row],[Plastic Bucket]],0)</f>
        <v>0</v>
      </c>
      <c r="AL10" s="734">
        <f>IF(NFI_Expiration=1,IF($A10&lt;VLOOKUP(T$5,NFI,5,0),1,0)*Data_NFI_t[[#This Row],[Jerry Can]],0)</f>
        <v>0</v>
      </c>
      <c r="AM10" s="734">
        <f>IF(NFI_Expiration=1,IF($A10&lt;VLOOKUP(U$5,NFI,5,0),1,0)*Data_NFI_t[[#This Row],[Plastic Mat]],0)*IF(Data_NFI_t[[#This Row],[Distribution Date]]&gt;"01-06-2015",1,2.5)</f>
        <v>0</v>
      </c>
      <c r="AN10" s="734">
        <f>IF(NFI_Expiration=1,IF($A10&lt;VLOOKUP(V$5,NFI,5,0),1,0)*Data_NFI_t[[#This Row],[Adult Clothes]],0)</f>
        <v>0</v>
      </c>
      <c r="AO10" s="734">
        <f>IF(NFI_Expiration=1,IF($A10&lt;VLOOKUP(W$5,NFI,5,0),1,0)*Data_NFI_t[[#This Row],[Children Clothes]],0)</f>
        <v>0</v>
      </c>
      <c r="AP10" s="734">
        <f>IF(NFI_Expiration=1,IF($A10&lt;VLOOKUP(X$5,NFI,5,0),1,0)*Data_NFI_t[[#This Row],[Sewing Kit]],0)</f>
        <v>0</v>
      </c>
      <c r="AQ10" s="734">
        <f>IF(NFI_Expiration=1,IF($A10&lt;VLOOKUP(X$5,NFI,5,0),1,0)*Data_NFI_t[[#This Row],[Solar Lantern]],0)</f>
        <v>0</v>
      </c>
      <c r="AR10" s="105" t="str">
        <f ca="1">IFERROR(OFFSET(Camp_List[P_Code],MATCH(Data_NFI_t[[#This Row],[Camp Name]],Camp_List[Camp Name],0)-1,0,1,1),"")</f>
        <v>MMR012CMP019</v>
      </c>
      <c r="AS10" s="421" t="str">
        <f ca="1">IFERROR(OFFSET(Camp_List[Status],MATCH(Data_NFI_t[[#This Row],[Camp Name]],Camp_List[Camp Name],0)-1,0,1,1),"")</f>
        <v>Open</v>
      </c>
      <c r="AT10" s="105"/>
      <c r="AW10" s="772"/>
    </row>
    <row r="11" spans="1:71" s="770" customFormat="1" ht="19.5" customHeight="1" x14ac:dyDescent="0.25">
      <c r="A11" s="736">
        <f t="shared" si="0"/>
        <v>1.3</v>
      </c>
      <c r="B11" s="737">
        <f>YEAR(Data_NFI_t[[#This Row],[Distribution Date]])</f>
        <v>2018</v>
      </c>
      <c r="C11" s="1021">
        <v>43151</v>
      </c>
      <c r="D11" s="733" t="s">
        <v>1130</v>
      </c>
      <c r="E11" s="733" t="s">
        <v>1130</v>
      </c>
      <c r="F11" s="733" t="s">
        <v>7</v>
      </c>
      <c r="G11" s="738" t="s">
        <v>17</v>
      </c>
      <c r="H11" s="738" t="s">
        <v>68</v>
      </c>
      <c r="I11" s="739"/>
      <c r="J11" s="954">
        <v>1312</v>
      </c>
      <c r="K11" s="954">
        <v>5856</v>
      </c>
      <c r="L11" s="740">
        <v>1312</v>
      </c>
      <c r="M11" s="740"/>
      <c r="N11" s="741"/>
      <c r="O11" s="741"/>
      <c r="P11" s="741"/>
      <c r="Q11" s="741"/>
      <c r="R11" s="741"/>
      <c r="S11" s="741"/>
      <c r="T11" s="742"/>
      <c r="U11" s="741"/>
      <c r="V11" s="955"/>
      <c r="W11" s="955"/>
      <c r="X11" s="741"/>
      <c r="Y11" s="741"/>
      <c r="Z11" s="741"/>
      <c r="AA11" s="741"/>
      <c r="AB11" s="741"/>
      <c r="AC11" s="778">
        <f>IF(NFI_Expiration=1,IF($A11&lt;VLOOKUP(I$5,NFI,5,0),1,0)*Data_NFI_t[[#This Row],[Hygiene Kit]],0)</f>
        <v>0</v>
      </c>
      <c r="AD11" s="778">
        <f>IF(NFI_Expiration=1,IF($A11&lt;VLOOKUP(L$5,NFI,5,0),1,0)*Data_NFI_t[[#This Row],[NFI Core Kit]],0)</f>
        <v>1312</v>
      </c>
      <c r="AE11" s="740">
        <f>IF(NFI_Expiration=1,IF($A11&lt;VLOOKUP(M$5,NFI,5,0),1,0)*Data_NFI_t[[#This Row],[Sanitary Kit]],0)</f>
        <v>0</v>
      </c>
      <c r="AF11" s="740">
        <f>IF(NFI_Expiration=1,IF($A11&lt;VLOOKUP(N$5,NFI,5,0),1,0)*Data_NFI_t[[#This Row],[Mosquito net]],0)</f>
        <v>0</v>
      </c>
      <c r="AG11" s="740">
        <f>IF(NFI_Expiration=1,IF($A11&lt;VLOOKUP(O$5,NFI,5,0),1,0)*Data_NFI_t[[#This Row],[Tarpaulin]],0)</f>
        <v>0</v>
      </c>
      <c r="AH11" s="740">
        <f>IF(NFI_Expiration=1,IF($A11&lt;VLOOKUP(P$5,NFI,5,0),1,0)*Data_NFI_t[[#This Row],[Blanket]],0)</f>
        <v>0</v>
      </c>
      <c r="AI11" s="740">
        <f>IF(NFI_Expiration=1,IF($A11&lt;VLOOKUP(Q$5,NFI,5,0),1,0)*Data_NFI_t[[#This Row],[Kitchen Set]],0)</f>
        <v>0</v>
      </c>
      <c r="AJ11" s="740">
        <f>IF(NFI_Expiration=1,IF($A11&lt;VLOOKUP(R$5,NFI,5,0),1,0)*Data_NFI_t[[#This Row],[Complementary Kit]],0)</f>
        <v>0</v>
      </c>
      <c r="AK11" s="740">
        <f>IF(NFI_Expiration=1,IF($A11&lt;VLOOKUP(S$5,NFI,5,0),1,0)*Data_NFI_t[[#This Row],[Plastic Bucket]],0)</f>
        <v>0</v>
      </c>
      <c r="AL11" s="778">
        <f>IF(NFI_Expiration=1,IF($A11&lt;VLOOKUP(T$5,NFI,5,0),1,0)*Data_NFI_t[[#This Row],[Jerry Can]],0)</f>
        <v>0</v>
      </c>
      <c r="AM11" s="778">
        <f>IF(NFI_Expiration=1,IF($A11&lt;VLOOKUP(U$5,NFI,5,0),1,0)*Data_NFI_t[[#This Row],[Plastic Mat]],0)*IF(Data_NFI_t[[#This Row],[Distribution Date]]&gt;"01-06-2015",1,2.5)</f>
        <v>0</v>
      </c>
      <c r="AN11" s="778">
        <f>IF(NFI_Expiration=1,IF($A11&lt;VLOOKUP(V$5,NFI,5,0),1,0)*Data_NFI_t[[#This Row],[Adult Clothes]],0)</f>
        <v>0</v>
      </c>
      <c r="AO11" s="778">
        <f>IF(NFI_Expiration=1,IF($A11&lt;VLOOKUP(W$5,NFI,5,0),1,0)*Data_NFI_t[[#This Row],[Children Clothes]],0)</f>
        <v>0</v>
      </c>
      <c r="AP11" s="778">
        <f>IF(NFI_Expiration=1,IF($A11&lt;VLOOKUP(X$5,NFI,5,0),1,0)*Data_NFI_t[[#This Row],[Sewing Kit]],0)</f>
        <v>0</v>
      </c>
      <c r="AQ11" s="778">
        <f>IF(NFI_Expiration=1,IF($A11&lt;VLOOKUP(X$5,NFI,5,0),1,0)*Data_NFI_t[[#This Row],[Solar Lantern]],0)</f>
        <v>0</v>
      </c>
      <c r="AR11" s="779" t="str">
        <f ca="1">IFERROR(OFFSET(Camp_List[P_Code],MATCH(Data_NFI_t[[#This Row],[Camp Name]],Camp_List[Camp Name],0)-1,0,1,1),"")</f>
        <v>MMR012CMP048</v>
      </c>
      <c r="AS11" s="780" t="str">
        <f ca="1">IFERROR(OFFSET(Camp_List[Status],MATCH(Data_NFI_t[[#This Row],[Camp Name]],Camp_List[Camp Name],0)-1,0,1,1),"")</f>
        <v>Open</v>
      </c>
      <c r="AT11" s="779"/>
      <c r="AW11" s="772"/>
    </row>
    <row r="12" spans="1:71" s="770" customFormat="1" ht="19.5" customHeight="1" x14ac:dyDescent="0.25">
      <c r="A12" s="736">
        <f t="shared" si="0"/>
        <v>1.3333333333333333</v>
      </c>
      <c r="B12" s="737">
        <f>YEAR(Data_NFI_t[[#This Row],[Distribution Date]])</f>
        <v>2018</v>
      </c>
      <c r="C12" s="1021">
        <v>43150</v>
      </c>
      <c r="D12" s="733" t="s">
        <v>1130</v>
      </c>
      <c r="E12" s="733" t="s">
        <v>1130</v>
      </c>
      <c r="F12" s="733" t="s">
        <v>7</v>
      </c>
      <c r="G12" s="738" t="s">
        <v>17</v>
      </c>
      <c r="H12" s="738" t="s">
        <v>580</v>
      </c>
      <c r="I12" s="739"/>
      <c r="J12" s="954">
        <v>656</v>
      </c>
      <c r="K12" s="954">
        <v>3441</v>
      </c>
      <c r="L12" s="740">
        <v>656</v>
      </c>
      <c r="M12" s="740"/>
      <c r="N12" s="741"/>
      <c r="O12" s="741"/>
      <c r="P12" s="741"/>
      <c r="Q12" s="741"/>
      <c r="R12" s="741"/>
      <c r="S12" s="741"/>
      <c r="T12" s="742"/>
      <c r="U12" s="741"/>
      <c r="V12" s="955"/>
      <c r="W12" s="955"/>
      <c r="X12" s="741"/>
      <c r="Y12" s="741"/>
      <c r="Z12" s="741"/>
      <c r="AA12" s="741"/>
      <c r="AB12" s="741"/>
      <c r="AC12" s="778">
        <f>IF(NFI_Expiration=1,IF($A12&lt;VLOOKUP(I$5,NFI,5,0),1,0)*Data_NFI_t[[#This Row],[Hygiene Kit]],0)</f>
        <v>0</v>
      </c>
      <c r="AD12" s="778">
        <f>IF(NFI_Expiration=1,IF($A12&lt;VLOOKUP(L$5,NFI,5,0),1,0)*Data_NFI_t[[#This Row],[NFI Core Kit]],0)</f>
        <v>656</v>
      </c>
      <c r="AE12" s="740">
        <f>IF(NFI_Expiration=1,IF($A12&lt;VLOOKUP(M$5,NFI,5,0),1,0)*Data_NFI_t[[#This Row],[Sanitary Kit]],0)</f>
        <v>0</v>
      </c>
      <c r="AF12" s="740">
        <f>IF(NFI_Expiration=1,IF($A12&lt;VLOOKUP(N$5,NFI,5,0),1,0)*Data_NFI_t[[#This Row],[Mosquito net]],0)</f>
        <v>0</v>
      </c>
      <c r="AG12" s="740">
        <f>IF(NFI_Expiration=1,IF($A12&lt;VLOOKUP(O$5,NFI,5,0),1,0)*Data_NFI_t[[#This Row],[Tarpaulin]],0)</f>
        <v>0</v>
      </c>
      <c r="AH12" s="740">
        <f>IF(NFI_Expiration=1,IF($A12&lt;VLOOKUP(P$5,NFI,5,0),1,0)*Data_NFI_t[[#This Row],[Blanket]],0)</f>
        <v>0</v>
      </c>
      <c r="AI12" s="740">
        <f>IF(NFI_Expiration=1,IF($A12&lt;VLOOKUP(Q$5,NFI,5,0),1,0)*Data_NFI_t[[#This Row],[Kitchen Set]],0)</f>
        <v>0</v>
      </c>
      <c r="AJ12" s="740">
        <f>IF(NFI_Expiration=1,IF($A12&lt;VLOOKUP(R$5,NFI,5,0),1,0)*Data_NFI_t[[#This Row],[Complementary Kit]],0)</f>
        <v>0</v>
      </c>
      <c r="AK12" s="740">
        <f>IF(NFI_Expiration=1,IF($A12&lt;VLOOKUP(S$5,NFI,5,0),1,0)*Data_NFI_t[[#This Row],[Plastic Bucket]],0)</f>
        <v>0</v>
      </c>
      <c r="AL12" s="778">
        <f>IF(NFI_Expiration=1,IF($A12&lt;VLOOKUP(T$5,NFI,5,0),1,0)*Data_NFI_t[[#This Row],[Jerry Can]],0)</f>
        <v>0</v>
      </c>
      <c r="AM12" s="778">
        <f>IF(NFI_Expiration=1,IF($A12&lt;VLOOKUP(U$5,NFI,5,0),1,0)*Data_NFI_t[[#This Row],[Plastic Mat]],0)*IF(Data_NFI_t[[#This Row],[Distribution Date]]&gt;"01-06-2015",1,2.5)</f>
        <v>0</v>
      </c>
      <c r="AN12" s="778">
        <f>IF(NFI_Expiration=1,IF($A12&lt;VLOOKUP(V$5,NFI,5,0),1,0)*Data_NFI_t[[#This Row],[Adult Clothes]],0)</f>
        <v>0</v>
      </c>
      <c r="AO12" s="778">
        <f>IF(NFI_Expiration=1,IF($A12&lt;VLOOKUP(W$5,NFI,5,0),1,0)*Data_NFI_t[[#This Row],[Children Clothes]],0)</f>
        <v>0</v>
      </c>
      <c r="AP12" s="778">
        <f>IF(NFI_Expiration=1,IF($A12&lt;VLOOKUP(X$5,NFI,5,0),1,0)*Data_NFI_t[[#This Row],[Sewing Kit]],0)</f>
        <v>0</v>
      </c>
      <c r="AQ12" s="778">
        <f>IF(NFI_Expiration=1,IF($A12&lt;VLOOKUP(X$5,NFI,5,0),1,0)*Data_NFI_t[[#This Row],[Solar Lantern]],0)</f>
        <v>0</v>
      </c>
      <c r="AR12" s="779" t="str">
        <f ca="1">IFERROR(OFFSET(Camp_List[P_Code],MATCH(Data_NFI_t[[#This Row],[Camp Name]],Camp_List[Camp Name],0)-1,0,1,1),"")</f>
        <v>MMR012CMP092</v>
      </c>
      <c r="AS12" s="780" t="str">
        <f ca="1">IFERROR(OFFSET(Camp_List[Status],MATCH(Data_NFI_t[[#This Row],[Camp Name]],Camp_List[Camp Name],0)-1,0,1,1),"")</f>
        <v>Open</v>
      </c>
      <c r="AT12" s="779"/>
      <c r="AW12" s="772"/>
    </row>
    <row r="13" spans="1:71" s="770" customFormat="1" ht="19.5" customHeight="1" x14ac:dyDescent="0.25">
      <c r="A13" s="736">
        <f t="shared" si="0"/>
        <v>1.3333333333333333</v>
      </c>
      <c r="B13" s="737">
        <f>YEAR(Data_NFI_t[[#This Row],[Distribution Date]])</f>
        <v>2018</v>
      </c>
      <c r="C13" s="1021">
        <v>43150</v>
      </c>
      <c r="D13" s="733" t="s">
        <v>1130</v>
      </c>
      <c r="E13" s="733" t="s">
        <v>1130</v>
      </c>
      <c r="F13" s="733" t="s">
        <v>7</v>
      </c>
      <c r="G13" s="738" t="s">
        <v>17</v>
      </c>
      <c r="H13" s="738" t="s">
        <v>65</v>
      </c>
      <c r="I13" s="739"/>
      <c r="J13" s="954">
        <v>2280</v>
      </c>
      <c r="K13" s="954">
        <v>13743</v>
      </c>
      <c r="L13" s="740">
        <v>2280</v>
      </c>
      <c r="M13" s="740"/>
      <c r="N13" s="741"/>
      <c r="O13" s="741"/>
      <c r="P13" s="741"/>
      <c r="Q13" s="741"/>
      <c r="R13" s="741"/>
      <c r="S13" s="741"/>
      <c r="T13" s="742"/>
      <c r="U13" s="741"/>
      <c r="V13" s="955"/>
      <c r="W13" s="955"/>
      <c r="X13" s="741"/>
      <c r="Y13" s="741"/>
      <c r="Z13" s="741"/>
      <c r="AA13" s="741"/>
      <c r="AB13" s="741"/>
      <c r="AC13" s="778">
        <f>IF(NFI_Expiration=1,IF($A13&lt;VLOOKUP(I$5,NFI,5,0),1,0)*Data_NFI_t[[#This Row],[Hygiene Kit]],0)</f>
        <v>0</v>
      </c>
      <c r="AD13" s="778">
        <f>IF(NFI_Expiration=1,IF($A13&lt;VLOOKUP(L$5,NFI,5,0),1,0)*Data_NFI_t[[#This Row],[NFI Core Kit]],0)</f>
        <v>2280</v>
      </c>
      <c r="AE13" s="740">
        <f>IF(NFI_Expiration=1,IF($A13&lt;VLOOKUP(M$5,NFI,5,0),1,0)*Data_NFI_t[[#This Row],[Sanitary Kit]],0)</f>
        <v>0</v>
      </c>
      <c r="AF13" s="740">
        <f>IF(NFI_Expiration=1,IF($A13&lt;VLOOKUP(N$5,NFI,5,0),1,0)*Data_NFI_t[[#This Row],[Mosquito net]],0)</f>
        <v>0</v>
      </c>
      <c r="AG13" s="740">
        <f>IF(NFI_Expiration=1,IF($A13&lt;VLOOKUP(O$5,NFI,5,0),1,0)*Data_NFI_t[[#This Row],[Tarpaulin]],0)</f>
        <v>0</v>
      </c>
      <c r="AH13" s="740">
        <f>IF(NFI_Expiration=1,IF($A13&lt;VLOOKUP(P$5,NFI,5,0),1,0)*Data_NFI_t[[#This Row],[Blanket]],0)</f>
        <v>0</v>
      </c>
      <c r="AI13" s="740">
        <f>IF(NFI_Expiration=1,IF($A13&lt;VLOOKUP(Q$5,NFI,5,0),1,0)*Data_NFI_t[[#This Row],[Kitchen Set]],0)</f>
        <v>0</v>
      </c>
      <c r="AJ13" s="740">
        <f>IF(NFI_Expiration=1,IF($A13&lt;VLOOKUP(R$5,NFI,5,0),1,0)*Data_NFI_t[[#This Row],[Complementary Kit]],0)</f>
        <v>0</v>
      </c>
      <c r="AK13" s="740">
        <f>IF(NFI_Expiration=1,IF($A13&lt;VLOOKUP(S$5,NFI,5,0),1,0)*Data_NFI_t[[#This Row],[Plastic Bucket]],0)</f>
        <v>0</v>
      </c>
      <c r="AL13" s="778">
        <f>IF(NFI_Expiration=1,IF($A13&lt;VLOOKUP(T$5,NFI,5,0),1,0)*Data_NFI_t[[#This Row],[Jerry Can]],0)</f>
        <v>0</v>
      </c>
      <c r="AM13" s="778">
        <f>IF(NFI_Expiration=1,IF($A13&lt;VLOOKUP(U$5,NFI,5,0),1,0)*Data_NFI_t[[#This Row],[Plastic Mat]],0)*IF(Data_NFI_t[[#This Row],[Distribution Date]]&gt;"01-06-2015",1,2.5)</f>
        <v>0</v>
      </c>
      <c r="AN13" s="778">
        <f>IF(NFI_Expiration=1,IF($A13&lt;VLOOKUP(V$5,NFI,5,0),1,0)*Data_NFI_t[[#This Row],[Adult Clothes]],0)</f>
        <v>0</v>
      </c>
      <c r="AO13" s="778">
        <f>IF(NFI_Expiration=1,IF($A13&lt;VLOOKUP(W$5,NFI,5,0),1,0)*Data_NFI_t[[#This Row],[Children Clothes]],0)</f>
        <v>0</v>
      </c>
      <c r="AP13" s="778">
        <f>IF(NFI_Expiration=1,IF($A13&lt;VLOOKUP(X$5,NFI,5,0),1,0)*Data_NFI_t[[#This Row],[Sewing Kit]],0)</f>
        <v>0</v>
      </c>
      <c r="AQ13" s="778">
        <f>IF(NFI_Expiration=1,IF($A13&lt;VLOOKUP(X$5,NFI,5,0),1,0)*Data_NFI_t[[#This Row],[Solar Lantern]],0)</f>
        <v>0</v>
      </c>
      <c r="AR13" s="779" t="str">
        <f ca="1">IFERROR(OFFSET(Camp_List[P_Code],MATCH(Data_NFI_t[[#This Row],[Camp Name]],Camp_List[Camp Name],0)-1,0,1,1),"")</f>
        <v>MMR012CMP045</v>
      </c>
      <c r="AS13" s="780" t="str">
        <f ca="1">IFERROR(OFFSET(Camp_List[Status],MATCH(Data_NFI_t[[#This Row],[Camp Name]],Camp_List[Camp Name],0)-1,0,1,1),"")</f>
        <v>Open</v>
      </c>
      <c r="AT13" s="779"/>
      <c r="AW13" s="772"/>
    </row>
    <row r="14" spans="1:71" s="770" customFormat="1" ht="19.5" customHeight="1" x14ac:dyDescent="0.25">
      <c r="A14" s="736">
        <f t="shared" si="0"/>
        <v>1.4333333333333333</v>
      </c>
      <c r="B14" s="737">
        <f>YEAR(Data_NFI_t[[#This Row],[Distribution Date]])</f>
        <v>2018</v>
      </c>
      <c r="C14" s="1021">
        <v>43147</v>
      </c>
      <c r="D14" s="733" t="s">
        <v>1130</v>
      </c>
      <c r="E14" s="733" t="s">
        <v>1130</v>
      </c>
      <c r="F14" s="733" t="s">
        <v>7</v>
      </c>
      <c r="G14" s="738" t="s">
        <v>17</v>
      </c>
      <c r="H14" s="738" t="s">
        <v>586</v>
      </c>
      <c r="I14" s="739"/>
      <c r="J14" s="954">
        <v>2728</v>
      </c>
      <c r="K14" s="954">
        <v>13794</v>
      </c>
      <c r="L14" s="740">
        <v>2728</v>
      </c>
      <c r="M14" s="740"/>
      <c r="N14" s="741"/>
      <c r="O14" s="741"/>
      <c r="P14" s="741"/>
      <c r="Q14" s="741"/>
      <c r="R14" s="741"/>
      <c r="S14" s="741"/>
      <c r="T14" s="742"/>
      <c r="U14" s="741"/>
      <c r="V14" s="955"/>
      <c r="W14" s="955"/>
      <c r="X14" s="741"/>
      <c r="Y14" s="741"/>
      <c r="Z14" s="741"/>
      <c r="AA14" s="741"/>
      <c r="AB14" s="741"/>
      <c r="AC14" s="778">
        <f>IF(NFI_Expiration=1,IF($A14&lt;VLOOKUP(I$5,NFI,5,0),1,0)*Data_NFI_t[[#This Row],[Hygiene Kit]],0)</f>
        <v>0</v>
      </c>
      <c r="AD14" s="778">
        <f>IF(NFI_Expiration=1,IF($A14&lt;VLOOKUP(L$5,NFI,5,0),1,0)*Data_NFI_t[[#This Row],[NFI Core Kit]],0)</f>
        <v>2728</v>
      </c>
      <c r="AE14" s="740">
        <f>IF(NFI_Expiration=1,IF($A14&lt;VLOOKUP(M$5,NFI,5,0),1,0)*Data_NFI_t[[#This Row],[Sanitary Kit]],0)</f>
        <v>0</v>
      </c>
      <c r="AF14" s="740">
        <f>IF(NFI_Expiration=1,IF($A14&lt;VLOOKUP(N$5,NFI,5,0),1,0)*Data_NFI_t[[#This Row],[Mosquito net]],0)</f>
        <v>0</v>
      </c>
      <c r="AG14" s="740">
        <f>IF(NFI_Expiration=1,IF($A14&lt;VLOOKUP(O$5,NFI,5,0),1,0)*Data_NFI_t[[#This Row],[Tarpaulin]],0)</f>
        <v>0</v>
      </c>
      <c r="AH14" s="740">
        <f>IF(NFI_Expiration=1,IF($A14&lt;VLOOKUP(P$5,NFI,5,0),1,0)*Data_NFI_t[[#This Row],[Blanket]],0)</f>
        <v>0</v>
      </c>
      <c r="AI14" s="740">
        <f>IF(NFI_Expiration=1,IF($A14&lt;VLOOKUP(Q$5,NFI,5,0),1,0)*Data_NFI_t[[#This Row],[Kitchen Set]],0)</f>
        <v>0</v>
      </c>
      <c r="AJ14" s="740">
        <f>IF(NFI_Expiration=1,IF($A14&lt;VLOOKUP(R$5,NFI,5,0),1,0)*Data_NFI_t[[#This Row],[Complementary Kit]],0)</f>
        <v>0</v>
      </c>
      <c r="AK14" s="740">
        <f>IF(NFI_Expiration=1,IF($A14&lt;VLOOKUP(S$5,NFI,5,0),1,0)*Data_NFI_t[[#This Row],[Plastic Bucket]],0)</f>
        <v>0</v>
      </c>
      <c r="AL14" s="778">
        <f>IF(NFI_Expiration=1,IF($A14&lt;VLOOKUP(T$5,NFI,5,0),1,0)*Data_NFI_t[[#This Row],[Jerry Can]],0)</f>
        <v>0</v>
      </c>
      <c r="AM14" s="778">
        <f>IF(NFI_Expiration=1,IF($A14&lt;VLOOKUP(U$5,NFI,5,0),1,0)*Data_NFI_t[[#This Row],[Plastic Mat]],0)*IF(Data_NFI_t[[#This Row],[Distribution Date]]&gt;"01-06-2015",1,2.5)</f>
        <v>0</v>
      </c>
      <c r="AN14" s="778">
        <f>IF(NFI_Expiration=1,IF($A14&lt;VLOOKUP(V$5,NFI,5,0),1,0)*Data_NFI_t[[#This Row],[Adult Clothes]],0)</f>
        <v>0</v>
      </c>
      <c r="AO14" s="778">
        <f>IF(NFI_Expiration=1,IF($A14&lt;VLOOKUP(W$5,NFI,5,0),1,0)*Data_NFI_t[[#This Row],[Children Clothes]],0)</f>
        <v>0</v>
      </c>
      <c r="AP14" s="778">
        <f>IF(NFI_Expiration=1,IF($A14&lt;VLOOKUP(X$5,NFI,5,0),1,0)*Data_NFI_t[[#This Row],[Sewing Kit]],0)</f>
        <v>0</v>
      </c>
      <c r="AQ14" s="778">
        <f>IF(NFI_Expiration=1,IF($A14&lt;VLOOKUP(X$5,NFI,5,0),1,0)*Data_NFI_t[[#This Row],[Solar Lantern]],0)</f>
        <v>0</v>
      </c>
      <c r="AR14" s="779" t="str">
        <f ca="1">IFERROR(OFFSET(Camp_List[P_Code],MATCH(Data_NFI_t[[#This Row],[Camp Name]],Camp_List[Camp Name],0)-1,0,1,1),"")</f>
        <v>MMR012CMP115</v>
      </c>
      <c r="AS14" s="780" t="str">
        <f ca="1">IFERROR(OFFSET(Camp_List[Status],MATCH(Data_NFI_t[[#This Row],[Camp Name]],Camp_List[Camp Name],0)-1,0,1,1),"")</f>
        <v>Open</v>
      </c>
      <c r="AT14" s="779"/>
      <c r="AW14" s="772"/>
    </row>
    <row r="15" spans="1:71" s="770" customFormat="1" ht="19.5" customHeight="1" x14ac:dyDescent="0.25">
      <c r="A15" s="736">
        <f t="shared" si="0"/>
        <v>1.9333333333333333</v>
      </c>
      <c r="B15" s="737">
        <f>YEAR(Data_NFI_t[[#This Row],[Distribution Date]])</f>
        <v>2018</v>
      </c>
      <c r="C15" s="1021">
        <v>43132</v>
      </c>
      <c r="D15" s="733" t="s">
        <v>270</v>
      </c>
      <c r="E15" s="733" t="s">
        <v>273</v>
      </c>
      <c r="F15" s="733" t="s">
        <v>7</v>
      </c>
      <c r="G15" s="738" t="s">
        <v>17</v>
      </c>
      <c r="H15" s="738" t="s">
        <v>65</v>
      </c>
      <c r="I15" s="739"/>
      <c r="J15" s="954">
        <v>37</v>
      </c>
      <c r="K15" s="954">
        <v>37</v>
      </c>
      <c r="L15" s="740"/>
      <c r="M15" s="740"/>
      <c r="N15" s="741">
        <v>37</v>
      </c>
      <c r="O15" s="741"/>
      <c r="P15" s="741">
        <v>37</v>
      </c>
      <c r="Q15" s="741">
        <v>37</v>
      </c>
      <c r="R15" s="741"/>
      <c r="S15" s="741"/>
      <c r="T15" s="742"/>
      <c r="U15" s="741">
        <v>111</v>
      </c>
      <c r="V15" s="955"/>
      <c r="W15" s="955"/>
      <c r="X15" s="741"/>
      <c r="Y15" s="741"/>
      <c r="Z15" s="741"/>
      <c r="AA15" s="741"/>
      <c r="AB15" s="741"/>
      <c r="AC15" s="734">
        <f>IF(NFI_Expiration=1,IF($A15&lt;VLOOKUP(I$5,NFI,5,0),1,0)*Data_NFI_t[[#This Row],[Hygiene Kit]],0)</f>
        <v>0</v>
      </c>
      <c r="AD15" s="734">
        <f>IF(NFI_Expiration=1,IF($A15&lt;VLOOKUP(L$5,NFI,5,0),1,0)*Data_NFI_t[[#This Row],[NFI Core Kit]],0)</f>
        <v>0</v>
      </c>
      <c r="AE15" s="735">
        <f>IF(NFI_Expiration=1,IF($A15&lt;VLOOKUP(M$5,NFI,5,0),1,0)*Data_NFI_t[[#This Row],[Sanitary Kit]],0)</f>
        <v>0</v>
      </c>
      <c r="AF15" s="735">
        <f>IF(NFI_Expiration=1,IF($A15&lt;VLOOKUP(N$5,NFI,5,0),1,0)*Data_NFI_t[[#This Row],[Mosquito net]],0)</f>
        <v>37</v>
      </c>
      <c r="AG15" s="735">
        <f>IF(NFI_Expiration=1,IF($A15&lt;VLOOKUP(O$5,NFI,5,0),1,0)*Data_NFI_t[[#This Row],[Tarpaulin]],0)</f>
        <v>0</v>
      </c>
      <c r="AH15" s="735">
        <f>IF(NFI_Expiration=1,IF($A15&lt;VLOOKUP(P$5,NFI,5,0),1,0)*Data_NFI_t[[#This Row],[Blanket]],0)</f>
        <v>37</v>
      </c>
      <c r="AI15" s="735">
        <f>IF(NFI_Expiration=1,IF($A15&lt;VLOOKUP(Q$5,NFI,5,0),1,0)*Data_NFI_t[[#This Row],[Kitchen Set]],0)</f>
        <v>37</v>
      </c>
      <c r="AJ15" s="735">
        <f>IF(NFI_Expiration=1,IF($A15&lt;VLOOKUP(R$5,NFI,5,0),1,0)*Data_NFI_t[[#This Row],[Complementary Kit]],0)</f>
        <v>0</v>
      </c>
      <c r="AK15" s="735">
        <f>IF(NFI_Expiration=1,IF($A15&lt;VLOOKUP(S$5,NFI,5,0),1,0)*Data_NFI_t[[#This Row],[Plastic Bucket]],0)</f>
        <v>0</v>
      </c>
      <c r="AL15" s="734">
        <f>IF(NFI_Expiration=1,IF($A15&lt;VLOOKUP(T$5,NFI,5,0),1,0)*Data_NFI_t[[#This Row],[Jerry Can]],0)</f>
        <v>0</v>
      </c>
      <c r="AM15" s="734">
        <f>IF(NFI_Expiration=1,IF($A15&lt;VLOOKUP(U$5,NFI,5,0),1,0)*Data_NFI_t[[#This Row],[Plastic Mat]],0)*IF(Data_NFI_t[[#This Row],[Distribution Date]]&gt;"01-06-2015",1,2.5)</f>
        <v>277.5</v>
      </c>
      <c r="AN15" s="734">
        <f>IF(NFI_Expiration=1,IF($A15&lt;VLOOKUP(V$5,NFI,5,0),1,0)*Data_NFI_t[[#This Row],[Adult Clothes]],0)</f>
        <v>0</v>
      </c>
      <c r="AO15" s="734">
        <f>IF(NFI_Expiration=1,IF($A15&lt;VLOOKUP(W$5,NFI,5,0),1,0)*Data_NFI_t[[#This Row],[Children Clothes]],0)</f>
        <v>0</v>
      </c>
      <c r="AP15" s="734">
        <f>IF(NFI_Expiration=1,IF($A15&lt;VLOOKUP(X$5,NFI,5,0),1,0)*Data_NFI_t[[#This Row],[Sewing Kit]],0)</f>
        <v>0</v>
      </c>
      <c r="AQ15" s="734">
        <f>IF(NFI_Expiration=1,IF($A15&lt;VLOOKUP(X$5,NFI,5,0),1,0)*Data_NFI_t[[#This Row],[Solar Lantern]],0)</f>
        <v>0</v>
      </c>
      <c r="AR15" s="105" t="str">
        <f ca="1">IFERROR(OFFSET(Camp_List[P_Code],MATCH(Data_NFI_t[[#This Row],[Camp Name]],Camp_List[Camp Name],0)-1,0,1,1),"")</f>
        <v>MMR012CMP045</v>
      </c>
      <c r="AS15" s="421" t="str">
        <f ca="1">IFERROR(OFFSET(Camp_List[Status],MATCH(Data_NFI_t[[#This Row],[Camp Name]],Camp_List[Camp Name],0)-1,0,1,1),"")</f>
        <v>Open</v>
      </c>
      <c r="AT15" s="1027" t="s">
        <v>1148</v>
      </c>
      <c r="AW15" s="772"/>
    </row>
    <row r="16" spans="1:71" s="770" customFormat="1" ht="20.25" customHeight="1" x14ac:dyDescent="0.25">
      <c r="A16" s="736">
        <f t="shared" si="0"/>
        <v>1.9666666666666666</v>
      </c>
      <c r="B16" s="737">
        <f>YEAR(Data_NFI_t[[#This Row],[Distribution Date]])</f>
        <v>2018</v>
      </c>
      <c r="C16" s="1013">
        <v>43131</v>
      </c>
      <c r="D16" s="733" t="s">
        <v>270</v>
      </c>
      <c r="E16" s="733" t="s">
        <v>575</v>
      </c>
      <c r="F16" s="733" t="s">
        <v>7</v>
      </c>
      <c r="G16" s="738" t="s">
        <v>13</v>
      </c>
      <c r="H16" s="738" t="s">
        <v>38</v>
      </c>
      <c r="I16" s="205"/>
      <c r="J16" s="954">
        <v>857</v>
      </c>
      <c r="K16" s="954">
        <v>4287</v>
      </c>
      <c r="L16" s="740"/>
      <c r="M16" s="740"/>
      <c r="N16" s="741">
        <v>1714</v>
      </c>
      <c r="O16" s="741"/>
      <c r="P16" s="741">
        <v>1714</v>
      </c>
      <c r="Q16" s="741">
        <v>857</v>
      </c>
      <c r="R16" s="741"/>
      <c r="S16" s="741"/>
      <c r="T16" s="742"/>
      <c r="U16" s="741">
        <v>4285</v>
      </c>
      <c r="V16" s="955"/>
      <c r="W16" s="955"/>
      <c r="X16" s="741"/>
      <c r="Y16" s="741"/>
      <c r="Z16" s="741"/>
      <c r="AA16" s="741"/>
      <c r="AB16" s="741"/>
      <c r="AC16" s="734">
        <f>IF(NFI_Expiration=1,IF($A16&lt;VLOOKUP(I$5,NFI,5,0),1,0)*Data_NFI_t[[#This Row],[Hygiene Kit]],0)</f>
        <v>0</v>
      </c>
      <c r="AD16" s="734">
        <f>IF(NFI_Expiration=1,IF($A16&lt;VLOOKUP(L$5,NFI,5,0),1,0)*Data_NFI_t[[#This Row],[NFI Core Kit]],0)</f>
        <v>0</v>
      </c>
      <c r="AE16" s="735">
        <f>IF(NFI_Expiration=1,IF($A16&lt;VLOOKUP(M$5,NFI,5,0),1,0)*Data_NFI_t[[#This Row],[Sanitary Kit]],0)</f>
        <v>0</v>
      </c>
      <c r="AF16" s="735">
        <f>IF(NFI_Expiration=1,IF($A16&lt;VLOOKUP(N$5,NFI,5,0),1,0)*Data_NFI_t[[#This Row],[Mosquito net]],0)</f>
        <v>1714</v>
      </c>
      <c r="AG16" s="735">
        <f>IF(NFI_Expiration=1,IF($A16&lt;VLOOKUP(O$5,NFI,5,0),1,0)*Data_NFI_t[[#This Row],[Tarpaulin]],0)</f>
        <v>0</v>
      </c>
      <c r="AH16" s="735">
        <f>IF(NFI_Expiration=1,IF($A16&lt;VLOOKUP(P$5,NFI,5,0),1,0)*Data_NFI_t[[#This Row],[Blanket]],0)</f>
        <v>1714</v>
      </c>
      <c r="AI16" s="735">
        <f>IF(NFI_Expiration=1,IF($A16&lt;VLOOKUP(Q$5,NFI,5,0),1,0)*Data_NFI_t[[#This Row],[Kitchen Set]],0)</f>
        <v>857</v>
      </c>
      <c r="AJ16" s="735">
        <f>IF(NFI_Expiration=1,IF($A16&lt;VLOOKUP(R$5,NFI,5,0),1,0)*Data_NFI_t[[#This Row],[Complementary Kit]],0)</f>
        <v>0</v>
      </c>
      <c r="AK16" s="735">
        <f>IF(NFI_Expiration=1,IF($A16&lt;VLOOKUP(S$5,NFI,5,0),1,0)*Data_NFI_t[[#This Row],[Plastic Bucket]],0)</f>
        <v>0</v>
      </c>
      <c r="AL16" s="734">
        <f>IF(NFI_Expiration=1,IF($A16&lt;VLOOKUP(T$5,NFI,5,0),1,0)*Data_NFI_t[[#This Row],[Jerry Can]],0)</f>
        <v>0</v>
      </c>
      <c r="AM16" s="734">
        <f>IF(NFI_Expiration=1,IF($A16&lt;VLOOKUP(U$5,NFI,5,0),1,0)*Data_NFI_t[[#This Row],[Plastic Mat]],0)</f>
        <v>4285</v>
      </c>
      <c r="AN16" s="734">
        <f>IF(NFI_Expiration=1,IF($A16&lt;VLOOKUP(V$5,NFI,5,0),1,0)*Data_NFI_t[[#This Row],[Adult Clothes]],0)</f>
        <v>0</v>
      </c>
      <c r="AO16" s="734">
        <f>IF(NFI_Expiration=1,IF($A16&lt;VLOOKUP(W$5,NFI,5,0),1,0)*Data_NFI_t[[#This Row],[Children Clothes]],0)</f>
        <v>0</v>
      </c>
      <c r="AP16" s="734">
        <f>IF(NFI_Expiration=1,IF($A16&lt;VLOOKUP(X$5,NFI,5,0),1,0)*Data_NFI_t[[#This Row],[Sewing Kit]],0)</f>
        <v>0</v>
      </c>
      <c r="AQ16" s="734">
        <f>IF(NFI_Expiration=1,IF($A16&lt;VLOOKUP(X$5,NFI,5,0),1,0)*Data_NFI_t[[#This Row],[Solar Lantern]],0)</f>
        <v>0</v>
      </c>
      <c r="AR16" s="105" t="str">
        <f ca="1">IFERROR(OFFSET(Camp_List[P_Code],MATCH(Data_NFI_t[[#This Row],[Camp Name]],Camp_List[Camp Name],0)-1,0,1,1),"")</f>
        <v>MMR012CMP016</v>
      </c>
      <c r="AS16" s="421" t="str">
        <f ca="1">IFERROR(OFFSET(Camp_List[Status],MATCH(Data_NFI_t[[#This Row],[Camp Name]],Camp_List[Camp Name],0)-1,0,1,1),"")</f>
        <v>Open</v>
      </c>
      <c r="AT16" s="105"/>
      <c r="AW16" s="772"/>
    </row>
    <row r="17" spans="1:49" s="770" customFormat="1" ht="20.25" customHeight="1" x14ac:dyDescent="0.25">
      <c r="A17" s="736">
        <f t="shared" si="0"/>
        <v>1.9666666666666666</v>
      </c>
      <c r="B17" s="737">
        <f>YEAR(Data_NFI_t[[#This Row],[Distribution Date]])</f>
        <v>2018</v>
      </c>
      <c r="C17" s="1013">
        <v>43131</v>
      </c>
      <c r="D17" s="733" t="s">
        <v>1130</v>
      </c>
      <c r="E17" s="733" t="s">
        <v>1130</v>
      </c>
      <c r="F17" s="733" t="s">
        <v>7</v>
      </c>
      <c r="G17" s="738" t="s">
        <v>17</v>
      </c>
      <c r="H17" s="738" t="s">
        <v>497</v>
      </c>
      <c r="I17" s="205"/>
      <c r="J17" s="954">
        <v>299</v>
      </c>
      <c r="K17" s="954">
        <v>1644</v>
      </c>
      <c r="L17" s="740">
        <v>299</v>
      </c>
      <c r="M17" s="740"/>
      <c r="N17" s="741"/>
      <c r="O17" s="741"/>
      <c r="P17" s="741"/>
      <c r="Q17" s="741"/>
      <c r="R17" s="741"/>
      <c r="S17" s="741"/>
      <c r="T17" s="742"/>
      <c r="U17" s="741"/>
      <c r="V17" s="955"/>
      <c r="W17" s="955"/>
      <c r="X17" s="741"/>
      <c r="Y17" s="741"/>
      <c r="Z17" s="741"/>
      <c r="AA17" s="741"/>
      <c r="AB17" s="741"/>
      <c r="AC17" s="734">
        <f>IF(NFI_Expiration=1,IF($A17&lt;VLOOKUP(I$5,NFI,5,0),1,0)*Data_NFI_t[[#This Row],[Hygiene Kit]],0)</f>
        <v>0</v>
      </c>
      <c r="AD17" s="734">
        <f>IF(NFI_Expiration=1,IF($A17&lt;VLOOKUP(L$5,NFI,5,0),1,0)*Data_NFI_t[[#This Row],[NFI Core Kit]],0)</f>
        <v>299</v>
      </c>
      <c r="AE17" s="735">
        <f>IF(NFI_Expiration=1,IF($A17&lt;VLOOKUP(M$5,NFI,5,0),1,0)*Data_NFI_t[[#This Row],[Sanitary Kit]],0)</f>
        <v>0</v>
      </c>
      <c r="AF17" s="735">
        <f>IF(NFI_Expiration=1,IF($A17&lt;VLOOKUP(N$5,NFI,5,0),1,0)*Data_NFI_t[[#This Row],[Mosquito net]],0)</f>
        <v>0</v>
      </c>
      <c r="AG17" s="735">
        <f>IF(NFI_Expiration=1,IF($A17&lt;VLOOKUP(O$5,NFI,5,0),1,0)*Data_NFI_t[[#This Row],[Tarpaulin]],0)</f>
        <v>0</v>
      </c>
      <c r="AH17" s="735">
        <f>IF(NFI_Expiration=1,IF($A17&lt;VLOOKUP(P$5,NFI,5,0),1,0)*Data_NFI_t[[#This Row],[Blanket]],0)</f>
        <v>0</v>
      </c>
      <c r="AI17" s="735">
        <f>IF(NFI_Expiration=1,IF($A17&lt;VLOOKUP(Q$5,NFI,5,0),1,0)*Data_NFI_t[[#This Row],[Kitchen Set]],0)</f>
        <v>0</v>
      </c>
      <c r="AJ17" s="735">
        <f>IF(NFI_Expiration=1,IF($A17&lt;VLOOKUP(R$5,NFI,5,0),1,0)*Data_NFI_t[[#This Row],[Complementary Kit]],0)</f>
        <v>0</v>
      </c>
      <c r="AK17" s="735">
        <f>IF(NFI_Expiration=1,IF($A17&lt;VLOOKUP(S$5,NFI,5,0),1,0)*Data_NFI_t[[#This Row],[Plastic Bucket]],0)</f>
        <v>0</v>
      </c>
      <c r="AL17" s="734">
        <f>IF(NFI_Expiration=1,IF($A17&lt;VLOOKUP(T$5,NFI,5,0),1,0)*Data_NFI_t[[#This Row],[Jerry Can]],0)</f>
        <v>0</v>
      </c>
      <c r="AM17" s="734">
        <f>IF(NFI_Expiration=1,IF($A17&lt;VLOOKUP(U$5,NFI,5,0),1,0)*Data_NFI_t[[#This Row],[Plastic Mat]],0)*IF(Data_NFI_t[[#This Row],[Distribution Date]]&gt;"01-06-2015",1,2.5)</f>
        <v>0</v>
      </c>
      <c r="AN17" s="734">
        <f>IF(NFI_Expiration=1,IF($A17&lt;VLOOKUP(V$5,NFI,5,0),1,0)*Data_NFI_t[[#This Row],[Adult Clothes]],0)</f>
        <v>0</v>
      </c>
      <c r="AO17" s="734">
        <f>IF(NFI_Expiration=1,IF($A17&lt;VLOOKUP(W$5,NFI,5,0),1,0)*Data_NFI_t[[#This Row],[Children Clothes]],0)</f>
        <v>0</v>
      </c>
      <c r="AP17" s="734">
        <f>IF(NFI_Expiration=1,IF($A17&lt;VLOOKUP(X$5,NFI,5,0),1,0)*Data_NFI_t[[#This Row],[Sewing Kit]],0)</f>
        <v>0</v>
      </c>
      <c r="AQ17" s="734">
        <f>IF(NFI_Expiration=1,IF($A17&lt;VLOOKUP(X$5,NFI,5,0),1,0)*Data_NFI_t[[#This Row],[Solar Lantern]],0)</f>
        <v>0</v>
      </c>
      <c r="AR17" s="105" t="str">
        <f ca="1">IFERROR(OFFSET(Camp_List[P_Code],MATCH(Data_NFI_t[[#This Row],[Camp Name]],Camp_List[Camp Name],0)-1,0,1,1),"")</f>
        <v>MMR012CMP091</v>
      </c>
      <c r="AS17" s="421" t="str">
        <f ca="1">IFERROR(OFFSET(Camp_List[Status],MATCH(Data_NFI_t[[#This Row],[Camp Name]],Camp_List[Camp Name],0)-1,0,1,1),"")</f>
        <v>Open</v>
      </c>
      <c r="AT17" s="105"/>
      <c r="AW17" s="772"/>
    </row>
    <row r="18" spans="1:49" s="770" customFormat="1" ht="20.25" customHeight="1" x14ac:dyDescent="0.25">
      <c r="A18" s="736">
        <f t="shared" si="0"/>
        <v>1.9666666666666666</v>
      </c>
      <c r="B18" s="737">
        <f>YEAR(Data_NFI_t[[#This Row],[Distribution Date]])</f>
        <v>2018</v>
      </c>
      <c r="C18" s="1013">
        <v>43131</v>
      </c>
      <c r="D18" s="733" t="s">
        <v>1130</v>
      </c>
      <c r="E18" s="733" t="s">
        <v>1130</v>
      </c>
      <c r="F18" s="733" t="s">
        <v>7</v>
      </c>
      <c r="G18" s="738" t="s">
        <v>17</v>
      </c>
      <c r="H18" s="738" t="s">
        <v>68</v>
      </c>
      <c r="I18" s="205"/>
      <c r="J18" s="954">
        <v>1013</v>
      </c>
      <c r="K18" s="954">
        <v>5571</v>
      </c>
      <c r="L18" s="740">
        <v>1312</v>
      </c>
      <c r="M18" s="740"/>
      <c r="N18" s="741"/>
      <c r="O18" s="741"/>
      <c r="P18" s="741"/>
      <c r="Q18" s="741"/>
      <c r="R18" s="741"/>
      <c r="S18" s="741"/>
      <c r="T18" s="742"/>
      <c r="U18" s="741"/>
      <c r="V18" s="955"/>
      <c r="W18" s="955"/>
      <c r="X18" s="741"/>
      <c r="Y18" s="741"/>
      <c r="Z18" s="741"/>
      <c r="AA18" s="741"/>
      <c r="AB18" s="741"/>
      <c r="AC18" s="734">
        <f>IF(NFI_Expiration=1,IF($A18&lt;VLOOKUP(I$5,NFI,5,0),1,0)*Data_NFI_t[[#This Row],[Hygiene Kit]],0)</f>
        <v>0</v>
      </c>
      <c r="AD18" s="734">
        <f>IF(NFI_Expiration=1,IF($A18&lt;VLOOKUP(L$5,NFI,5,0),1,0)*Data_NFI_t[[#This Row],[NFI Core Kit]],0)</f>
        <v>1312</v>
      </c>
      <c r="AE18" s="735">
        <f>IF(NFI_Expiration=1,IF($A18&lt;VLOOKUP(M$5,NFI,5,0),1,0)*Data_NFI_t[[#This Row],[Sanitary Kit]],0)</f>
        <v>0</v>
      </c>
      <c r="AF18" s="735">
        <f>IF(NFI_Expiration=1,IF($A18&lt;VLOOKUP(N$5,NFI,5,0),1,0)*Data_NFI_t[[#This Row],[Mosquito net]],0)</f>
        <v>0</v>
      </c>
      <c r="AG18" s="735">
        <f>IF(NFI_Expiration=1,IF($A18&lt;VLOOKUP(O$5,NFI,5,0),1,0)*Data_NFI_t[[#This Row],[Tarpaulin]],0)</f>
        <v>0</v>
      </c>
      <c r="AH18" s="735">
        <f>IF(NFI_Expiration=1,IF($A18&lt;VLOOKUP(P$5,NFI,5,0),1,0)*Data_NFI_t[[#This Row],[Blanket]],0)</f>
        <v>0</v>
      </c>
      <c r="AI18" s="735">
        <f>IF(NFI_Expiration=1,IF($A18&lt;VLOOKUP(Q$5,NFI,5,0),1,0)*Data_NFI_t[[#This Row],[Kitchen Set]],0)</f>
        <v>0</v>
      </c>
      <c r="AJ18" s="735">
        <f>IF(NFI_Expiration=1,IF($A18&lt;VLOOKUP(R$5,NFI,5,0),1,0)*Data_NFI_t[[#This Row],[Complementary Kit]],0)</f>
        <v>0</v>
      </c>
      <c r="AK18" s="735">
        <f>IF(NFI_Expiration=1,IF($A18&lt;VLOOKUP(S$5,NFI,5,0),1,0)*Data_NFI_t[[#This Row],[Plastic Bucket]],0)</f>
        <v>0</v>
      </c>
      <c r="AL18" s="734">
        <f>IF(NFI_Expiration=1,IF($A18&lt;VLOOKUP(T$5,NFI,5,0),1,0)*Data_NFI_t[[#This Row],[Jerry Can]],0)</f>
        <v>0</v>
      </c>
      <c r="AM18" s="734">
        <f>IF(NFI_Expiration=1,IF($A18&lt;VLOOKUP(U$5,NFI,5,0),1,0)*Data_NFI_t[[#This Row],[Plastic Mat]],0)*IF(Data_NFI_t[[#This Row],[Distribution Date]]&gt;"01-06-2015",1,2.5)</f>
        <v>0</v>
      </c>
      <c r="AN18" s="734">
        <f>IF(NFI_Expiration=1,IF($A18&lt;VLOOKUP(V$5,NFI,5,0),1,0)*Data_NFI_t[[#This Row],[Adult Clothes]],0)</f>
        <v>0</v>
      </c>
      <c r="AO18" s="734">
        <f>IF(NFI_Expiration=1,IF($A18&lt;VLOOKUP(W$5,NFI,5,0),1,0)*Data_NFI_t[[#This Row],[Children Clothes]],0)</f>
        <v>0</v>
      </c>
      <c r="AP18" s="734">
        <f>IF(NFI_Expiration=1,IF($A18&lt;VLOOKUP(X$5,NFI,5,0),1,0)*Data_NFI_t[[#This Row],[Sewing Kit]],0)</f>
        <v>0</v>
      </c>
      <c r="AQ18" s="734">
        <f>IF(NFI_Expiration=1,IF($A18&lt;VLOOKUP(X$5,NFI,5,0),1,0)*Data_NFI_t[[#This Row],[Solar Lantern]],0)</f>
        <v>0</v>
      </c>
      <c r="AR18" s="105" t="str">
        <f ca="1">IFERROR(OFFSET(Camp_List[P_Code],MATCH(Data_NFI_t[[#This Row],[Camp Name]],Camp_List[Camp Name],0)-1,0,1,1),"")</f>
        <v>MMR012CMP048</v>
      </c>
      <c r="AS18" s="421" t="str">
        <f ca="1">IFERROR(OFFSET(Camp_List[Status],MATCH(Data_NFI_t[[#This Row],[Camp Name]],Camp_List[Camp Name],0)-1,0,1,1),"")</f>
        <v>Open</v>
      </c>
      <c r="AT18" s="105"/>
      <c r="AW18" s="772"/>
    </row>
    <row r="19" spans="1:49" s="770" customFormat="1" ht="20.25" customHeight="1" x14ac:dyDescent="0.25">
      <c r="A19" s="736">
        <f t="shared" si="0"/>
        <v>1.9666666666666666</v>
      </c>
      <c r="B19" s="737">
        <f>YEAR(Data_NFI_t[[#This Row],[Distribution Date]])</f>
        <v>2018</v>
      </c>
      <c r="C19" s="1013">
        <v>43131</v>
      </c>
      <c r="D19" s="733" t="s">
        <v>1130</v>
      </c>
      <c r="E19" s="733" t="s">
        <v>1130</v>
      </c>
      <c r="F19" s="733" t="s">
        <v>7</v>
      </c>
      <c r="G19" s="738" t="s">
        <v>17</v>
      </c>
      <c r="H19" s="738" t="s">
        <v>580</v>
      </c>
      <c r="I19" s="205"/>
      <c r="J19" s="954">
        <v>656</v>
      </c>
      <c r="K19" s="954">
        <v>3608</v>
      </c>
      <c r="L19" s="740">
        <v>656</v>
      </c>
      <c r="M19" s="740"/>
      <c r="N19" s="741"/>
      <c r="O19" s="741"/>
      <c r="P19" s="741"/>
      <c r="Q19" s="741"/>
      <c r="R19" s="741"/>
      <c r="S19" s="741"/>
      <c r="T19" s="742"/>
      <c r="U19" s="741"/>
      <c r="V19" s="955"/>
      <c r="W19" s="955"/>
      <c r="X19" s="741"/>
      <c r="Y19" s="741"/>
      <c r="Z19" s="741"/>
      <c r="AA19" s="741"/>
      <c r="AB19" s="741"/>
      <c r="AC19" s="734">
        <f>IF(NFI_Expiration=1,IF($A19&lt;VLOOKUP(I$5,NFI,5,0),1,0)*Data_NFI_t[[#This Row],[Hygiene Kit]],0)</f>
        <v>0</v>
      </c>
      <c r="AD19" s="734">
        <f>IF(NFI_Expiration=1,IF($A19&lt;VLOOKUP(L$5,NFI,5,0),1,0)*Data_NFI_t[[#This Row],[NFI Core Kit]],0)</f>
        <v>656</v>
      </c>
      <c r="AE19" s="735">
        <f>IF(NFI_Expiration=1,IF($A19&lt;VLOOKUP(M$5,NFI,5,0),1,0)*Data_NFI_t[[#This Row],[Sanitary Kit]],0)</f>
        <v>0</v>
      </c>
      <c r="AF19" s="735">
        <f>IF(NFI_Expiration=1,IF($A19&lt;VLOOKUP(N$5,NFI,5,0),1,0)*Data_NFI_t[[#This Row],[Mosquito net]],0)</f>
        <v>0</v>
      </c>
      <c r="AG19" s="735">
        <f>IF(NFI_Expiration=1,IF($A19&lt;VLOOKUP(O$5,NFI,5,0),1,0)*Data_NFI_t[[#This Row],[Tarpaulin]],0)</f>
        <v>0</v>
      </c>
      <c r="AH19" s="735">
        <f>IF(NFI_Expiration=1,IF($A19&lt;VLOOKUP(P$5,NFI,5,0),1,0)*Data_NFI_t[[#This Row],[Blanket]],0)</f>
        <v>0</v>
      </c>
      <c r="AI19" s="735">
        <f>IF(NFI_Expiration=1,IF($A19&lt;VLOOKUP(Q$5,NFI,5,0),1,0)*Data_NFI_t[[#This Row],[Kitchen Set]],0)</f>
        <v>0</v>
      </c>
      <c r="AJ19" s="735">
        <f>IF(NFI_Expiration=1,IF($A19&lt;VLOOKUP(R$5,NFI,5,0),1,0)*Data_NFI_t[[#This Row],[Complementary Kit]],0)</f>
        <v>0</v>
      </c>
      <c r="AK19" s="735">
        <f>IF(NFI_Expiration=1,IF($A19&lt;VLOOKUP(S$5,NFI,5,0),1,0)*Data_NFI_t[[#This Row],[Plastic Bucket]],0)</f>
        <v>0</v>
      </c>
      <c r="AL19" s="734">
        <f>IF(NFI_Expiration=1,IF($A19&lt;VLOOKUP(T$5,NFI,5,0),1,0)*Data_NFI_t[[#This Row],[Jerry Can]],0)</f>
        <v>0</v>
      </c>
      <c r="AM19" s="734">
        <f>IF(NFI_Expiration=1,IF($A19&lt;VLOOKUP(U$5,NFI,5,0),1,0)*Data_NFI_t[[#This Row],[Plastic Mat]],0)*IF(Data_NFI_t[[#This Row],[Distribution Date]]&gt;"01-06-2015",1,2.5)</f>
        <v>0</v>
      </c>
      <c r="AN19" s="734">
        <f>IF(NFI_Expiration=1,IF($A19&lt;VLOOKUP(V$5,NFI,5,0),1,0)*Data_NFI_t[[#This Row],[Adult Clothes]],0)</f>
        <v>0</v>
      </c>
      <c r="AO19" s="734">
        <f>IF(NFI_Expiration=1,IF($A19&lt;VLOOKUP(W$5,NFI,5,0),1,0)*Data_NFI_t[[#This Row],[Children Clothes]],0)</f>
        <v>0</v>
      </c>
      <c r="AP19" s="734">
        <f>IF(NFI_Expiration=1,IF($A19&lt;VLOOKUP(X$5,NFI,5,0),1,0)*Data_NFI_t[[#This Row],[Sewing Kit]],0)</f>
        <v>0</v>
      </c>
      <c r="AQ19" s="734">
        <f>IF(NFI_Expiration=1,IF($A19&lt;VLOOKUP(X$5,NFI,5,0),1,0)*Data_NFI_t[[#This Row],[Solar Lantern]],0)</f>
        <v>0</v>
      </c>
      <c r="AR19" s="105" t="str">
        <f ca="1">IFERROR(OFFSET(Camp_List[P_Code],MATCH(Data_NFI_t[[#This Row],[Camp Name]],Camp_List[Camp Name],0)-1,0,1,1),"")</f>
        <v>MMR012CMP092</v>
      </c>
      <c r="AS19" s="421" t="str">
        <f ca="1">IFERROR(OFFSET(Camp_List[Status],MATCH(Data_NFI_t[[#This Row],[Camp Name]],Camp_List[Camp Name],0)-1,0,1,1),"")</f>
        <v>Open</v>
      </c>
      <c r="AT19" s="105"/>
      <c r="AW19" s="772"/>
    </row>
    <row r="20" spans="1:49" s="770" customFormat="1" ht="20.25" customHeight="1" x14ac:dyDescent="0.25">
      <c r="A20" s="736">
        <f t="shared" si="0"/>
        <v>2</v>
      </c>
      <c r="B20" s="737">
        <f>YEAR(Data_NFI_t[[#This Row],[Distribution Date]])</f>
        <v>2018</v>
      </c>
      <c r="C20" s="1013">
        <v>43130</v>
      </c>
      <c r="D20" s="733" t="s">
        <v>1130</v>
      </c>
      <c r="E20" s="733" t="s">
        <v>1130</v>
      </c>
      <c r="F20" s="733" t="s">
        <v>7</v>
      </c>
      <c r="G20" s="738" t="s">
        <v>17</v>
      </c>
      <c r="H20" s="738" t="s">
        <v>65</v>
      </c>
      <c r="I20" s="205"/>
      <c r="J20" s="954">
        <v>2280</v>
      </c>
      <c r="K20" s="954">
        <v>12540</v>
      </c>
      <c r="L20" s="740">
        <v>2280</v>
      </c>
      <c r="M20" s="740"/>
      <c r="N20" s="741"/>
      <c r="O20" s="741"/>
      <c r="P20" s="741"/>
      <c r="Q20" s="741"/>
      <c r="R20" s="741"/>
      <c r="S20" s="741"/>
      <c r="T20" s="742"/>
      <c r="U20" s="741"/>
      <c r="V20" s="955"/>
      <c r="W20" s="955"/>
      <c r="X20" s="741"/>
      <c r="Y20" s="741"/>
      <c r="Z20" s="741"/>
      <c r="AA20" s="741"/>
      <c r="AB20" s="741"/>
      <c r="AC20" s="734">
        <f>IF(NFI_Expiration=1,IF($A20&lt;VLOOKUP(I$5,NFI,5,0),1,0)*Data_NFI_t[[#This Row],[Hygiene Kit]],0)</f>
        <v>0</v>
      </c>
      <c r="AD20" s="734">
        <f>IF(NFI_Expiration=1,IF($A20&lt;VLOOKUP(L$5,NFI,5,0),1,0)*Data_NFI_t[[#This Row],[NFI Core Kit]],0)</f>
        <v>2280</v>
      </c>
      <c r="AE20" s="735">
        <f>IF(NFI_Expiration=1,IF($A20&lt;VLOOKUP(M$5,NFI,5,0),1,0)*Data_NFI_t[[#This Row],[Sanitary Kit]],0)</f>
        <v>0</v>
      </c>
      <c r="AF20" s="735">
        <f>IF(NFI_Expiration=1,IF($A20&lt;VLOOKUP(N$5,NFI,5,0),1,0)*Data_NFI_t[[#This Row],[Mosquito net]],0)</f>
        <v>0</v>
      </c>
      <c r="AG20" s="735">
        <f>IF(NFI_Expiration=1,IF($A20&lt;VLOOKUP(O$5,NFI,5,0),1,0)*Data_NFI_t[[#This Row],[Tarpaulin]],0)</f>
        <v>0</v>
      </c>
      <c r="AH20" s="735">
        <f>IF(NFI_Expiration=1,IF($A20&lt;VLOOKUP(P$5,NFI,5,0),1,0)*Data_NFI_t[[#This Row],[Blanket]],0)</f>
        <v>0</v>
      </c>
      <c r="AI20" s="735">
        <f>IF(NFI_Expiration=1,IF($A20&lt;VLOOKUP(Q$5,NFI,5,0),1,0)*Data_NFI_t[[#This Row],[Kitchen Set]],0)</f>
        <v>0</v>
      </c>
      <c r="AJ20" s="735">
        <f>IF(NFI_Expiration=1,IF($A20&lt;VLOOKUP(R$5,NFI,5,0),1,0)*Data_NFI_t[[#This Row],[Complementary Kit]],0)</f>
        <v>0</v>
      </c>
      <c r="AK20" s="735">
        <f>IF(NFI_Expiration=1,IF($A20&lt;VLOOKUP(S$5,NFI,5,0),1,0)*Data_NFI_t[[#This Row],[Plastic Bucket]],0)</f>
        <v>0</v>
      </c>
      <c r="AL20" s="734">
        <f>IF(NFI_Expiration=1,IF($A20&lt;VLOOKUP(T$5,NFI,5,0),1,0)*Data_NFI_t[[#This Row],[Jerry Can]],0)</f>
        <v>0</v>
      </c>
      <c r="AM20" s="734">
        <f>IF(NFI_Expiration=1,IF($A20&lt;VLOOKUP(U$5,NFI,5,0),1,0)*Data_NFI_t[[#This Row],[Plastic Mat]],0)*IF(Data_NFI_t[[#This Row],[Distribution Date]]&gt;"01-06-2015",1,2.5)</f>
        <v>0</v>
      </c>
      <c r="AN20" s="734">
        <f>IF(NFI_Expiration=1,IF($A20&lt;VLOOKUP(V$5,NFI,5,0),1,0)*Data_NFI_t[[#This Row],[Adult Clothes]],0)</f>
        <v>0</v>
      </c>
      <c r="AO20" s="734">
        <f>IF(NFI_Expiration=1,IF($A20&lt;VLOOKUP(W$5,NFI,5,0),1,0)*Data_NFI_t[[#This Row],[Children Clothes]],0)</f>
        <v>0</v>
      </c>
      <c r="AP20" s="734">
        <f>IF(NFI_Expiration=1,IF($A20&lt;VLOOKUP(X$5,NFI,5,0),1,0)*Data_NFI_t[[#This Row],[Sewing Kit]],0)</f>
        <v>0</v>
      </c>
      <c r="AQ20" s="734">
        <f>IF(NFI_Expiration=1,IF($A20&lt;VLOOKUP(X$5,NFI,5,0),1,0)*Data_NFI_t[[#This Row],[Solar Lantern]],0)</f>
        <v>0</v>
      </c>
      <c r="AR20" s="105" t="str">
        <f ca="1">IFERROR(OFFSET(Camp_List[P_Code],MATCH(Data_NFI_t[[#This Row],[Camp Name]],Camp_List[Camp Name],0)-1,0,1,1),"")</f>
        <v>MMR012CMP045</v>
      </c>
      <c r="AS20" s="421" t="str">
        <f ca="1">IFERROR(OFFSET(Camp_List[Status],MATCH(Data_NFI_t[[#This Row],[Camp Name]],Camp_List[Camp Name],0)-1,0,1,1),"")</f>
        <v>Open</v>
      </c>
      <c r="AT20" s="105"/>
      <c r="AW20" s="772"/>
    </row>
    <row r="21" spans="1:49" s="770" customFormat="1" ht="20.25" customHeight="1" x14ac:dyDescent="0.25">
      <c r="A21" s="736">
        <f t="shared" si="0"/>
        <v>2</v>
      </c>
      <c r="B21" s="737">
        <f>YEAR(Data_NFI_t[[#This Row],[Distribution Date]])</f>
        <v>2018</v>
      </c>
      <c r="C21" s="1013">
        <v>43130</v>
      </c>
      <c r="D21" s="733" t="s">
        <v>1130</v>
      </c>
      <c r="E21" s="733" t="s">
        <v>1130</v>
      </c>
      <c r="F21" s="733" t="s">
        <v>7</v>
      </c>
      <c r="G21" s="738" t="s">
        <v>17</v>
      </c>
      <c r="H21" s="738" t="s">
        <v>586</v>
      </c>
      <c r="I21" s="205"/>
      <c r="J21" s="954">
        <v>2728</v>
      </c>
      <c r="K21" s="954">
        <v>15004</v>
      </c>
      <c r="L21" s="740">
        <v>2728</v>
      </c>
      <c r="M21" s="740"/>
      <c r="N21" s="741"/>
      <c r="O21" s="741"/>
      <c r="P21" s="741"/>
      <c r="Q21" s="741"/>
      <c r="R21" s="741"/>
      <c r="S21" s="741"/>
      <c r="T21" s="742"/>
      <c r="U21" s="741"/>
      <c r="V21" s="955"/>
      <c r="W21" s="955"/>
      <c r="X21" s="741"/>
      <c r="Y21" s="741"/>
      <c r="Z21" s="741"/>
      <c r="AA21" s="741"/>
      <c r="AB21" s="741"/>
      <c r="AC21" s="734">
        <f>IF(NFI_Expiration=1,IF($A21&lt;VLOOKUP(I$5,NFI,5,0),1,0)*Data_NFI_t[[#This Row],[Hygiene Kit]],0)</f>
        <v>0</v>
      </c>
      <c r="AD21" s="734">
        <f>IF(NFI_Expiration=1,IF($A21&lt;VLOOKUP(L$5,NFI,5,0),1,0)*Data_NFI_t[[#This Row],[NFI Core Kit]],0)</f>
        <v>2728</v>
      </c>
      <c r="AE21" s="735">
        <f>IF(NFI_Expiration=1,IF($A21&lt;VLOOKUP(M$5,NFI,5,0),1,0)*Data_NFI_t[[#This Row],[Sanitary Kit]],0)</f>
        <v>0</v>
      </c>
      <c r="AF21" s="735">
        <f>IF(NFI_Expiration=1,IF($A21&lt;VLOOKUP(N$5,NFI,5,0),1,0)*Data_NFI_t[[#This Row],[Mosquito net]],0)</f>
        <v>0</v>
      </c>
      <c r="AG21" s="735">
        <f>IF(NFI_Expiration=1,IF($A21&lt;VLOOKUP(O$5,NFI,5,0),1,0)*Data_NFI_t[[#This Row],[Tarpaulin]],0)</f>
        <v>0</v>
      </c>
      <c r="AH21" s="735">
        <f>IF(NFI_Expiration=1,IF($A21&lt;VLOOKUP(P$5,NFI,5,0),1,0)*Data_NFI_t[[#This Row],[Blanket]],0)</f>
        <v>0</v>
      </c>
      <c r="AI21" s="735">
        <f>IF(NFI_Expiration=1,IF($A21&lt;VLOOKUP(Q$5,NFI,5,0),1,0)*Data_NFI_t[[#This Row],[Kitchen Set]],0)</f>
        <v>0</v>
      </c>
      <c r="AJ21" s="735">
        <f>IF(NFI_Expiration=1,IF($A21&lt;VLOOKUP(R$5,NFI,5,0),1,0)*Data_NFI_t[[#This Row],[Complementary Kit]],0)</f>
        <v>0</v>
      </c>
      <c r="AK21" s="735">
        <f>IF(NFI_Expiration=1,IF($A21&lt;VLOOKUP(S$5,NFI,5,0),1,0)*Data_NFI_t[[#This Row],[Plastic Bucket]],0)</f>
        <v>0</v>
      </c>
      <c r="AL21" s="734">
        <f>IF(NFI_Expiration=1,IF($A21&lt;VLOOKUP(T$5,NFI,5,0),1,0)*Data_NFI_t[[#This Row],[Jerry Can]],0)</f>
        <v>0</v>
      </c>
      <c r="AM21" s="734">
        <f>IF(NFI_Expiration=1,IF($A21&lt;VLOOKUP(U$5,NFI,5,0),1,0)*Data_NFI_t[[#This Row],[Plastic Mat]],0)*IF(Data_NFI_t[[#This Row],[Distribution Date]]&gt;"01-06-2015",1,2.5)</f>
        <v>0</v>
      </c>
      <c r="AN21" s="734">
        <f>IF(NFI_Expiration=1,IF($A21&lt;VLOOKUP(V$5,NFI,5,0),1,0)*Data_NFI_t[[#This Row],[Adult Clothes]],0)</f>
        <v>0</v>
      </c>
      <c r="AO21" s="734">
        <f>IF(NFI_Expiration=1,IF($A21&lt;VLOOKUP(W$5,NFI,5,0),1,0)*Data_NFI_t[[#This Row],[Children Clothes]],0)</f>
        <v>0</v>
      </c>
      <c r="AP21" s="734">
        <f>IF(NFI_Expiration=1,IF($A21&lt;VLOOKUP(X$5,NFI,5,0),1,0)*Data_NFI_t[[#This Row],[Sewing Kit]],0)</f>
        <v>0</v>
      </c>
      <c r="AQ21" s="734">
        <f>IF(NFI_Expiration=1,IF($A21&lt;VLOOKUP(X$5,NFI,5,0),1,0)*Data_NFI_t[[#This Row],[Solar Lantern]],0)</f>
        <v>0</v>
      </c>
      <c r="AR21" s="105" t="str">
        <f ca="1">IFERROR(OFFSET(Camp_List[P_Code],MATCH(Data_NFI_t[[#This Row],[Camp Name]],Camp_List[Camp Name],0)-1,0,1,1),"")</f>
        <v>MMR012CMP115</v>
      </c>
      <c r="AS21" s="421" t="str">
        <f ca="1">IFERROR(OFFSET(Camp_List[Status],MATCH(Data_NFI_t[[#This Row],[Camp Name]],Camp_List[Camp Name],0)-1,0,1,1),"")</f>
        <v>Open</v>
      </c>
      <c r="AT21" s="105"/>
      <c r="AW21" s="772"/>
    </row>
    <row r="22" spans="1:49" s="770" customFormat="1" ht="20.25" customHeight="1" x14ac:dyDescent="0.25">
      <c r="A22" s="736">
        <f t="shared" si="0"/>
        <v>2</v>
      </c>
      <c r="B22" s="737">
        <f>YEAR(Data_NFI_t[[#This Row],[Distribution Date]])</f>
        <v>2018</v>
      </c>
      <c r="C22" s="1013">
        <v>43130</v>
      </c>
      <c r="D22" s="733" t="s">
        <v>282</v>
      </c>
      <c r="E22" s="733" t="s">
        <v>282</v>
      </c>
      <c r="F22" s="733" t="s">
        <v>7</v>
      </c>
      <c r="G22" s="738" t="s">
        <v>17</v>
      </c>
      <c r="H22" s="738" t="s">
        <v>587</v>
      </c>
      <c r="I22" s="205"/>
      <c r="J22" s="954">
        <v>300</v>
      </c>
      <c r="K22" s="954">
        <v>1500</v>
      </c>
      <c r="L22" s="740"/>
      <c r="M22" s="740"/>
      <c r="N22" s="741">
        <v>600</v>
      </c>
      <c r="O22" s="741"/>
      <c r="P22" s="741"/>
      <c r="Q22" s="741">
        <v>300</v>
      </c>
      <c r="R22" s="741"/>
      <c r="S22" s="741"/>
      <c r="T22" s="742"/>
      <c r="U22" s="741">
        <v>300</v>
      </c>
      <c r="V22" s="955"/>
      <c r="W22" s="955"/>
      <c r="X22" s="741"/>
      <c r="Y22" s="741">
        <v>300</v>
      </c>
      <c r="Z22" s="741"/>
      <c r="AA22" s="741"/>
      <c r="AB22" s="741"/>
      <c r="AC22" s="734">
        <f>IF(NFI_Expiration=1,IF($A22&lt;VLOOKUP(I$5,NFI,5,0),1,0)*Data_NFI_t[[#This Row],[Hygiene Kit]],0)</f>
        <v>0</v>
      </c>
      <c r="AD22" s="734">
        <f>IF(NFI_Expiration=1,IF($A22&lt;VLOOKUP(L$5,NFI,5,0),1,0)*Data_NFI_t[[#This Row],[NFI Core Kit]],0)</f>
        <v>0</v>
      </c>
      <c r="AE22" s="735">
        <f>IF(NFI_Expiration=1,IF($A22&lt;VLOOKUP(M$5,NFI,5,0),1,0)*Data_NFI_t[[#This Row],[Sanitary Kit]],0)</f>
        <v>0</v>
      </c>
      <c r="AF22" s="735">
        <f>IF(NFI_Expiration=1,IF($A22&lt;VLOOKUP(N$5,NFI,5,0),1,0)*Data_NFI_t[[#This Row],[Mosquito net]],0)</f>
        <v>600</v>
      </c>
      <c r="AG22" s="735">
        <f>IF(NFI_Expiration=1,IF($A22&lt;VLOOKUP(O$5,NFI,5,0),1,0)*Data_NFI_t[[#This Row],[Tarpaulin]],0)</f>
        <v>0</v>
      </c>
      <c r="AH22" s="735">
        <f>IF(NFI_Expiration=1,IF($A22&lt;VLOOKUP(P$5,NFI,5,0),1,0)*Data_NFI_t[[#This Row],[Blanket]],0)</f>
        <v>0</v>
      </c>
      <c r="AI22" s="735">
        <f>IF(NFI_Expiration=1,IF($A22&lt;VLOOKUP(Q$5,NFI,5,0),1,0)*Data_NFI_t[[#This Row],[Kitchen Set]],0)</f>
        <v>300</v>
      </c>
      <c r="AJ22" s="735">
        <f>IF(NFI_Expiration=1,IF($A22&lt;VLOOKUP(R$5,NFI,5,0),1,0)*Data_NFI_t[[#This Row],[Complementary Kit]],0)</f>
        <v>0</v>
      </c>
      <c r="AK22" s="735">
        <f>IF(NFI_Expiration=1,IF($A22&lt;VLOOKUP(S$5,NFI,5,0),1,0)*Data_NFI_t[[#This Row],[Plastic Bucket]],0)</f>
        <v>0</v>
      </c>
      <c r="AL22" s="734">
        <f>IF(NFI_Expiration=1,IF($A22&lt;VLOOKUP(T$5,NFI,5,0),1,0)*Data_NFI_t[[#This Row],[Jerry Can]],0)</f>
        <v>0</v>
      </c>
      <c r="AM22" s="734">
        <f>IF(NFI_Expiration=1,IF($A22&lt;VLOOKUP(U$5,NFI,5,0),1,0)*Data_NFI_t[[#This Row],[Plastic Mat]],0)</f>
        <v>300</v>
      </c>
      <c r="AN22" s="734">
        <f>IF(NFI_Expiration=1,IF($A22&lt;VLOOKUP(V$5,NFI,5,0),1,0)*Data_NFI_t[[#This Row],[Adult Clothes]],0)</f>
        <v>0</v>
      </c>
      <c r="AO22" s="734">
        <f>IF(NFI_Expiration=1,IF($A22&lt;VLOOKUP(W$5,NFI,5,0),1,0)*Data_NFI_t[[#This Row],[Children Clothes]],0)</f>
        <v>0</v>
      </c>
      <c r="AP22" s="734">
        <f>IF(NFI_Expiration=1,IF($A22&lt;VLOOKUP(X$5,NFI,5,0),1,0)*Data_NFI_t[[#This Row],[Sewing Kit]],0)</f>
        <v>0</v>
      </c>
      <c r="AQ22" s="734">
        <f>IF(NFI_Expiration=1,IF($A22&lt;VLOOKUP(X$5,NFI,5,0),1,0)*Data_NFI_t[[#This Row],[Solar Lantern]],0)</f>
        <v>300</v>
      </c>
      <c r="AR22" s="105" t="str">
        <f ca="1">IFERROR(OFFSET(Camp_List[P_Code],MATCH(Data_NFI_t[[#This Row],[Camp Name]],Camp_List[Camp Name],0)-1,0,1,1),"")</f>
        <v>MMR012CMP116</v>
      </c>
      <c r="AS22" s="421" t="str">
        <f ca="1">IFERROR(OFFSET(Camp_List[Status],MATCH(Data_NFI_t[[#This Row],[Camp Name]],Camp_List[Camp Name],0)-1,0,1,1),"")</f>
        <v>Open</v>
      </c>
      <c r="AT22" s="105"/>
      <c r="AW22" s="772"/>
    </row>
    <row r="23" spans="1:49" s="770" customFormat="1" ht="16.5" customHeight="1" x14ac:dyDescent="0.25">
      <c r="A23" s="736">
        <f t="shared" si="0"/>
        <v>2.7333333333333334</v>
      </c>
      <c r="B23" s="737">
        <f>YEAR(Data_NFI_t[[#This Row],[Distribution Date]])</f>
        <v>2018</v>
      </c>
      <c r="C23" s="1013">
        <v>43108</v>
      </c>
      <c r="D23" s="733" t="s">
        <v>270</v>
      </c>
      <c r="E23" s="733" t="s">
        <v>273</v>
      </c>
      <c r="F23" s="733" t="s">
        <v>7</v>
      </c>
      <c r="G23" s="738" t="s">
        <v>17</v>
      </c>
      <c r="H23" s="738" t="s">
        <v>586</v>
      </c>
      <c r="I23" s="205"/>
      <c r="J23" s="954">
        <v>22</v>
      </c>
      <c r="K23" s="954">
        <v>22</v>
      </c>
      <c r="L23" s="740"/>
      <c r="M23" s="740"/>
      <c r="N23" s="741">
        <v>22</v>
      </c>
      <c r="O23" s="741"/>
      <c r="P23" s="741">
        <v>22</v>
      </c>
      <c r="Q23" s="741">
        <v>22</v>
      </c>
      <c r="R23" s="741"/>
      <c r="S23" s="741"/>
      <c r="T23" s="742"/>
      <c r="U23" s="741">
        <v>66</v>
      </c>
      <c r="V23" s="955"/>
      <c r="W23" s="955"/>
      <c r="X23" s="741"/>
      <c r="Y23" s="741"/>
      <c r="Z23" s="741"/>
      <c r="AA23" s="741"/>
      <c r="AB23" s="741"/>
      <c r="AC23" s="734">
        <f>IF(NFI_Expiration=1,IF($A23&lt;VLOOKUP(I$5,NFI,5,0),1,0)*Data_NFI_t[[#This Row],[Hygiene Kit]],0)</f>
        <v>0</v>
      </c>
      <c r="AD23" s="734">
        <f>IF(NFI_Expiration=1,IF($A23&lt;VLOOKUP(L$5,NFI,5,0),1,0)*Data_NFI_t[[#This Row],[NFI Core Kit]],0)</f>
        <v>0</v>
      </c>
      <c r="AE23" s="735">
        <f>IF(NFI_Expiration=1,IF($A23&lt;VLOOKUP(M$5,NFI,5,0),1,0)*Data_NFI_t[[#This Row],[Sanitary Kit]],0)</f>
        <v>0</v>
      </c>
      <c r="AF23" s="735">
        <f>IF(NFI_Expiration=1,IF($A23&lt;VLOOKUP(N$5,NFI,5,0),1,0)*Data_NFI_t[[#This Row],[Mosquito net]],0)</f>
        <v>22</v>
      </c>
      <c r="AG23" s="735">
        <f>IF(NFI_Expiration=1,IF($A23&lt;VLOOKUP(O$5,NFI,5,0),1,0)*Data_NFI_t[[#This Row],[Tarpaulin]],0)</f>
        <v>0</v>
      </c>
      <c r="AH23" s="735">
        <f>IF(NFI_Expiration=1,IF($A23&lt;VLOOKUP(P$5,NFI,5,0),1,0)*Data_NFI_t[[#This Row],[Blanket]],0)</f>
        <v>22</v>
      </c>
      <c r="AI23" s="735">
        <f>IF(NFI_Expiration=1,IF($A23&lt;VLOOKUP(Q$5,NFI,5,0),1,0)*Data_NFI_t[[#This Row],[Kitchen Set]],0)</f>
        <v>22</v>
      </c>
      <c r="AJ23" s="735">
        <f>IF(NFI_Expiration=1,IF($A23&lt;VLOOKUP(R$5,NFI,5,0),1,0)*Data_NFI_t[[#This Row],[Complementary Kit]],0)</f>
        <v>0</v>
      </c>
      <c r="AK23" s="735">
        <f>IF(NFI_Expiration=1,IF($A23&lt;VLOOKUP(S$5,NFI,5,0),1,0)*Data_NFI_t[[#This Row],[Plastic Bucket]],0)</f>
        <v>0</v>
      </c>
      <c r="AL23" s="734">
        <f>IF(NFI_Expiration=1,IF($A23&lt;VLOOKUP(T$5,NFI,5,0),1,0)*Data_NFI_t[[#This Row],[Jerry Can]],0)</f>
        <v>0</v>
      </c>
      <c r="AM23" s="734">
        <f>IF(NFI_Expiration=1,IF($A23&lt;VLOOKUP(U$5,NFI,5,0),1,0)*Data_NFI_t[[#This Row],[Plastic Mat]],0)</f>
        <v>66</v>
      </c>
      <c r="AN23" s="734">
        <f>IF(NFI_Expiration=1,IF($A23&lt;VLOOKUP(V$5,NFI,5,0),1,0)*Data_NFI_t[[#This Row],[Adult Clothes]],0)</f>
        <v>0</v>
      </c>
      <c r="AO23" s="734">
        <f>IF(NFI_Expiration=1,IF($A23&lt;VLOOKUP(W$5,NFI,5,0),1,0)*Data_NFI_t[[#This Row],[Children Clothes]],0)</f>
        <v>0</v>
      </c>
      <c r="AP23" s="734">
        <f>IF(NFI_Expiration=1,IF($A23&lt;VLOOKUP(X$5,NFI,5,0),1,0)*Data_NFI_t[[#This Row],[Sewing Kit]],0)</f>
        <v>0</v>
      </c>
      <c r="AQ23" s="734">
        <f>IF(NFI_Expiration=1,IF($A23&lt;VLOOKUP(X$5,NFI,5,0),1,0)*Data_NFI_t[[#This Row],[Solar Lantern]],0)</f>
        <v>0</v>
      </c>
      <c r="AR23" s="105" t="str">
        <f ca="1">IFERROR(OFFSET(Camp_List[P_Code],MATCH(Data_NFI_t[[#This Row],[Camp Name]],Camp_List[Camp Name],0)-1,0,1,1),"")</f>
        <v>MMR012CMP115</v>
      </c>
      <c r="AS23" s="421" t="str">
        <f ca="1">IFERROR(OFFSET(Camp_List[Status],MATCH(Data_NFI_t[[#This Row],[Camp Name]],Camp_List[Camp Name],0)-1,0,1,1),"")</f>
        <v>Open</v>
      </c>
      <c r="AT23" s="105" t="s">
        <v>1148</v>
      </c>
      <c r="AW23" s="772"/>
    </row>
    <row r="24" spans="1:49" s="770" customFormat="1" ht="16.5" customHeight="1" x14ac:dyDescent="0.25">
      <c r="A24" s="736">
        <f t="shared" si="0"/>
        <v>2.7333333333333334</v>
      </c>
      <c r="B24" s="737">
        <f>YEAR(Data_NFI_t[[#This Row],[Distribution Date]])</f>
        <v>2018</v>
      </c>
      <c r="C24" s="1013">
        <v>43108</v>
      </c>
      <c r="D24" s="733" t="s">
        <v>270</v>
      </c>
      <c r="E24" s="733" t="s">
        <v>273</v>
      </c>
      <c r="F24" s="733" t="s">
        <v>7</v>
      </c>
      <c r="G24" s="738" t="s">
        <v>17</v>
      </c>
      <c r="H24" s="738" t="s">
        <v>585</v>
      </c>
      <c r="I24" s="205"/>
      <c r="J24" s="954">
        <v>5</v>
      </c>
      <c r="K24" s="954">
        <v>5</v>
      </c>
      <c r="L24" s="740"/>
      <c r="M24" s="740"/>
      <c r="N24" s="741">
        <v>5</v>
      </c>
      <c r="O24" s="741"/>
      <c r="P24" s="741">
        <v>5</v>
      </c>
      <c r="Q24" s="741">
        <v>5</v>
      </c>
      <c r="R24" s="741"/>
      <c r="S24" s="741"/>
      <c r="T24" s="742"/>
      <c r="U24" s="741">
        <v>15</v>
      </c>
      <c r="V24" s="955"/>
      <c r="W24" s="955"/>
      <c r="X24" s="741"/>
      <c r="Y24" s="741"/>
      <c r="Z24" s="741"/>
      <c r="AA24" s="741"/>
      <c r="AB24" s="741"/>
      <c r="AC24" s="734">
        <f>IF(NFI_Expiration=1,IF($A24&lt;VLOOKUP(I$5,NFI,5,0),1,0)*Data_NFI_t[[#This Row],[Hygiene Kit]],0)</f>
        <v>0</v>
      </c>
      <c r="AD24" s="734">
        <f>IF(NFI_Expiration=1,IF($A24&lt;VLOOKUP(L$5,NFI,5,0),1,0)*Data_NFI_t[[#This Row],[NFI Core Kit]],0)</f>
        <v>0</v>
      </c>
      <c r="AE24" s="735">
        <f>IF(NFI_Expiration=1,IF($A24&lt;VLOOKUP(M$5,NFI,5,0),1,0)*Data_NFI_t[[#This Row],[Sanitary Kit]],0)</f>
        <v>0</v>
      </c>
      <c r="AF24" s="735">
        <f>IF(NFI_Expiration=1,IF($A24&lt;VLOOKUP(N$5,NFI,5,0),1,0)*Data_NFI_t[[#This Row],[Mosquito net]],0)</f>
        <v>5</v>
      </c>
      <c r="AG24" s="735">
        <f>IF(NFI_Expiration=1,IF($A24&lt;VLOOKUP(O$5,NFI,5,0),1,0)*Data_NFI_t[[#This Row],[Tarpaulin]],0)</f>
        <v>0</v>
      </c>
      <c r="AH24" s="735">
        <f>IF(NFI_Expiration=1,IF($A24&lt;VLOOKUP(P$5,NFI,5,0),1,0)*Data_NFI_t[[#This Row],[Blanket]],0)</f>
        <v>5</v>
      </c>
      <c r="AI24" s="735">
        <f>IF(NFI_Expiration=1,IF($A24&lt;VLOOKUP(Q$5,NFI,5,0),1,0)*Data_NFI_t[[#This Row],[Kitchen Set]],0)</f>
        <v>5</v>
      </c>
      <c r="AJ24" s="735">
        <f>IF(NFI_Expiration=1,IF($A24&lt;VLOOKUP(R$5,NFI,5,0),1,0)*Data_NFI_t[[#This Row],[Complementary Kit]],0)</f>
        <v>0</v>
      </c>
      <c r="AK24" s="735">
        <f>IF(NFI_Expiration=1,IF($A24&lt;VLOOKUP(S$5,NFI,5,0),1,0)*Data_NFI_t[[#This Row],[Plastic Bucket]],0)</f>
        <v>0</v>
      </c>
      <c r="AL24" s="734">
        <f>IF(NFI_Expiration=1,IF($A24&lt;VLOOKUP(T$5,NFI,5,0),1,0)*Data_NFI_t[[#This Row],[Jerry Can]],0)</f>
        <v>0</v>
      </c>
      <c r="AM24" s="734">
        <f>IF(NFI_Expiration=1,IF($A24&lt;VLOOKUP(U$5,NFI,5,0),1,0)*Data_NFI_t[[#This Row],[Plastic Mat]],0)</f>
        <v>15</v>
      </c>
      <c r="AN24" s="734">
        <f>IF(NFI_Expiration=1,IF($A24&lt;VLOOKUP(V$5,NFI,5,0),1,0)*Data_NFI_t[[#This Row],[Adult Clothes]],0)</f>
        <v>0</v>
      </c>
      <c r="AO24" s="734">
        <f>IF(NFI_Expiration=1,IF($A24&lt;VLOOKUP(W$5,NFI,5,0),1,0)*Data_NFI_t[[#This Row],[Children Clothes]],0)</f>
        <v>0</v>
      </c>
      <c r="AP24" s="734">
        <f>IF(NFI_Expiration=1,IF($A24&lt;VLOOKUP(X$5,NFI,5,0),1,0)*Data_NFI_t[[#This Row],[Sewing Kit]],0)</f>
        <v>0</v>
      </c>
      <c r="AQ24" s="734">
        <f>IF(NFI_Expiration=1,IF($A24&lt;VLOOKUP(X$5,NFI,5,0),1,0)*Data_NFI_t[[#This Row],[Solar Lantern]],0)</f>
        <v>0</v>
      </c>
      <c r="AR24" s="105" t="str">
        <f ca="1">IFERROR(OFFSET(Camp_List[P_Code],MATCH(Data_NFI_t[[#This Row],[Camp Name]],Camp_List[Camp Name],0)-1,0,1,1),"")</f>
        <v>MMR012CMP098</v>
      </c>
      <c r="AS24" s="421" t="str">
        <f ca="1">IFERROR(OFFSET(Camp_List[Status],MATCH(Data_NFI_t[[#This Row],[Camp Name]],Camp_List[Camp Name],0)-1,0,1,1),"")</f>
        <v>Open</v>
      </c>
      <c r="AT24" s="105" t="s">
        <v>1148</v>
      </c>
      <c r="AW24" s="772"/>
    </row>
    <row r="25" spans="1:49" s="770" customFormat="1" ht="16.5" customHeight="1" x14ac:dyDescent="0.25">
      <c r="A25" s="736">
        <f t="shared" si="0"/>
        <v>2.8333333333333335</v>
      </c>
      <c r="B25" s="737">
        <f>YEAR(Data_NFI_t[[#This Row],[Distribution Date]])</f>
        <v>2018</v>
      </c>
      <c r="C25" s="1013">
        <v>43105</v>
      </c>
      <c r="D25" s="733" t="s">
        <v>270</v>
      </c>
      <c r="E25" s="733" t="s">
        <v>273</v>
      </c>
      <c r="F25" s="733" t="s">
        <v>7</v>
      </c>
      <c r="G25" s="738" t="s">
        <v>17</v>
      </c>
      <c r="H25" s="738" t="s">
        <v>61</v>
      </c>
      <c r="I25" s="205"/>
      <c r="J25" s="954">
        <v>20</v>
      </c>
      <c r="K25" s="954">
        <v>20</v>
      </c>
      <c r="L25" s="740"/>
      <c r="M25" s="740"/>
      <c r="N25" s="741">
        <v>20</v>
      </c>
      <c r="O25" s="741"/>
      <c r="P25" s="741">
        <v>20</v>
      </c>
      <c r="Q25" s="741">
        <v>20</v>
      </c>
      <c r="R25" s="741"/>
      <c r="S25" s="741"/>
      <c r="T25" s="742"/>
      <c r="U25" s="741">
        <v>60</v>
      </c>
      <c r="V25" s="955"/>
      <c r="W25" s="955"/>
      <c r="X25" s="741"/>
      <c r="Y25" s="741"/>
      <c r="Z25" s="741"/>
      <c r="AA25" s="741"/>
      <c r="AB25" s="741"/>
      <c r="AC25" s="734">
        <f>IF(NFI_Expiration=1,IF($A25&lt;VLOOKUP(I$5,NFI,5,0),1,0)*Data_NFI_t[[#This Row],[Hygiene Kit]],0)</f>
        <v>0</v>
      </c>
      <c r="AD25" s="734">
        <f>IF(NFI_Expiration=1,IF($A25&lt;VLOOKUP(L$5,NFI,5,0),1,0)*Data_NFI_t[[#This Row],[NFI Core Kit]],0)</f>
        <v>0</v>
      </c>
      <c r="AE25" s="735">
        <f>IF(NFI_Expiration=1,IF($A25&lt;VLOOKUP(M$5,NFI,5,0),1,0)*Data_NFI_t[[#This Row],[Sanitary Kit]],0)</f>
        <v>0</v>
      </c>
      <c r="AF25" s="735">
        <f>IF(NFI_Expiration=1,IF($A25&lt;VLOOKUP(N$5,NFI,5,0),1,0)*Data_NFI_t[[#This Row],[Mosquito net]],0)</f>
        <v>20</v>
      </c>
      <c r="AG25" s="735">
        <f>IF(NFI_Expiration=1,IF($A25&lt;VLOOKUP(O$5,NFI,5,0),1,0)*Data_NFI_t[[#This Row],[Tarpaulin]],0)</f>
        <v>0</v>
      </c>
      <c r="AH25" s="735">
        <f>IF(NFI_Expiration=1,IF($A25&lt;VLOOKUP(P$5,NFI,5,0),1,0)*Data_NFI_t[[#This Row],[Blanket]],0)</f>
        <v>20</v>
      </c>
      <c r="AI25" s="735">
        <f>IF(NFI_Expiration=1,IF($A25&lt;VLOOKUP(Q$5,NFI,5,0),1,0)*Data_NFI_t[[#This Row],[Kitchen Set]],0)</f>
        <v>20</v>
      </c>
      <c r="AJ25" s="735">
        <f>IF(NFI_Expiration=1,IF($A25&lt;VLOOKUP(R$5,NFI,5,0),1,0)*Data_NFI_t[[#This Row],[Complementary Kit]],0)</f>
        <v>0</v>
      </c>
      <c r="AK25" s="735">
        <f>IF(NFI_Expiration=1,IF($A25&lt;VLOOKUP(S$5,NFI,5,0),1,0)*Data_NFI_t[[#This Row],[Plastic Bucket]],0)</f>
        <v>0</v>
      </c>
      <c r="AL25" s="734">
        <f>IF(NFI_Expiration=1,IF($A25&lt;VLOOKUP(T$5,NFI,5,0),1,0)*Data_NFI_t[[#This Row],[Jerry Can]],0)</f>
        <v>0</v>
      </c>
      <c r="AM25" s="734">
        <f>IF(NFI_Expiration=1,IF($A25&lt;VLOOKUP(U$5,NFI,5,0),1,0)*Data_NFI_t[[#This Row],[Plastic Mat]],0)</f>
        <v>60</v>
      </c>
      <c r="AN25" s="734">
        <f>IF(NFI_Expiration=1,IF($A25&lt;VLOOKUP(V$5,NFI,5,0),1,0)*Data_NFI_t[[#This Row],[Adult Clothes]],0)</f>
        <v>0</v>
      </c>
      <c r="AO25" s="734">
        <f>IF(NFI_Expiration=1,IF($A25&lt;VLOOKUP(W$5,NFI,5,0),1,0)*Data_NFI_t[[#This Row],[Children Clothes]],0)</f>
        <v>0</v>
      </c>
      <c r="AP25" s="734">
        <f>IF(NFI_Expiration=1,IF($A25&lt;VLOOKUP(X$5,NFI,5,0),1,0)*Data_NFI_t[[#This Row],[Sewing Kit]],0)</f>
        <v>0</v>
      </c>
      <c r="AQ25" s="734">
        <f>IF(NFI_Expiration=1,IF($A25&lt;VLOOKUP(X$5,NFI,5,0),1,0)*Data_NFI_t[[#This Row],[Solar Lantern]],0)</f>
        <v>0</v>
      </c>
      <c r="AR25" s="105" t="str">
        <f ca="1">IFERROR(OFFSET(Camp_List[P_Code],MATCH(Data_NFI_t[[#This Row],[Camp Name]],Camp_List[Camp Name],0)-1,0,1,1),"")</f>
        <v>MMR012CMP041</v>
      </c>
      <c r="AS25" s="421" t="str">
        <f ca="1">IFERROR(OFFSET(Camp_List[Status],MATCH(Data_NFI_t[[#This Row],[Camp Name]],Camp_List[Camp Name],0)-1,0,1,1),"")</f>
        <v>Open</v>
      </c>
      <c r="AT25" s="105" t="s">
        <v>1148</v>
      </c>
      <c r="AW25" s="772"/>
    </row>
    <row r="26" spans="1:49" s="770" customFormat="1" ht="16.5" customHeight="1" x14ac:dyDescent="0.25">
      <c r="A26" s="736">
        <f t="shared" si="0"/>
        <v>2.8333333333333335</v>
      </c>
      <c r="B26" s="737">
        <f>YEAR(Data_NFI_t[[#This Row],[Distribution Date]])</f>
        <v>2018</v>
      </c>
      <c r="C26" s="1013">
        <v>43105</v>
      </c>
      <c r="D26" s="733" t="s">
        <v>270</v>
      </c>
      <c r="E26" s="733" t="s">
        <v>273</v>
      </c>
      <c r="F26" s="733" t="s">
        <v>7</v>
      </c>
      <c r="G26" s="738" t="s">
        <v>17</v>
      </c>
      <c r="H26" s="738" t="s">
        <v>582</v>
      </c>
      <c r="I26" s="205"/>
      <c r="J26" s="954">
        <v>19</v>
      </c>
      <c r="K26" s="954">
        <v>19</v>
      </c>
      <c r="L26" s="740"/>
      <c r="M26" s="740"/>
      <c r="N26" s="741">
        <v>19</v>
      </c>
      <c r="O26" s="741"/>
      <c r="P26" s="741">
        <v>19</v>
      </c>
      <c r="Q26" s="741">
        <v>19</v>
      </c>
      <c r="R26" s="741"/>
      <c r="S26" s="741"/>
      <c r="T26" s="742"/>
      <c r="U26" s="741">
        <v>57</v>
      </c>
      <c r="V26" s="955"/>
      <c r="W26" s="955"/>
      <c r="X26" s="741"/>
      <c r="Y26" s="741"/>
      <c r="Z26" s="741"/>
      <c r="AA26" s="741"/>
      <c r="AB26" s="741"/>
      <c r="AC26" s="734">
        <f>IF(NFI_Expiration=1,IF($A26&lt;VLOOKUP(I$5,NFI,5,0),1,0)*Data_NFI_t[[#This Row],[Hygiene Kit]],0)</f>
        <v>0</v>
      </c>
      <c r="AD26" s="734">
        <f>IF(NFI_Expiration=1,IF($A26&lt;VLOOKUP(L$5,NFI,5,0),1,0)*Data_NFI_t[[#This Row],[NFI Core Kit]],0)</f>
        <v>0</v>
      </c>
      <c r="AE26" s="735">
        <f>IF(NFI_Expiration=1,IF($A26&lt;VLOOKUP(M$5,NFI,5,0),1,0)*Data_NFI_t[[#This Row],[Sanitary Kit]],0)</f>
        <v>0</v>
      </c>
      <c r="AF26" s="735">
        <f>IF(NFI_Expiration=1,IF($A26&lt;VLOOKUP(N$5,NFI,5,0),1,0)*Data_NFI_t[[#This Row],[Mosquito net]],0)</f>
        <v>19</v>
      </c>
      <c r="AG26" s="735">
        <f>IF(NFI_Expiration=1,IF($A26&lt;VLOOKUP(O$5,NFI,5,0),1,0)*Data_NFI_t[[#This Row],[Tarpaulin]],0)</f>
        <v>0</v>
      </c>
      <c r="AH26" s="735">
        <f>IF(NFI_Expiration=1,IF($A26&lt;VLOOKUP(P$5,NFI,5,0),1,0)*Data_NFI_t[[#This Row],[Blanket]],0)</f>
        <v>19</v>
      </c>
      <c r="AI26" s="735">
        <f>IF(NFI_Expiration=1,IF($A26&lt;VLOOKUP(Q$5,NFI,5,0),1,0)*Data_NFI_t[[#This Row],[Kitchen Set]],0)</f>
        <v>19</v>
      </c>
      <c r="AJ26" s="735">
        <f>IF(NFI_Expiration=1,IF($A26&lt;VLOOKUP(R$5,NFI,5,0),1,0)*Data_NFI_t[[#This Row],[Complementary Kit]],0)</f>
        <v>0</v>
      </c>
      <c r="AK26" s="735">
        <f>IF(NFI_Expiration=1,IF($A26&lt;VLOOKUP(S$5,NFI,5,0),1,0)*Data_NFI_t[[#This Row],[Plastic Bucket]],0)</f>
        <v>0</v>
      </c>
      <c r="AL26" s="734">
        <f>IF(NFI_Expiration=1,IF($A26&lt;VLOOKUP(T$5,NFI,5,0),1,0)*Data_NFI_t[[#This Row],[Jerry Can]],0)</f>
        <v>0</v>
      </c>
      <c r="AM26" s="734">
        <f>IF(NFI_Expiration=1,IF($A26&lt;VLOOKUP(U$5,NFI,5,0),1,0)*Data_NFI_t[[#This Row],[Plastic Mat]],0)</f>
        <v>57</v>
      </c>
      <c r="AN26" s="734">
        <f>IF(NFI_Expiration=1,IF($A26&lt;VLOOKUP(V$5,NFI,5,0),1,0)*Data_NFI_t[[#This Row],[Adult Clothes]],0)</f>
        <v>0</v>
      </c>
      <c r="AO26" s="734">
        <f>IF(NFI_Expiration=1,IF($A26&lt;VLOOKUP(W$5,NFI,5,0),1,0)*Data_NFI_t[[#This Row],[Children Clothes]],0)</f>
        <v>0</v>
      </c>
      <c r="AP26" s="734">
        <f>IF(NFI_Expiration=1,IF($A26&lt;VLOOKUP(X$5,NFI,5,0),1,0)*Data_NFI_t[[#This Row],[Sewing Kit]],0)</f>
        <v>0</v>
      </c>
      <c r="AQ26" s="734">
        <f>IF(NFI_Expiration=1,IF($A26&lt;VLOOKUP(X$5,NFI,5,0),1,0)*Data_NFI_t[[#This Row],[Solar Lantern]],0)</f>
        <v>0</v>
      </c>
      <c r="AR26" s="779" t="str">
        <f ca="1">IFERROR(OFFSET(Camp_List[P_Code],MATCH(Data_NFI_t[[#This Row],[Camp Name]],Camp_List[Camp Name],0)-1,0,1,1),"")</f>
        <v>MMR012CMP114</v>
      </c>
      <c r="AS26" s="780" t="str">
        <f ca="1">IFERROR(OFFSET(Camp_List[Status],MATCH(Data_NFI_t[[#This Row],[Camp Name]],Camp_List[Camp Name],0)-1,0,1,1),"")</f>
        <v>Open</v>
      </c>
      <c r="AT26" s="105" t="s">
        <v>1148</v>
      </c>
      <c r="AW26" s="772"/>
    </row>
    <row r="27" spans="1:49" s="770" customFormat="1" ht="16.5" customHeight="1" x14ac:dyDescent="0.25">
      <c r="A27" s="736">
        <f t="shared" si="0"/>
        <v>2.8333333333333335</v>
      </c>
      <c r="B27" s="737">
        <f>YEAR(Data_NFI_t[[#This Row],[Distribution Date]])</f>
        <v>2018</v>
      </c>
      <c r="C27" s="1013">
        <v>43105</v>
      </c>
      <c r="D27" s="733" t="s">
        <v>270</v>
      </c>
      <c r="E27" s="733" t="s">
        <v>273</v>
      </c>
      <c r="F27" s="733" t="s">
        <v>7</v>
      </c>
      <c r="G27" s="738" t="s">
        <v>17</v>
      </c>
      <c r="H27" s="738" t="s">
        <v>581</v>
      </c>
      <c r="I27" s="205"/>
      <c r="J27" s="954">
        <v>22</v>
      </c>
      <c r="K27" s="954">
        <v>22</v>
      </c>
      <c r="L27" s="740"/>
      <c r="M27" s="740"/>
      <c r="N27" s="741">
        <v>22</v>
      </c>
      <c r="O27" s="741"/>
      <c r="P27" s="741">
        <v>22</v>
      </c>
      <c r="Q27" s="741">
        <v>22</v>
      </c>
      <c r="R27" s="741"/>
      <c r="S27" s="741"/>
      <c r="T27" s="742"/>
      <c r="U27" s="741">
        <v>66</v>
      </c>
      <c r="V27" s="955"/>
      <c r="W27" s="955"/>
      <c r="X27" s="741"/>
      <c r="Y27" s="741"/>
      <c r="Z27" s="741"/>
      <c r="AA27" s="741"/>
      <c r="AB27" s="741"/>
      <c r="AC27" s="734">
        <f>IF(NFI_Expiration=1,IF($A27&lt;VLOOKUP(I$5,NFI,5,0),1,0)*Data_NFI_t[[#This Row],[Hygiene Kit]],0)</f>
        <v>0</v>
      </c>
      <c r="AD27" s="734">
        <f>IF(NFI_Expiration=1,IF($A27&lt;VLOOKUP(L$5,NFI,5,0),1,0)*Data_NFI_t[[#This Row],[NFI Core Kit]],0)</f>
        <v>0</v>
      </c>
      <c r="AE27" s="735">
        <f>IF(NFI_Expiration=1,IF($A27&lt;VLOOKUP(M$5,NFI,5,0),1,0)*Data_NFI_t[[#This Row],[Sanitary Kit]],0)</f>
        <v>0</v>
      </c>
      <c r="AF27" s="735">
        <f>IF(NFI_Expiration=1,IF($A27&lt;VLOOKUP(N$5,NFI,5,0),1,0)*Data_NFI_t[[#This Row],[Mosquito net]],0)</f>
        <v>22</v>
      </c>
      <c r="AG27" s="735">
        <f>IF(NFI_Expiration=1,IF($A27&lt;VLOOKUP(O$5,NFI,5,0),1,0)*Data_NFI_t[[#This Row],[Tarpaulin]],0)</f>
        <v>0</v>
      </c>
      <c r="AH27" s="735">
        <f>IF(NFI_Expiration=1,IF($A27&lt;VLOOKUP(P$5,NFI,5,0),1,0)*Data_NFI_t[[#This Row],[Blanket]],0)</f>
        <v>22</v>
      </c>
      <c r="AI27" s="735">
        <f>IF(NFI_Expiration=1,IF($A27&lt;VLOOKUP(Q$5,NFI,5,0),1,0)*Data_NFI_t[[#This Row],[Kitchen Set]],0)</f>
        <v>22</v>
      </c>
      <c r="AJ27" s="735">
        <f>IF(NFI_Expiration=1,IF($A27&lt;VLOOKUP(R$5,NFI,5,0),1,0)*Data_NFI_t[[#This Row],[Complementary Kit]],0)</f>
        <v>0</v>
      </c>
      <c r="AK27" s="735">
        <f>IF(NFI_Expiration=1,IF($A27&lt;VLOOKUP(S$5,NFI,5,0),1,0)*Data_NFI_t[[#This Row],[Plastic Bucket]],0)</f>
        <v>0</v>
      </c>
      <c r="AL27" s="734">
        <f>IF(NFI_Expiration=1,IF($A27&lt;VLOOKUP(T$5,NFI,5,0),1,0)*Data_NFI_t[[#This Row],[Jerry Can]],0)</f>
        <v>0</v>
      </c>
      <c r="AM27" s="734">
        <f>IF(NFI_Expiration=1,IF($A27&lt;VLOOKUP(U$5,NFI,5,0),1,0)*Data_NFI_t[[#This Row],[Plastic Mat]],0)</f>
        <v>66</v>
      </c>
      <c r="AN27" s="734">
        <f>IF(NFI_Expiration=1,IF($A27&lt;VLOOKUP(V$5,NFI,5,0),1,0)*Data_NFI_t[[#This Row],[Adult Clothes]],0)</f>
        <v>0</v>
      </c>
      <c r="AO27" s="734">
        <f>IF(NFI_Expiration=1,IF($A27&lt;VLOOKUP(W$5,NFI,5,0),1,0)*Data_NFI_t[[#This Row],[Children Clothes]],0)</f>
        <v>0</v>
      </c>
      <c r="AP27" s="734">
        <f>IF(NFI_Expiration=1,IF($A27&lt;VLOOKUP(X$5,NFI,5,0),1,0)*Data_NFI_t[[#This Row],[Sewing Kit]],0)</f>
        <v>0</v>
      </c>
      <c r="AQ27" s="734">
        <f>IF(NFI_Expiration=1,IF($A27&lt;VLOOKUP(X$5,NFI,5,0),1,0)*Data_NFI_t[[#This Row],[Solar Lantern]],0)</f>
        <v>0</v>
      </c>
      <c r="AR27" s="105" t="str">
        <f ca="1">IFERROR(OFFSET(Camp_List[P_Code],MATCH(Data_NFI_t[[#This Row],[Camp Name]],Camp_List[Camp Name],0)-1,0,1,1),"")</f>
        <v>MMR012CMP113</v>
      </c>
      <c r="AS27" s="421" t="str">
        <f ca="1">IFERROR(OFFSET(Camp_List[Status],MATCH(Data_NFI_t[[#This Row],[Camp Name]],Camp_List[Camp Name],0)-1,0,1,1),"")</f>
        <v>Open</v>
      </c>
      <c r="AT27" s="105" t="s">
        <v>1148</v>
      </c>
      <c r="AW27" s="772"/>
    </row>
    <row r="28" spans="1:49" s="770" customFormat="1" ht="18" customHeight="1" x14ac:dyDescent="0.25">
      <c r="A28" s="736">
        <f t="shared" si="0"/>
        <v>3.0666666666666669</v>
      </c>
      <c r="B28" s="737">
        <f>YEAR(Data_NFI_t[[#This Row],[Distribution Date]])</f>
        <v>2017</v>
      </c>
      <c r="C28" s="1013">
        <v>43098</v>
      </c>
      <c r="D28" s="733" t="s">
        <v>1130</v>
      </c>
      <c r="E28" s="733" t="s">
        <v>1130</v>
      </c>
      <c r="F28" s="733" t="s">
        <v>7</v>
      </c>
      <c r="G28" s="738" t="s">
        <v>17</v>
      </c>
      <c r="H28" s="738" t="s">
        <v>497</v>
      </c>
      <c r="I28" s="205"/>
      <c r="J28" s="954">
        <v>299</v>
      </c>
      <c r="K28" s="954">
        <v>1645</v>
      </c>
      <c r="L28" s="740">
        <v>299</v>
      </c>
      <c r="M28" s="740"/>
      <c r="N28" s="741"/>
      <c r="O28" s="741"/>
      <c r="P28" s="741"/>
      <c r="Q28" s="741"/>
      <c r="R28" s="741"/>
      <c r="S28" s="741"/>
      <c r="T28" s="742"/>
      <c r="U28" s="741"/>
      <c r="V28" s="955"/>
      <c r="W28" s="955"/>
      <c r="X28" s="741"/>
      <c r="Y28" s="741"/>
      <c r="Z28" s="741"/>
      <c r="AA28" s="741"/>
      <c r="AB28" s="741"/>
      <c r="AC28" s="734">
        <f>IF(NFI_Expiration=1,IF($A28&lt;VLOOKUP(I$5,NFI,5,0),1,0)*Data_NFI_t[[#This Row],[Hygiene Kit]],0)</f>
        <v>0</v>
      </c>
      <c r="AD28" s="734">
        <f>IF(NFI_Expiration=1,IF($A28&lt;VLOOKUP(L$5,NFI,5,0),1,0)*Data_NFI_t[[#This Row],[NFI Core Kit]],0)</f>
        <v>299</v>
      </c>
      <c r="AE28" s="735">
        <f>IF(NFI_Expiration=1,IF($A28&lt;VLOOKUP(M$5,NFI,5,0),1,0)*Data_NFI_t[[#This Row],[Sanitary Kit]],0)</f>
        <v>0</v>
      </c>
      <c r="AF28" s="735">
        <f>IF(NFI_Expiration=1,IF($A28&lt;VLOOKUP(N$5,NFI,5,0),1,0)*Data_NFI_t[[#This Row],[Mosquito net]],0)</f>
        <v>0</v>
      </c>
      <c r="AG28" s="735">
        <f>IF(NFI_Expiration=1,IF($A28&lt;VLOOKUP(O$5,NFI,5,0),1,0)*Data_NFI_t[[#This Row],[Tarpaulin]],0)</f>
        <v>0</v>
      </c>
      <c r="AH28" s="735">
        <f>IF(NFI_Expiration=1,IF($A28&lt;VLOOKUP(P$5,NFI,5,0),1,0)*Data_NFI_t[[#This Row],[Blanket]],0)</f>
        <v>0</v>
      </c>
      <c r="AI28" s="735">
        <f>IF(NFI_Expiration=1,IF($A28&lt;VLOOKUP(Q$5,NFI,5,0),1,0)*Data_NFI_t[[#This Row],[Kitchen Set]],0)</f>
        <v>0</v>
      </c>
      <c r="AJ28" s="735">
        <f>IF(NFI_Expiration=1,IF($A28&lt;VLOOKUP(R$5,NFI,5,0),1,0)*Data_NFI_t[[#This Row],[Complementary Kit]],0)</f>
        <v>0</v>
      </c>
      <c r="AK28" s="735">
        <f>IF(NFI_Expiration=1,IF($A28&lt;VLOOKUP(S$5,NFI,5,0),1,0)*Data_NFI_t[[#This Row],[Plastic Bucket]],0)</f>
        <v>0</v>
      </c>
      <c r="AL28" s="734">
        <f>IF(NFI_Expiration=1,IF($A28&lt;VLOOKUP(T$5,NFI,5,0),1,0)*Data_NFI_t[[#This Row],[Jerry Can]],0)</f>
        <v>0</v>
      </c>
      <c r="AM28" s="734">
        <f>IF(NFI_Expiration=1,IF($A28&lt;VLOOKUP(U$5,NFI,5,0),1,0)*Data_NFI_t[[#This Row],[Plastic Mat]],0)</f>
        <v>0</v>
      </c>
      <c r="AN28" s="734">
        <f>IF(NFI_Expiration=1,IF($A28&lt;VLOOKUP(V$5,NFI,5,0),1,0)*Data_NFI_t[[#This Row],[Adult Clothes]],0)</f>
        <v>0</v>
      </c>
      <c r="AO28" s="734">
        <f>IF(NFI_Expiration=1,IF($A28&lt;VLOOKUP(W$5,NFI,5,0),1,0)*Data_NFI_t[[#This Row],[Children Clothes]],0)</f>
        <v>0</v>
      </c>
      <c r="AP28" s="734">
        <f>IF(NFI_Expiration=1,IF($A28&lt;VLOOKUP(X$5,NFI,5,0),1,0)*Data_NFI_t[[#This Row],[Sewing Kit]],0)</f>
        <v>0</v>
      </c>
      <c r="AQ28" s="734">
        <f>IF(NFI_Expiration=1,IF($A28&lt;VLOOKUP(X$5,NFI,5,0),1,0)*Data_NFI_t[[#This Row],[Solar Lantern]],0)</f>
        <v>0</v>
      </c>
      <c r="AR28" s="779" t="str">
        <f ca="1">IFERROR(OFFSET(Camp_List[P_Code],MATCH(Data_NFI_t[[#This Row],[Camp Name]],Camp_List[Camp Name],0)-1,0,1,1),"")</f>
        <v>MMR012CMP091</v>
      </c>
      <c r="AS28" s="780" t="str">
        <f ca="1">IFERROR(OFFSET(Camp_List[Status],MATCH(Data_NFI_t[[#This Row],[Camp Name]],Camp_List[Camp Name],0)-1,0,1,1),"")</f>
        <v>Open</v>
      </c>
      <c r="AT28" s="779"/>
      <c r="AW28" s="772"/>
    </row>
    <row r="29" spans="1:49" s="770" customFormat="1" ht="18" customHeight="1" x14ac:dyDescent="0.25">
      <c r="A29" s="736">
        <f t="shared" si="0"/>
        <v>3.0666666666666669</v>
      </c>
      <c r="B29" s="737">
        <f>YEAR(Data_NFI_t[[#This Row],[Distribution Date]])</f>
        <v>2017</v>
      </c>
      <c r="C29" s="1013">
        <v>43098</v>
      </c>
      <c r="D29" s="996" t="s">
        <v>1130</v>
      </c>
      <c r="E29" s="996" t="s">
        <v>1130</v>
      </c>
      <c r="F29" s="996" t="s">
        <v>7</v>
      </c>
      <c r="G29" s="738" t="s">
        <v>17</v>
      </c>
      <c r="H29" s="738" t="s">
        <v>68</v>
      </c>
      <c r="I29" s="205"/>
      <c r="J29" s="954">
        <v>1013</v>
      </c>
      <c r="K29" s="954">
        <v>5572</v>
      </c>
      <c r="L29" s="740">
        <v>1312</v>
      </c>
      <c r="M29" s="740"/>
      <c r="N29" s="741"/>
      <c r="O29" s="741"/>
      <c r="P29" s="741"/>
      <c r="Q29" s="741"/>
      <c r="R29" s="741"/>
      <c r="S29" s="741"/>
      <c r="T29" s="742"/>
      <c r="U29" s="741"/>
      <c r="V29" s="955"/>
      <c r="W29" s="955"/>
      <c r="X29" s="741"/>
      <c r="Y29" s="741"/>
      <c r="Z29" s="741"/>
      <c r="AA29" s="741"/>
      <c r="AB29" s="741"/>
      <c r="AC29" s="734">
        <f>IF(NFI_Expiration=1,IF($A29&lt;VLOOKUP(I$5,NFI,5,0),1,0)*Data_NFI_t[[#This Row],[Hygiene Kit]],0)</f>
        <v>0</v>
      </c>
      <c r="AD29" s="734">
        <f>IF(NFI_Expiration=1,IF($A29&lt;VLOOKUP(L$5,NFI,5,0),1,0)*Data_NFI_t[[#This Row],[NFI Core Kit]],0)</f>
        <v>1312</v>
      </c>
      <c r="AE29" s="735">
        <f>IF(NFI_Expiration=1,IF($A29&lt;VLOOKUP(M$5,NFI,5,0),1,0)*Data_NFI_t[[#This Row],[Sanitary Kit]],0)</f>
        <v>0</v>
      </c>
      <c r="AF29" s="735">
        <f>IF(NFI_Expiration=1,IF($A29&lt;VLOOKUP(N$5,NFI,5,0),1,0)*Data_NFI_t[[#This Row],[Mosquito net]],0)</f>
        <v>0</v>
      </c>
      <c r="AG29" s="735">
        <f>IF(NFI_Expiration=1,IF($A29&lt;VLOOKUP(O$5,NFI,5,0),1,0)*Data_NFI_t[[#This Row],[Tarpaulin]],0)</f>
        <v>0</v>
      </c>
      <c r="AH29" s="735">
        <f>IF(NFI_Expiration=1,IF($A29&lt;VLOOKUP(P$5,NFI,5,0),1,0)*Data_NFI_t[[#This Row],[Blanket]],0)</f>
        <v>0</v>
      </c>
      <c r="AI29" s="735">
        <f>IF(NFI_Expiration=1,IF($A29&lt;VLOOKUP(Q$5,NFI,5,0),1,0)*Data_NFI_t[[#This Row],[Kitchen Set]],0)</f>
        <v>0</v>
      </c>
      <c r="AJ29" s="735">
        <f>IF(NFI_Expiration=1,IF($A29&lt;VLOOKUP(R$5,NFI,5,0),1,0)*Data_NFI_t[[#This Row],[Complementary Kit]],0)</f>
        <v>0</v>
      </c>
      <c r="AK29" s="735">
        <f>IF(NFI_Expiration=1,IF($A29&lt;VLOOKUP(S$5,NFI,5,0),1,0)*Data_NFI_t[[#This Row],[Plastic Bucket]],0)</f>
        <v>0</v>
      </c>
      <c r="AL29" s="734">
        <f>IF(NFI_Expiration=1,IF($A29&lt;VLOOKUP(T$5,NFI,5,0),1,0)*Data_NFI_t[[#This Row],[Jerry Can]],0)</f>
        <v>0</v>
      </c>
      <c r="AM29" s="734">
        <f>IF(NFI_Expiration=1,IF($A29&lt;VLOOKUP(U$5,NFI,5,0),1,0)*Data_NFI_t[[#This Row],[Plastic Mat]],0)</f>
        <v>0</v>
      </c>
      <c r="AN29" s="734">
        <f>IF(NFI_Expiration=1,IF($A29&lt;VLOOKUP(V$5,NFI,5,0),1,0)*Data_NFI_t[[#This Row],[Adult Clothes]],0)</f>
        <v>0</v>
      </c>
      <c r="AO29" s="734">
        <f>IF(NFI_Expiration=1,IF($A29&lt;VLOOKUP(W$5,NFI,5,0),1,0)*Data_NFI_t[[#This Row],[Children Clothes]],0)</f>
        <v>0</v>
      </c>
      <c r="AP29" s="734">
        <f>IF(NFI_Expiration=1,IF($A29&lt;VLOOKUP(X$5,NFI,5,0),1,0)*Data_NFI_t[[#This Row],[Sewing Kit]],0)</f>
        <v>0</v>
      </c>
      <c r="AQ29" s="734">
        <f>IF(NFI_Expiration=1,IF($A29&lt;VLOOKUP(X$5,NFI,5,0),1,0)*Data_NFI_t[[#This Row],[Solar Lantern]],0)</f>
        <v>0</v>
      </c>
      <c r="AR29" s="105" t="str">
        <f ca="1">IFERROR(OFFSET(Camp_List[P_Code],MATCH(Data_NFI_t[[#This Row],[Camp Name]],Camp_List[Camp Name],0)-1,0,1,1),"")</f>
        <v>MMR012CMP048</v>
      </c>
      <c r="AS29" s="421" t="str">
        <f ca="1">IFERROR(OFFSET(Camp_List[Status],MATCH(Data_NFI_t[[#This Row],[Camp Name]],Camp_List[Camp Name],0)-1,0,1,1),"")</f>
        <v>Open</v>
      </c>
      <c r="AT29" s="105"/>
      <c r="AW29" s="772"/>
    </row>
    <row r="30" spans="1:49" s="770" customFormat="1" ht="18" customHeight="1" x14ac:dyDescent="0.25">
      <c r="A30" s="736">
        <f t="shared" si="0"/>
        <v>3.0666666666666669</v>
      </c>
      <c r="B30" s="737">
        <f>YEAR(Data_NFI_t[[#This Row],[Distribution Date]])</f>
        <v>2017</v>
      </c>
      <c r="C30" s="1013">
        <v>43098</v>
      </c>
      <c r="D30" s="996" t="s">
        <v>1130</v>
      </c>
      <c r="E30" s="996" t="s">
        <v>1130</v>
      </c>
      <c r="F30" s="996" t="s">
        <v>7</v>
      </c>
      <c r="G30" s="738" t="s">
        <v>17</v>
      </c>
      <c r="H30" s="738" t="s">
        <v>65</v>
      </c>
      <c r="I30" s="205"/>
      <c r="J30" s="954">
        <v>2280</v>
      </c>
      <c r="K30" s="954">
        <v>12540</v>
      </c>
      <c r="L30" s="740">
        <v>2280</v>
      </c>
      <c r="M30" s="740"/>
      <c r="N30" s="741"/>
      <c r="O30" s="741"/>
      <c r="P30" s="741"/>
      <c r="Q30" s="741"/>
      <c r="R30" s="741"/>
      <c r="S30" s="741"/>
      <c r="T30" s="742"/>
      <c r="U30" s="741"/>
      <c r="V30" s="955"/>
      <c r="W30" s="955"/>
      <c r="X30" s="741"/>
      <c r="Y30" s="741"/>
      <c r="Z30" s="741"/>
      <c r="AA30" s="741"/>
      <c r="AB30" s="741"/>
      <c r="AC30" s="734">
        <f>IF(NFI_Expiration=1,IF($A30&lt;VLOOKUP(I$5,NFI,5,0),1,0)*Data_NFI_t[[#This Row],[Hygiene Kit]],0)</f>
        <v>0</v>
      </c>
      <c r="AD30" s="734">
        <f>IF(NFI_Expiration=1,IF($A30&lt;VLOOKUP(L$5,NFI,5,0),1,0)*Data_NFI_t[[#This Row],[NFI Core Kit]],0)</f>
        <v>2280</v>
      </c>
      <c r="AE30" s="735">
        <f>IF(NFI_Expiration=1,IF($A30&lt;VLOOKUP(M$5,NFI,5,0),1,0)*Data_NFI_t[[#This Row],[Sanitary Kit]],0)</f>
        <v>0</v>
      </c>
      <c r="AF30" s="735">
        <f>IF(NFI_Expiration=1,IF($A30&lt;VLOOKUP(N$5,NFI,5,0),1,0)*Data_NFI_t[[#This Row],[Mosquito net]],0)</f>
        <v>0</v>
      </c>
      <c r="AG30" s="735">
        <f>IF(NFI_Expiration=1,IF($A30&lt;VLOOKUP(O$5,NFI,5,0),1,0)*Data_NFI_t[[#This Row],[Tarpaulin]],0)</f>
        <v>0</v>
      </c>
      <c r="AH30" s="735">
        <f>IF(NFI_Expiration=1,IF($A30&lt;VLOOKUP(P$5,NFI,5,0),1,0)*Data_NFI_t[[#This Row],[Blanket]],0)</f>
        <v>0</v>
      </c>
      <c r="AI30" s="735">
        <f>IF(NFI_Expiration=1,IF($A30&lt;VLOOKUP(Q$5,NFI,5,0),1,0)*Data_NFI_t[[#This Row],[Kitchen Set]],0)</f>
        <v>0</v>
      </c>
      <c r="AJ30" s="735">
        <f>IF(NFI_Expiration=1,IF($A30&lt;VLOOKUP(R$5,NFI,5,0),1,0)*Data_NFI_t[[#This Row],[Complementary Kit]],0)</f>
        <v>0</v>
      </c>
      <c r="AK30" s="735">
        <f>IF(NFI_Expiration=1,IF($A30&lt;VLOOKUP(S$5,NFI,5,0),1,0)*Data_NFI_t[[#This Row],[Plastic Bucket]],0)</f>
        <v>0</v>
      </c>
      <c r="AL30" s="734">
        <f>IF(NFI_Expiration=1,IF($A30&lt;VLOOKUP(T$5,NFI,5,0),1,0)*Data_NFI_t[[#This Row],[Jerry Can]],0)</f>
        <v>0</v>
      </c>
      <c r="AM30" s="734">
        <f>IF(NFI_Expiration=1,IF($A30&lt;VLOOKUP(U$5,NFI,5,0),1,0)*Data_NFI_t[[#This Row],[Plastic Mat]],0)</f>
        <v>0</v>
      </c>
      <c r="AN30" s="734">
        <f>IF(NFI_Expiration=1,IF($A30&lt;VLOOKUP(V$5,NFI,5,0),1,0)*Data_NFI_t[[#This Row],[Adult Clothes]],0)</f>
        <v>0</v>
      </c>
      <c r="AO30" s="734">
        <f>IF(NFI_Expiration=1,IF($A30&lt;VLOOKUP(W$5,NFI,5,0),1,0)*Data_NFI_t[[#This Row],[Children Clothes]],0)</f>
        <v>0</v>
      </c>
      <c r="AP30" s="734">
        <f>IF(NFI_Expiration=1,IF($A30&lt;VLOOKUP(X$5,NFI,5,0),1,0)*Data_NFI_t[[#This Row],[Sewing Kit]],0)</f>
        <v>0</v>
      </c>
      <c r="AQ30" s="734">
        <f>IF(NFI_Expiration=1,IF($A30&lt;VLOOKUP(X$5,NFI,5,0),1,0)*Data_NFI_t[[#This Row],[Solar Lantern]],0)</f>
        <v>0</v>
      </c>
      <c r="AR30" s="105" t="str">
        <f ca="1">IFERROR(OFFSET(Camp_List[P_Code],MATCH(Data_NFI_t[[#This Row],[Camp Name]],Camp_List[Camp Name],0)-1,0,1,1),"")</f>
        <v>MMR012CMP045</v>
      </c>
      <c r="AS30" s="421" t="str">
        <f ca="1">IFERROR(OFFSET(Camp_List[Status],MATCH(Data_NFI_t[[#This Row],[Camp Name]],Camp_List[Camp Name],0)-1,0,1,1),"")</f>
        <v>Open</v>
      </c>
      <c r="AT30" s="105"/>
      <c r="AW30" s="772"/>
    </row>
    <row r="31" spans="1:49" s="770" customFormat="1" ht="18" customHeight="1" x14ac:dyDescent="0.25">
      <c r="A31" s="736">
        <f t="shared" si="0"/>
        <v>3.0666666666666669</v>
      </c>
      <c r="B31" s="737">
        <f>YEAR(Data_NFI_t[[#This Row],[Distribution Date]])</f>
        <v>2017</v>
      </c>
      <c r="C31" s="1013">
        <v>43098</v>
      </c>
      <c r="D31" s="996" t="s">
        <v>1130</v>
      </c>
      <c r="E31" s="996" t="s">
        <v>1130</v>
      </c>
      <c r="F31" s="996" t="s">
        <v>7</v>
      </c>
      <c r="G31" s="738" t="s">
        <v>17</v>
      </c>
      <c r="H31" s="738" t="s">
        <v>586</v>
      </c>
      <c r="I31" s="205"/>
      <c r="J31" s="954">
        <v>2728</v>
      </c>
      <c r="K31" s="954">
        <v>13794</v>
      </c>
      <c r="L31" s="740">
        <v>2728</v>
      </c>
      <c r="M31" s="740"/>
      <c r="N31" s="741"/>
      <c r="O31" s="741"/>
      <c r="P31" s="741"/>
      <c r="Q31" s="741"/>
      <c r="R31" s="741"/>
      <c r="S31" s="741"/>
      <c r="T31" s="742"/>
      <c r="U31" s="741"/>
      <c r="V31" s="955"/>
      <c r="W31" s="955"/>
      <c r="X31" s="741"/>
      <c r="Y31" s="741"/>
      <c r="Z31" s="741"/>
      <c r="AA31" s="741"/>
      <c r="AB31" s="741"/>
      <c r="AC31" s="734">
        <f>IF(NFI_Expiration=1,IF($A31&lt;VLOOKUP(I$5,NFI,5,0),1,0)*Data_NFI_t[[#This Row],[Hygiene Kit]],0)</f>
        <v>0</v>
      </c>
      <c r="AD31" s="734">
        <f>IF(NFI_Expiration=1,IF($A31&lt;VLOOKUP(L$5,NFI,5,0),1,0)*Data_NFI_t[[#This Row],[NFI Core Kit]],0)</f>
        <v>2728</v>
      </c>
      <c r="AE31" s="735">
        <f>IF(NFI_Expiration=1,IF($A31&lt;VLOOKUP(M$5,NFI,5,0),1,0)*Data_NFI_t[[#This Row],[Sanitary Kit]],0)</f>
        <v>0</v>
      </c>
      <c r="AF31" s="735">
        <f>IF(NFI_Expiration=1,IF($A31&lt;VLOOKUP(N$5,NFI,5,0),1,0)*Data_NFI_t[[#This Row],[Mosquito net]],0)</f>
        <v>0</v>
      </c>
      <c r="AG31" s="735">
        <f>IF(NFI_Expiration=1,IF($A31&lt;VLOOKUP(O$5,NFI,5,0),1,0)*Data_NFI_t[[#This Row],[Tarpaulin]],0)</f>
        <v>0</v>
      </c>
      <c r="AH31" s="735">
        <f>IF(NFI_Expiration=1,IF($A31&lt;VLOOKUP(P$5,NFI,5,0),1,0)*Data_NFI_t[[#This Row],[Blanket]],0)</f>
        <v>0</v>
      </c>
      <c r="AI31" s="735">
        <f>IF(NFI_Expiration=1,IF($A31&lt;VLOOKUP(Q$5,NFI,5,0),1,0)*Data_NFI_t[[#This Row],[Kitchen Set]],0)</f>
        <v>0</v>
      </c>
      <c r="AJ31" s="735">
        <f>IF(NFI_Expiration=1,IF($A31&lt;VLOOKUP(R$5,NFI,5,0),1,0)*Data_NFI_t[[#This Row],[Complementary Kit]],0)</f>
        <v>0</v>
      </c>
      <c r="AK31" s="735">
        <f>IF(NFI_Expiration=1,IF($A31&lt;VLOOKUP(S$5,NFI,5,0),1,0)*Data_NFI_t[[#This Row],[Plastic Bucket]],0)</f>
        <v>0</v>
      </c>
      <c r="AL31" s="734">
        <f>IF(NFI_Expiration=1,IF($A31&lt;VLOOKUP(T$5,NFI,5,0),1,0)*Data_NFI_t[[#This Row],[Jerry Can]],0)</f>
        <v>0</v>
      </c>
      <c r="AM31" s="734">
        <f>IF(NFI_Expiration=1,IF($A31&lt;VLOOKUP(U$5,NFI,5,0),1,0)*Data_NFI_t[[#This Row],[Plastic Mat]],0)</f>
        <v>0</v>
      </c>
      <c r="AN31" s="734">
        <f>IF(NFI_Expiration=1,IF($A31&lt;VLOOKUP(V$5,NFI,5,0),1,0)*Data_NFI_t[[#This Row],[Adult Clothes]],0)</f>
        <v>0</v>
      </c>
      <c r="AO31" s="734">
        <f>IF(NFI_Expiration=1,IF($A31&lt;VLOOKUP(W$5,NFI,5,0),1,0)*Data_NFI_t[[#This Row],[Children Clothes]],0)</f>
        <v>0</v>
      </c>
      <c r="AP31" s="734">
        <f>IF(NFI_Expiration=1,IF($A31&lt;VLOOKUP(X$5,NFI,5,0),1,0)*Data_NFI_t[[#This Row],[Sewing Kit]],0)</f>
        <v>0</v>
      </c>
      <c r="AQ31" s="734">
        <f>IF(NFI_Expiration=1,IF($A31&lt;VLOOKUP(X$5,NFI,5,0),1,0)*Data_NFI_t[[#This Row],[Solar Lantern]],0)</f>
        <v>0</v>
      </c>
      <c r="AR31" s="105" t="str">
        <f ca="1">IFERROR(OFFSET(Camp_List[P_Code],MATCH(Data_NFI_t[[#This Row],[Camp Name]],Camp_List[Camp Name],0)-1,0,1,1),"")</f>
        <v>MMR012CMP115</v>
      </c>
      <c r="AS31" s="421" t="str">
        <f ca="1">IFERROR(OFFSET(Camp_List[Status],MATCH(Data_NFI_t[[#This Row],[Camp Name]],Camp_List[Camp Name],0)-1,0,1,1),"")</f>
        <v>Open</v>
      </c>
      <c r="AT31" s="105"/>
      <c r="AW31" s="772"/>
    </row>
    <row r="32" spans="1:49" s="770" customFormat="1" ht="18" customHeight="1" x14ac:dyDescent="0.25">
      <c r="A32" s="736">
        <f t="shared" si="0"/>
        <v>3.0666666666666669</v>
      </c>
      <c r="B32" s="737">
        <f>YEAR(Data_NFI_t[[#This Row],[Distribution Date]])</f>
        <v>2017</v>
      </c>
      <c r="C32" s="1013">
        <v>43098</v>
      </c>
      <c r="D32" s="733" t="s">
        <v>1130</v>
      </c>
      <c r="E32" s="733" t="s">
        <v>1130</v>
      </c>
      <c r="F32" s="733" t="s">
        <v>7</v>
      </c>
      <c r="G32" s="738" t="s">
        <v>17</v>
      </c>
      <c r="H32" s="738" t="s">
        <v>580</v>
      </c>
      <c r="I32" s="205"/>
      <c r="J32" s="954">
        <v>656</v>
      </c>
      <c r="K32" s="954">
        <v>3432</v>
      </c>
      <c r="L32" s="740">
        <v>656</v>
      </c>
      <c r="M32" s="740"/>
      <c r="N32" s="741"/>
      <c r="O32" s="741"/>
      <c r="P32" s="741"/>
      <c r="Q32" s="741"/>
      <c r="R32" s="741"/>
      <c r="S32" s="741"/>
      <c r="T32" s="742"/>
      <c r="U32" s="741"/>
      <c r="V32" s="955"/>
      <c r="W32" s="955"/>
      <c r="X32" s="741"/>
      <c r="Y32" s="741"/>
      <c r="Z32" s="741"/>
      <c r="AA32" s="741"/>
      <c r="AB32" s="741"/>
      <c r="AC32" s="734">
        <f>IF(NFI_Expiration=1,IF($A32&lt;VLOOKUP(I$5,NFI,5,0),1,0)*Data_NFI_t[[#This Row],[Hygiene Kit]],0)</f>
        <v>0</v>
      </c>
      <c r="AD32" s="734">
        <f>IF(NFI_Expiration=1,IF($A32&lt;VLOOKUP(L$5,NFI,5,0),1,0)*Data_NFI_t[[#This Row],[NFI Core Kit]],0)</f>
        <v>656</v>
      </c>
      <c r="AE32" s="735">
        <f>IF(NFI_Expiration=1,IF($A32&lt;VLOOKUP(M$5,NFI,5,0),1,0)*Data_NFI_t[[#This Row],[Sanitary Kit]],0)</f>
        <v>0</v>
      </c>
      <c r="AF32" s="735">
        <f>IF(NFI_Expiration=1,IF($A32&lt;VLOOKUP(N$5,NFI,5,0),1,0)*Data_NFI_t[[#This Row],[Mosquito net]],0)</f>
        <v>0</v>
      </c>
      <c r="AG32" s="735">
        <f>IF(NFI_Expiration=1,IF($A32&lt;VLOOKUP(O$5,NFI,5,0),1,0)*Data_NFI_t[[#This Row],[Tarpaulin]],0)</f>
        <v>0</v>
      </c>
      <c r="AH32" s="735">
        <f>IF(NFI_Expiration=1,IF($A32&lt;VLOOKUP(P$5,NFI,5,0),1,0)*Data_NFI_t[[#This Row],[Blanket]],0)</f>
        <v>0</v>
      </c>
      <c r="AI32" s="735">
        <f>IF(NFI_Expiration=1,IF($A32&lt;VLOOKUP(Q$5,NFI,5,0),1,0)*Data_NFI_t[[#This Row],[Kitchen Set]],0)</f>
        <v>0</v>
      </c>
      <c r="AJ32" s="735">
        <f>IF(NFI_Expiration=1,IF($A32&lt;VLOOKUP(R$5,NFI,5,0),1,0)*Data_NFI_t[[#This Row],[Complementary Kit]],0)</f>
        <v>0</v>
      </c>
      <c r="AK32" s="735">
        <f>IF(NFI_Expiration=1,IF($A32&lt;VLOOKUP(S$5,NFI,5,0),1,0)*Data_NFI_t[[#This Row],[Plastic Bucket]],0)</f>
        <v>0</v>
      </c>
      <c r="AL32" s="734">
        <f>IF(NFI_Expiration=1,IF($A32&lt;VLOOKUP(T$5,NFI,5,0),1,0)*Data_NFI_t[[#This Row],[Jerry Can]],0)</f>
        <v>0</v>
      </c>
      <c r="AM32" s="734">
        <f>IF(NFI_Expiration=1,IF($A32&lt;VLOOKUP(U$5,NFI,5,0),1,0)*Data_NFI_t[[#This Row],[Plastic Mat]],0)</f>
        <v>0</v>
      </c>
      <c r="AN32" s="734">
        <f>IF(NFI_Expiration=1,IF($A32&lt;VLOOKUP(V$5,NFI,5,0),1,0)*Data_NFI_t[[#This Row],[Adult Clothes]],0)</f>
        <v>0</v>
      </c>
      <c r="AO32" s="734">
        <f>IF(NFI_Expiration=1,IF($A32&lt;VLOOKUP(W$5,NFI,5,0),1,0)*Data_NFI_t[[#This Row],[Children Clothes]],0)</f>
        <v>0</v>
      </c>
      <c r="AP32" s="734">
        <f>IF(NFI_Expiration=1,IF($A32&lt;VLOOKUP(X$5,NFI,5,0),1,0)*Data_NFI_t[[#This Row],[Sewing Kit]],0)</f>
        <v>0</v>
      </c>
      <c r="AQ32" s="734">
        <f>IF(NFI_Expiration=1,IF($A32&lt;VLOOKUP(X$5,NFI,5,0),1,0)*Data_NFI_t[[#This Row],[Solar Lantern]],0)</f>
        <v>0</v>
      </c>
      <c r="AR32" s="779" t="str">
        <f ca="1">IFERROR(OFFSET(Camp_List[P_Code],MATCH(Data_NFI_t[[#This Row],[Camp Name]],Camp_List[Camp Name],0)-1,0,1,1),"")</f>
        <v>MMR012CMP092</v>
      </c>
      <c r="AS32" s="780" t="str">
        <f ca="1">IFERROR(OFFSET(Camp_List[Status],MATCH(Data_NFI_t[[#This Row],[Camp Name]],Camp_List[Camp Name],0)-1,0,1,1),"")</f>
        <v>Open</v>
      </c>
      <c r="AT32" s="779"/>
      <c r="AW32" s="772"/>
    </row>
    <row r="33" spans="1:49" s="770" customFormat="1" ht="18" customHeight="1" x14ac:dyDescent="0.25">
      <c r="A33" s="736">
        <f t="shared" si="0"/>
        <v>3.3</v>
      </c>
      <c r="B33" s="737">
        <f>YEAR(Data_NFI_t[[#This Row],[Distribution Date]])</f>
        <v>2017</v>
      </c>
      <c r="C33" s="1013">
        <v>43091</v>
      </c>
      <c r="D33" s="733" t="s">
        <v>270</v>
      </c>
      <c r="E33" s="733" t="s">
        <v>273</v>
      </c>
      <c r="F33" s="733" t="s">
        <v>7</v>
      </c>
      <c r="G33" s="738" t="s">
        <v>13</v>
      </c>
      <c r="H33" s="738" t="s">
        <v>40</v>
      </c>
      <c r="I33" s="205"/>
      <c r="J33" s="954">
        <v>1328</v>
      </c>
      <c r="K33" s="954">
        <v>6028</v>
      </c>
      <c r="L33" s="740"/>
      <c r="M33" s="740"/>
      <c r="N33" s="741">
        <v>2702</v>
      </c>
      <c r="O33" s="741"/>
      <c r="P33" s="741">
        <v>2702</v>
      </c>
      <c r="Q33" s="741">
        <v>1351</v>
      </c>
      <c r="R33" s="741"/>
      <c r="S33" s="741"/>
      <c r="T33" s="742"/>
      <c r="U33" s="741">
        <v>6755</v>
      </c>
      <c r="V33" s="955"/>
      <c r="W33" s="955"/>
      <c r="X33" s="741"/>
      <c r="Y33" s="741"/>
      <c r="Z33" s="741"/>
      <c r="AA33" s="741"/>
      <c r="AB33" s="741"/>
      <c r="AC33" s="734">
        <f>IF(NFI_Expiration=1,IF($A33&lt;VLOOKUP(I$5,NFI,5,0),1,0)*Data_NFI_t[[#This Row],[Hygiene Kit]],0)</f>
        <v>0</v>
      </c>
      <c r="AD33" s="734">
        <f>IF(NFI_Expiration=1,IF($A33&lt;VLOOKUP(L$5,NFI,5,0),1,0)*Data_NFI_t[[#This Row],[NFI Core Kit]],0)</f>
        <v>0</v>
      </c>
      <c r="AE33" s="735">
        <f>IF(NFI_Expiration=1,IF($A33&lt;VLOOKUP(M$5,NFI,5,0),1,0)*Data_NFI_t[[#This Row],[Sanitary Kit]],0)</f>
        <v>0</v>
      </c>
      <c r="AF33" s="735">
        <f>IF(NFI_Expiration=1,IF($A33&lt;VLOOKUP(N$5,NFI,5,0),1,0)*Data_NFI_t[[#This Row],[Mosquito net]],0)</f>
        <v>2702</v>
      </c>
      <c r="AG33" s="735">
        <f>IF(NFI_Expiration=1,IF($A33&lt;VLOOKUP(O$5,NFI,5,0),1,0)*Data_NFI_t[[#This Row],[Tarpaulin]],0)</f>
        <v>0</v>
      </c>
      <c r="AH33" s="735">
        <f>IF(NFI_Expiration=1,IF($A33&lt;VLOOKUP(P$5,NFI,5,0),1,0)*Data_NFI_t[[#This Row],[Blanket]],0)</f>
        <v>2702</v>
      </c>
      <c r="AI33" s="735">
        <f>IF(NFI_Expiration=1,IF($A33&lt;VLOOKUP(Q$5,NFI,5,0),1,0)*Data_NFI_t[[#This Row],[Kitchen Set]],0)</f>
        <v>1351</v>
      </c>
      <c r="AJ33" s="735">
        <f>IF(NFI_Expiration=1,IF($A33&lt;VLOOKUP(R$5,NFI,5,0),1,0)*Data_NFI_t[[#This Row],[Complementary Kit]],0)</f>
        <v>0</v>
      </c>
      <c r="AK33" s="735">
        <f>IF(NFI_Expiration=1,IF($A33&lt;VLOOKUP(S$5,NFI,5,0),1,0)*Data_NFI_t[[#This Row],[Plastic Bucket]],0)</f>
        <v>0</v>
      </c>
      <c r="AL33" s="734">
        <f>IF(NFI_Expiration=1,IF($A33&lt;VLOOKUP(T$5,NFI,5,0),1,0)*Data_NFI_t[[#This Row],[Jerry Can]],0)</f>
        <v>0</v>
      </c>
      <c r="AM33" s="734">
        <f>IF(NFI_Expiration=1,IF($A33&lt;VLOOKUP(U$5,NFI,5,0),1,0)*Data_NFI_t[[#This Row],[Plastic Mat]],0)</f>
        <v>6755</v>
      </c>
      <c r="AN33" s="734">
        <f>IF(NFI_Expiration=1,IF($A33&lt;VLOOKUP(V$5,NFI,5,0),1,0)*Data_NFI_t[[#This Row],[Adult Clothes]],0)</f>
        <v>0</v>
      </c>
      <c r="AO33" s="734">
        <f>IF(NFI_Expiration=1,IF($A33&lt;VLOOKUP(W$5,NFI,5,0),1,0)*Data_NFI_t[[#This Row],[Children Clothes]],0)</f>
        <v>0</v>
      </c>
      <c r="AP33" s="734">
        <f>IF(NFI_Expiration=1,IF($A33&lt;VLOOKUP(X$5,NFI,5,0),1,0)*Data_NFI_t[[#This Row],[Sewing Kit]],0)</f>
        <v>0</v>
      </c>
      <c r="AQ33" s="734">
        <f>IF(NFI_Expiration=1,IF($A33&lt;VLOOKUP(X$5,NFI,5,0),1,0)*Data_NFI_t[[#This Row],[Solar Lantern]],0)</f>
        <v>0</v>
      </c>
      <c r="AR33" s="779" t="str">
        <f ca="1">IFERROR(OFFSET(Camp_List[P_Code],MATCH(Data_NFI_t[[#This Row],[Camp Name]],Camp_List[Camp Name],0)-1,0,1,1),"")</f>
        <v>MMR012CMP018</v>
      </c>
      <c r="AS33" s="780" t="str">
        <f ca="1">IFERROR(OFFSET(Camp_List[Status],MATCH(Data_NFI_t[[#This Row],[Camp Name]],Camp_List[Camp Name],0)-1,0,1,1),"")</f>
        <v>Open</v>
      </c>
      <c r="AT33" s="779"/>
      <c r="AW33" s="772"/>
    </row>
    <row r="34" spans="1:49" s="770" customFormat="1" ht="18" customHeight="1" x14ac:dyDescent="0.25">
      <c r="A34" s="736">
        <f t="shared" si="0"/>
        <v>3.7666666666666666</v>
      </c>
      <c r="B34" s="737">
        <f>YEAR(Data_NFI_t[[#This Row],[Distribution Date]])</f>
        <v>2017</v>
      </c>
      <c r="C34" s="1013">
        <v>43077</v>
      </c>
      <c r="D34" s="733" t="s">
        <v>270</v>
      </c>
      <c r="E34" s="733" t="s">
        <v>273</v>
      </c>
      <c r="F34" s="733" t="s">
        <v>7</v>
      </c>
      <c r="G34" s="738" t="s">
        <v>13</v>
      </c>
      <c r="H34" s="738" t="s">
        <v>40</v>
      </c>
      <c r="I34" s="205"/>
      <c r="J34" s="954">
        <v>50</v>
      </c>
      <c r="K34" s="954">
        <v>254</v>
      </c>
      <c r="L34" s="740"/>
      <c r="M34" s="740"/>
      <c r="N34" s="741"/>
      <c r="O34" s="741">
        <v>100</v>
      </c>
      <c r="P34" s="741">
        <v>100</v>
      </c>
      <c r="Q34" s="741">
        <v>50</v>
      </c>
      <c r="R34" s="741"/>
      <c r="S34" s="741">
        <v>50</v>
      </c>
      <c r="T34" s="742">
        <v>50</v>
      </c>
      <c r="U34" s="741">
        <v>250</v>
      </c>
      <c r="V34" s="955"/>
      <c r="W34" s="955"/>
      <c r="X34" s="741"/>
      <c r="Y34" s="741"/>
      <c r="Z34" s="741"/>
      <c r="AA34" s="741"/>
      <c r="AB34" s="741"/>
      <c r="AC34" s="734">
        <f>IF(NFI_Expiration=1,IF($A34&lt;VLOOKUP(I$5,NFI,5,0),1,0)*Data_NFI_t[[#This Row],[Hygiene Kit]],0)</f>
        <v>0</v>
      </c>
      <c r="AD34" s="734">
        <f>IF(NFI_Expiration=1,IF($A34&lt;VLOOKUP(L$5,NFI,5,0),1,0)*Data_NFI_t[[#This Row],[NFI Core Kit]],0)</f>
        <v>0</v>
      </c>
      <c r="AE34" s="735">
        <f>IF(NFI_Expiration=1,IF($A34&lt;VLOOKUP(M$5,NFI,5,0),1,0)*Data_NFI_t[[#This Row],[Sanitary Kit]],0)</f>
        <v>0</v>
      </c>
      <c r="AF34" s="735">
        <f>IF(NFI_Expiration=1,IF($A34&lt;VLOOKUP(N$5,NFI,5,0),1,0)*Data_NFI_t[[#This Row],[Mosquito net]],0)</f>
        <v>0</v>
      </c>
      <c r="AG34" s="735">
        <f>IF(NFI_Expiration=1,IF($A34&lt;VLOOKUP(O$5,NFI,5,0),1,0)*Data_NFI_t[[#This Row],[Tarpaulin]],0)</f>
        <v>100</v>
      </c>
      <c r="AH34" s="735">
        <f>IF(NFI_Expiration=1,IF($A34&lt;VLOOKUP(P$5,NFI,5,0),1,0)*Data_NFI_t[[#This Row],[Blanket]],0)</f>
        <v>100</v>
      </c>
      <c r="AI34" s="735">
        <f>IF(NFI_Expiration=1,IF($A34&lt;VLOOKUP(Q$5,NFI,5,0),1,0)*Data_NFI_t[[#This Row],[Kitchen Set]],0)</f>
        <v>50</v>
      </c>
      <c r="AJ34" s="735">
        <f>IF(NFI_Expiration=1,IF($A34&lt;VLOOKUP(R$5,NFI,5,0),1,0)*Data_NFI_t[[#This Row],[Complementary Kit]],0)</f>
        <v>0</v>
      </c>
      <c r="AK34" s="735">
        <f>IF(NFI_Expiration=1,IF($A34&lt;VLOOKUP(S$5,NFI,5,0),1,0)*Data_NFI_t[[#This Row],[Plastic Bucket]],0)</f>
        <v>50</v>
      </c>
      <c r="AL34" s="734">
        <f>IF(NFI_Expiration=1,IF($A34&lt;VLOOKUP(T$5,NFI,5,0),1,0)*Data_NFI_t[[#This Row],[Jerry Can]],0)</f>
        <v>50</v>
      </c>
      <c r="AM34" s="734">
        <f>IF(NFI_Expiration=1,IF($A34&lt;VLOOKUP(U$5,NFI,5,0),1,0)*Data_NFI_t[[#This Row],[Plastic Mat]],0)</f>
        <v>250</v>
      </c>
      <c r="AN34" s="734">
        <f>IF(NFI_Expiration=1,IF($A34&lt;VLOOKUP(V$5,NFI,5,0),1,0)*Data_NFI_t[[#This Row],[Adult Clothes]],0)</f>
        <v>0</v>
      </c>
      <c r="AO34" s="734">
        <f>IF(NFI_Expiration=1,IF($A34&lt;VLOOKUP(W$5,NFI,5,0),1,0)*Data_NFI_t[[#This Row],[Children Clothes]],0)</f>
        <v>0</v>
      </c>
      <c r="AP34" s="734">
        <f>IF(NFI_Expiration=1,IF($A34&lt;VLOOKUP(X$5,NFI,5,0),1,0)*Data_NFI_t[[#This Row],[Sewing Kit]],0)</f>
        <v>0</v>
      </c>
      <c r="AQ34" s="734">
        <f>IF(NFI_Expiration=1,IF($A34&lt;VLOOKUP(X$5,NFI,5,0),1,0)*Data_NFI_t[[#This Row],[Solar Lantern]],0)</f>
        <v>0</v>
      </c>
      <c r="AR34" s="105" t="str">
        <f ca="1">IFERROR(OFFSET(Camp_List[P_Code],MATCH(Data_NFI_t[[#This Row],[Camp Name]],Camp_List[Camp Name],0)-1,0,1,1),"")</f>
        <v>MMR012CMP018</v>
      </c>
      <c r="AS34" s="421" t="str">
        <f ca="1">IFERROR(OFFSET(Camp_List[Status],MATCH(Data_NFI_t[[#This Row],[Camp Name]],Camp_List[Camp Name],0)-1,0,1,1),"")</f>
        <v>Open</v>
      </c>
      <c r="AT34" s="995" t="s">
        <v>1132</v>
      </c>
      <c r="AW34" s="772"/>
    </row>
    <row r="35" spans="1:49" s="770" customFormat="1" ht="18" customHeight="1" x14ac:dyDescent="0.25">
      <c r="A35" s="736">
        <f t="shared" si="0"/>
        <v>3.8333333333333335</v>
      </c>
      <c r="B35" s="737">
        <f>YEAR(Data_NFI_t[[#This Row],[Distribution Date]])</f>
        <v>2017</v>
      </c>
      <c r="C35" s="1013">
        <v>43075</v>
      </c>
      <c r="D35" s="733" t="s">
        <v>270</v>
      </c>
      <c r="E35" s="733" t="s">
        <v>913</v>
      </c>
      <c r="F35" s="733" t="s">
        <v>7</v>
      </c>
      <c r="G35" s="738" t="s">
        <v>17</v>
      </c>
      <c r="H35" s="738" t="s">
        <v>580</v>
      </c>
      <c r="I35" s="205"/>
      <c r="J35" s="954">
        <v>24</v>
      </c>
      <c r="K35" s="954">
        <v>130</v>
      </c>
      <c r="L35" s="740"/>
      <c r="M35" s="740"/>
      <c r="N35" s="741"/>
      <c r="O35" s="741">
        <v>48</v>
      </c>
      <c r="P35" s="741"/>
      <c r="Q35" s="741"/>
      <c r="R35" s="741"/>
      <c r="S35" s="741"/>
      <c r="T35" s="742"/>
      <c r="U35" s="741"/>
      <c r="V35" s="955"/>
      <c r="W35" s="955"/>
      <c r="X35" s="741"/>
      <c r="Y35" s="741"/>
      <c r="Z35" s="741"/>
      <c r="AA35" s="741"/>
      <c r="AB35" s="741"/>
      <c r="AC35" s="734">
        <f>IF(NFI_Expiration=1,IF($A35&lt;VLOOKUP(I$5,NFI,5,0),1,0)*Data_NFI_t[[#This Row],[Hygiene Kit]],0)</f>
        <v>0</v>
      </c>
      <c r="AD35" s="734">
        <f>IF(NFI_Expiration=1,IF($A35&lt;VLOOKUP(L$5,NFI,5,0),1,0)*Data_NFI_t[[#This Row],[NFI Core Kit]],0)</f>
        <v>0</v>
      </c>
      <c r="AE35" s="735">
        <f>IF(NFI_Expiration=1,IF($A35&lt;VLOOKUP(M$5,NFI,5,0),1,0)*Data_NFI_t[[#This Row],[Sanitary Kit]],0)</f>
        <v>0</v>
      </c>
      <c r="AF35" s="735">
        <f>IF(NFI_Expiration=1,IF($A35&lt;VLOOKUP(N$5,NFI,5,0),1,0)*Data_NFI_t[[#This Row],[Mosquito net]],0)</f>
        <v>0</v>
      </c>
      <c r="AG35" s="735">
        <f>IF(NFI_Expiration=1,IF($A35&lt;VLOOKUP(O$5,NFI,5,0),1,0)*Data_NFI_t[[#This Row],[Tarpaulin]],0)</f>
        <v>48</v>
      </c>
      <c r="AH35" s="735">
        <f>IF(NFI_Expiration=1,IF($A35&lt;VLOOKUP(P$5,NFI,5,0),1,0)*Data_NFI_t[[#This Row],[Blanket]],0)</f>
        <v>0</v>
      </c>
      <c r="AI35" s="735">
        <f>IF(NFI_Expiration=1,IF($A35&lt;VLOOKUP(Q$5,NFI,5,0),1,0)*Data_NFI_t[[#This Row],[Kitchen Set]],0)</f>
        <v>0</v>
      </c>
      <c r="AJ35" s="735">
        <f>IF(NFI_Expiration=1,IF($A35&lt;VLOOKUP(R$5,NFI,5,0),1,0)*Data_NFI_t[[#This Row],[Complementary Kit]],0)</f>
        <v>0</v>
      </c>
      <c r="AK35" s="735">
        <f>IF(NFI_Expiration=1,IF($A35&lt;VLOOKUP(S$5,NFI,5,0),1,0)*Data_NFI_t[[#This Row],[Plastic Bucket]],0)</f>
        <v>0</v>
      </c>
      <c r="AL35" s="734">
        <f>IF(NFI_Expiration=1,IF($A35&lt;VLOOKUP(T$5,NFI,5,0),1,0)*Data_NFI_t[[#This Row],[Jerry Can]],0)</f>
        <v>0</v>
      </c>
      <c r="AM35" s="734">
        <f>IF(NFI_Expiration=1,IF($A35&lt;VLOOKUP(U$5,NFI,5,0),1,0)*Data_NFI_t[[#This Row],[Plastic Mat]],0)</f>
        <v>0</v>
      </c>
      <c r="AN35" s="734">
        <f>IF(NFI_Expiration=1,IF($A35&lt;VLOOKUP(V$5,NFI,5,0),1,0)*Data_NFI_t[[#This Row],[Adult Clothes]],0)</f>
        <v>0</v>
      </c>
      <c r="AO35" s="734">
        <f>IF(NFI_Expiration=1,IF($A35&lt;VLOOKUP(W$5,NFI,5,0),1,0)*Data_NFI_t[[#This Row],[Children Clothes]],0)</f>
        <v>0</v>
      </c>
      <c r="AP35" s="734">
        <f>IF(NFI_Expiration=1,IF($A35&lt;VLOOKUP(X$5,NFI,5,0),1,0)*Data_NFI_t[[#This Row],[Sewing Kit]],0)</f>
        <v>0</v>
      </c>
      <c r="AQ35" s="734">
        <f>IF(NFI_Expiration=1,IF($A35&lt;VLOOKUP(X$5,NFI,5,0),1,0)*Data_NFI_t[[#This Row],[Solar Lantern]],0)</f>
        <v>0</v>
      </c>
      <c r="AR35" s="105" t="str">
        <f ca="1">IFERROR(OFFSET(Camp_List[P_Code],MATCH(Data_NFI_t[[#This Row],[Camp Name]],Camp_List[Camp Name],0)-1,0,1,1),"")</f>
        <v>MMR012CMP092</v>
      </c>
      <c r="AS35" s="421" t="str">
        <f ca="1">IFERROR(OFFSET(Camp_List[Status],MATCH(Data_NFI_t[[#This Row],[Camp Name]],Camp_List[Camp Name],0)-1,0,1,1),"")</f>
        <v>Open</v>
      </c>
      <c r="AT35" s="105"/>
      <c r="AW35" s="772"/>
    </row>
    <row r="36" spans="1:49" s="770" customFormat="1" ht="20.25" customHeight="1" x14ac:dyDescent="0.25">
      <c r="A36" s="736">
        <f t="shared" si="0"/>
        <v>4.0333333333333332</v>
      </c>
      <c r="B36" s="737">
        <f>YEAR(Data_NFI_t[[#This Row],[Distribution Date]])</f>
        <v>2017</v>
      </c>
      <c r="C36" s="1013">
        <v>43069</v>
      </c>
      <c r="D36" s="733" t="s">
        <v>1130</v>
      </c>
      <c r="E36" s="733" t="s">
        <v>1130</v>
      </c>
      <c r="F36" s="733" t="s">
        <v>7</v>
      </c>
      <c r="G36" s="738" t="s">
        <v>17</v>
      </c>
      <c r="H36" s="738" t="s">
        <v>497</v>
      </c>
      <c r="I36" s="205"/>
      <c r="J36" s="954">
        <v>299</v>
      </c>
      <c r="K36" s="954">
        <v>1645</v>
      </c>
      <c r="L36" s="740">
        <v>299</v>
      </c>
      <c r="M36" s="740"/>
      <c r="N36" s="741"/>
      <c r="O36" s="741"/>
      <c r="P36" s="741"/>
      <c r="Q36" s="741"/>
      <c r="R36" s="741"/>
      <c r="S36" s="741"/>
      <c r="T36" s="742"/>
      <c r="U36" s="741"/>
      <c r="V36" s="955"/>
      <c r="W36" s="955"/>
      <c r="X36" s="741"/>
      <c r="Y36" s="741"/>
      <c r="Z36" s="741"/>
      <c r="AA36" s="741"/>
      <c r="AB36" s="741"/>
      <c r="AC36" s="734">
        <f>IF(NFI_Expiration=1,IF($A36&lt;VLOOKUP(I$5,NFI,5,0),1,0)*Data_NFI_t[[#This Row],[Hygiene Kit]],0)</f>
        <v>0</v>
      </c>
      <c r="AD36" s="734">
        <f>IF(NFI_Expiration=1,IF($A36&lt;VLOOKUP(L$5,NFI,5,0),1,0)*Data_NFI_t[[#This Row],[NFI Core Kit]],0)</f>
        <v>299</v>
      </c>
      <c r="AE36" s="735">
        <f>IF(NFI_Expiration=1,IF($A36&lt;VLOOKUP(M$5,NFI,5,0),1,0)*Data_NFI_t[[#This Row],[Sanitary Kit]],0)</f>
        <v>0</v>
      </c>
      <c r="AF36" s="735">
        <f>IF(NFI_Expiration=1,IF($A36&lt;VLOOKUP(N$5,NFI,5,0),1,0)*Data_NFI_t[[#This Row],[Mosquito net]],0)</f>
        <v>0</v>
      </c>
      <c r="AG36" s="735">
        <f>IF(NFI_Expiration=1,IF($A36&lt;VLOOKUP(O$5,NFI,5,0),1,0)*Data_NFI_t[[#This Row],[Tarpaulin]],0)</f>
        <v>0</v>
      </c>
      <c r="AH36" s="735">
        <f>IF(NFI_Expiration=1,IF($A36&lt;VLOOKUP(P$5,NFI,5,0),1,0)*Data_NFI_t[[#This Row],[Blanket]],0)</f>
        <v>0</v>
      </c>
      <c r="AI36" s="735">
        <f>IF(NFI_Expiration=1,IF($A36&lt;VLOOKUP(Q$5,NFI,5,0),1,0)*Data_NFI_t[[#This Row],[Kitchen Set]],0)</f>
        <v>0</v>
      </c>
      <c r="AJ36" s="735">
        <f>IF(NFI_Expiration=1,IF($A36&lt;VLOOKUP(R$5,NFI,5,0),1,0)*Data_NFI_t[[#This Row],[Complementary Kit]],0)</f>
        <v>0</v>
      </c>
      <c r="AK36" s="735">
        <f>IF(NFI_Expiration=1,IF($A36&lt;VLOOKUP(S$5,NFI,5,0),1,0)*Data_NFI_t[[#This Row],[Plastic Bucket]],0)</f>
        <v>0</v>
      </c>
      <c r="AL36" s="734">
        <f>IF(NFI_Expiration=1,IF($A36&lt;VLOOKUP(T$5,NFI,5,0),1,0)*Data_NFI_t[[#This Row],[Jerry Can]],0)</f>
        <v>0</v>
      </c>
      <c r="AM36" s="734">
        <f>IF(NFI_Expiration=1,IF($A36&lt;VLOOKUP(U$5,NFI,5,0),1,0)*Data_NFI_t[[#This Row],[Plastic Mat]],0)</f>
        <v>0</v>
      </c>
      <c r="AN36" s="734">
        <f>IF(NFI_Expiration=1,IF($A36&lt;VLOOKUP(V$5,NFI,5,0),1,0)*Data_NFI_t[[#This Row],[Adult Clothes]],0)</f>
        <v>0</v>
      </c>
      <c r="AO36" s="734">
        <f>IF(NFI_Expiration=1,IF($A36&lt;VLOOKUP(W$5,NFI,5,0),1,0)*Data_NFI_t[[#This Row],[Children Clothes]],0)</f>
        <v>0</v>
      </c>
      <c r="AP36" s="734">
        <f>IF(NFI_Expiration=1,IF($A36&lt;VLOOKUP(X$5,NFI,5,0),1,0)*Data_NFI_t[[#This Row],[Sewing Kit]],0)</f>
        <v>0</v>
      </c>
      <c r="AQ36" s="734">
        <f>IF(NFI_Expiration=1,IF($A36&lt;VLOOKUP(X$5,NFI,5,0),1,0)*Data_NFI_t[[#This Row],[Solar Lantern]],0)</f>
        <v>0</v>
      </c>
      <c r="AR36" s="779" t="str">
        <f ca="1">IFERROR(OFFSET(Camp_List[P_Code],MATCH(Data_NFI_t[[#This Row],[Camp Name]],Camp_List[Camp Name],0)-1,0,1,1),"")</f>
        <v>MMR012CMP091</v>
      </c>
      <c r="AS36" s="780" t="str">
        <f ca="1">IFERROR(OFFSET(Camp_List[Status],MATCH(Data_NFI_t[[#This Row],[Camp Name]],Camp_List[Camp Name],0)-1,0,1,1),"")</f>
        <v>Open</v>
      </c>
      <c r="AT36" s="779"/>
      <c r="AW36" s="772"/>
    </row>
    <row r="37" spans="1:49" s="770" customFormat="1" ht="20.25" customHeight="1" x14ac:dyDescent="0.25">
      <c r="A37" s="736">
        <f t="shared" si="0"/>
        <v>4.0333333333333332</v>
      </c>
      <c r="B37" s="737">
        <f>YEAR(Data_NFI_t[[#This Row],[Distribution Date]])</f>
        <v>2017</v>
      </c>
      <c r="C37" s="1013">
        <v>43069</v>
      </c>
      <c r="D37" s="733" t="s">
        <v>1130</v>
      </c>
      <c r="E37" s="733" t="s">
        <v>1130</v>
      </c>
      <c r="F37" s="733" t="s">
        <v>7</v>
      </c>
      <c r="G37" s="738" t="s">
        <v>17</v>
      </c>
      <c r="H37" s="738" t="s">
        <v>68</v>
      </c>
      <c r="I37" s="205"/>
      <c r="J37" s="954">
        <v>1013</v>
      </c>
      <c r="K37" s="954">
        <v>5572</v>
      </c>
      <c r="L37" s="740">
        <v>1312</v>
      </c>
      <c r="M37" s="740"/>
      <c r="N37" s="741"/>
      <c r="O37" s="741"/>
      <c r="P37" s="741"/>
      <c r="Q37" s="741"/>
      <c r="R37" s="741"/>
      <c r="S37" s="741"/>
      <c r="T37" s="742"/>
      <c r="U37" s="741"/>
      <c r="V37" s="955"/>
      <c r="W37" s="955"/>
      <c r="X37" s="741"/>
      <c r="Y37" s="741"/>
      <c r="Z37" s="741"/>
      <c r="AA37" s="741"/>
      <c r="AB37" s="741"/>
      <c r="AC37" s="734">
        <f>IF(NFI_Expiration=1,IF($A37&lt;VLOOKUP(I$5,NFI,5,0),1,0)*Data_NFI_t[[#This Row],[Hygiene Kit]],0)</f>
        <v>0</v>
      </c>
      <c r="AD37" s="734">
        <f>IF(NFI_Expiration=1,IF($A37&lt;VLOOKUP(L$5,NFI,5,0),1,0)*Data_NFI_t[[#This Row],[NFI Core Kit]],0)</f>
        <v>1312</v>
      </c>
      <c r="AE37" s="735">
        <f>IF(NFI_Expiration=1,IF($A37&lt;VLOOKUP(M$5,NFI,5,0),1,0)*Data_NFI_t[[#This Row],[Sanitary Kit]],0)</f>
        <v>0</v>
      </c>
      <c r="AF37" s="735">
        <f>IF(NFI_Expiration=1,IF($A37&lt;VLOOKUP(N$5,NFI,5,0),1,0)*Data_NFI_t[[#This Row],[Mosquito net]],0)</f>
        <v>0</v>
      </c>
      <c r="AG37" s="735">
        <f>IF(NFI_Expiration=1,IF($A37&lt;VLOOKUP(O$5,NFI,5,0),1,0)*Data_NFI_t[[#This Row],[Tarpaulin]],0)</f>
        <v>0</v>
      </c>
      <c r="AH37" s="735">
        <f>IF(NFI_Expiration=1,IF($A37&lt;VLOOKUP(P$5,NFI,5,0),1,0)*Data_NFI_t[[#This Row],[Blanket]],0)</f>
        <v>0</v>
      </c>
      <c r="AI37" s="735">
        <f>IF(NFI_Expiration=1,IF($A37&lt;VLOOKUP(Q$5,NFI,5,0),1,0)*Data_NFI_t[[#This Row],[Kitchen Set]],0)</f>
        <v>0</v>
      </c>
      <c r="AJ37" s="735">
        <f>IF(NFI_Expiration=1,IF($A37&lt;VLOOKUP(R$5,NFI,5,0),1,0)*Data_NFI_t[[#This Row],[Complementary Kit]],0)</f>
        <v>0</v>
      </c>
      <c r="AK37" s="735">
        <f>IF(NFI_Expiration=1,IF($A37&lt;VLOOKUP(S$5,NFI,5,0),1,0)*Data_NFI_t[[#This Row],[Plastic Bucket]],0)</f>
        <v>0</v>
      </c>
      <c r="AL37" s="734">
        <f>IF(NFI_Expiration=1,IF($A37&lt;VLOOKUP(T$5,NFI,5,0),1,0)*Data_NFI_t[[#This Row],[Jerry Can]],0)</f>
        <v>0</v>
      </c>
      <c r="AM37" s="734">
        <f>IF(NFI_Expiration=1,IF($A37&lt;VLOOKUP(U$5,NFI,5,0),1,0)*Data_NFI_t[[#This Row],[Plastic Mat]],0)</f>
        <v>0</v>
      </c>
      <c r="AN37" s="734">
        <f>IF(NFI_Expiration=1,IF($A37&lt;VLOOKUP(V$5,NFI,5,0),1,0)*Data_NFI_t[[#This Row],[Adult Clothes]],0)</f>
        <v>0</v>
      </c>
      <c r="AO37" s="734">
        <f>IF(NFI_Expiration=1,IF($A37&lt;VLOOKUP(W$5,NFI,5,0),1,0)*Data_NFI_t[[#This Row],[Children Clothes]],0)</f>
        <v>0</v>
      </c>
      <c r="AP37" s="734">
        <f>IF(NFI_Expiration=1,IF($A37&lt;VLOOKUP(X$5,NFI,5,0),1,0)*Data_NFI_t[[#This Row],[Sewing Kit]],0)</f>
        <v>0</v>
      </c>
      <c r="AQ37" s="734">
        <f>IF(NFI_Expiration=1,IF($A37&lt;VLOOKUP(X$5,NFI,5,0),1,0)*Data_NFI_t[[#This Row],[Solar Lantern]],0)</f>
        <v>0</v>
      </c>
      <c r="AR37" s="105" t="str">
        <f ca="1">IFERROR(OFFSET(Camp_List[P_Code],MATCH(Data_NFI_t[[#This Row],[Camp Name]],Camp_List[Camp Name],0)-1,0,1,1),"")</f>
        <v>MMR012CMP048</v>
      </c>
      <c r="AS37" s="421" t="str">
        <f ca="1">IFERROR(OFFSET(Camp_List[Status],MATCH(Data_NFI_t[[#This Row],[Camp Name]],Camp_List[Camp Name],0)-1,0,1,1),"")</f>
        <v>Open</v>
      </c>
      <c r="AT37" s="105"/>
      <c r="AW37" s="772"/>
    </row>
    <row r="38" spans="1:49" s="770" customFormat="1" ht="20.25" customHeight="1" x14ac:dyDescent="0.25">
      <c r="A38" s="736">
        <f t="shared" si="0"/>
        <v>4.0333333333333332</v>
      </c>
      <c r="B38" s="737">
        <f>YEAR(Data_NFI_t[[#This Row],[Distribution Date]])</f>
        <v>2017</v>
      </c>
      <c r="C38" s="1013">
        <v>43069</v>
      </c>
      <c r="D38" s="733" t="s">
        <v>1130</v>
      </c>
      <c r="E38" s="733" t="s">
        <v>1130</v>
      </c>
      <c r="F38" s="733" t="s">
        <v>7</v>
      </c>
      <c r="G38" s="738" t="s">
        <v>17</v>
      </c>
      <c r="H38" s="738" t="s">
        <v>586</v>
      </c>
      <c r="I38" s="205"/>
      <c r="J38" s="954">
        <v>2728</v>
      </c>
      <c r="K38" s="954">
        <v>13794</v>
      </c>
      <c r="L38" s="740">
        <v>2728</v>
      </c>
      <c r="M38" s="740"/>
      <c r="N38" s="741"/>
      <c r="O38" s="741"/>
      <c r="P38" s="741"/>
      <c r="Q38" s="741"/>
      <c r="R38" s="741"/>
      <c r="S38" s="741"/>
      <c r="T38" s="742"/>
      <c r="U38" s="741"/>
      <c r="V38" s="955"/>
      <c r="W38" s="955"/>
      <c r="X38" s="741"/>
      <c r="Y38" s="741"/>
      <c r="Z38" s="741"/>
      <c r="AA38" s="741"/>
      <c r="AB38" s="741"/>
      <c r="AC38" s="734">
        <f>IF(NFI_Expiration=1,IF($A38&lt;VLOOKUP(I$5,NFI,5,0),1,0)*Data_NFI_t[[#This Row],[Hygiene Kit]],0)</f>
        <v>0</v>
      </c>
      <c r="AD38" s="734">
        <f>IF(NFI_Expiration=1,IF($A38&lt;VLOOKUP(L$5,NFI,5,0),1,0)*Data_NFI_t[[#This Row],[NFI Core Kit]],0)</f>
        <v>2728</v>
      </c>
      <c r="AE38" s="735">
        <f>IF(NFI_Expiration=1,IF($A38&lt;VLOOKUP(M$5,NFI,5,0),1,0)*Data_NFI_t[[#This Row],[Sanitary Kit]],0)</f>
        <v>0</v>
      </c>
      <c r="AF38" s="735">
        <f>IF(NFI_Expiration=1,IF($A38&lt;VLOOKUP(N$5,NFI,5,0),1,0)*Data_NFI_t[[#This Row],[Mosquito net]],0)</f>
        <v>0</v>
      </c>
      <c r="AG38" s="735">
        <f>IF(NFI_Expiration=1,IF($A38&lt;VLOOKUP(O$5,NFI,5,0),1,0)*Data_NFI_t[[#This Row],[Tarpaulin]],0)</f>
        <v>0</v>
      </c>
      <c r="AH38" s="735">
        <f>IF(NFI_Expiration=1,IF($A38&lt;VLOOKUP(P$5,NFI,5,0),1,0)*Data_NFI_t[[#This Row],[Blanket]],0)</f>
        <v>0</v>
      </c>
      <c r="AI38" s="735">
        <f>IF(NFI_Expiration=1,IF($A38&lt;VLOOKUP(Q$5,NFI,5,0),1,0)*Data_NFI_t[[#This Row],[Kitchen Set]],0)</f>
        <v>0</v>
      </c>
      <c r="AJ38" s="735">
        <f>IF(NFI_Expiration=1,IF($A38&lt;VLOOKUP(R$5,NFI,5,0),1,0)*Data_NFI_t[[#This Row],[Complementary Kit]],0)</f>
        <v>0</v>
      </c>
      <c r="AK38" s="735">
        <f>IF(NFI_Expiration=1,IF($A38&lt;VLOOKUP(S$5,NFI,5,0),1,0)*Data_NFI_t[[#This Row],[Plastic Bucket]],0)</f>
        <v>0</v>
      </c>
      <c r="AL38" s="734">
        <f>IF(NFI_Expiration=1,IF($A38&lt;VLOOKUP(T$5,NFI,5,0),1,0)*Data_NFI_t[[#This Row],[Jerry Can]],0)</f>
        <v>0</v>
      </c>
      <c r="AM38" s="734">
        <f>IF(NFI_Expiration=1,IF($A38&lt;VLOOKUP(U$5,NFI,5,0),1,0)*Data_NFI_t[[#This Row],[Plastic Mat]],0)</f>
        <v>0</v>
      </c>
      <c r="AN38" s="734">
        <f>IF(NFI_Expiration=1,IF($A38&lt;VLOOKUP(V$5,NFI,5,0),1,0)*Data_NFI_t[[#This Row],[Adult Clothes]],0)</f>
        <v>0</v>
      </c>
      <c r="AO38" s="734">
        <f>IF(NFI_Expiration=1,IF($A38&lt;VLOOKUP(W$5,NFI,5,0),1,0)*Data_NFI_t[[#This Row],[Children Clothes]],0)</f>
        <v>0</v>
      </c>
      <c r="AP38" s="734">
        <f>IF(NFI_Expiration=1,IF($A38&lt;VLOOKUP(X$5,NFI,5,0),1,0)*Data_NFI_t[[#This Row],[Sewing Kit]],0)</f>
        <v>0</v>
      </c>
      <c r="AQ38" s="734">
        <f>IF(NFI_Expiration=1,IF($A38&lt;VLOOKUP(X$5,NFI,5,0),1,0)*Data_NFI_t[[#This Row],[Solar Lantern]],0)</f>
        <v>0</v>
      </c>
      <c r="AR38" s="105" t="str">
        <f ca="1">IFERROR(OFFSET(Camp_List[P_Code],MATCH(Data_NFI_t[[#This Row],[Camp Name]],Camp_List[Camp Name],0)-1,0,1,1),"")</f>
        <v>MMR012CMP115</v>
      </c>
      <c r="AS38" s="421" t="str">
        <f ca="1">IFERROR(OFFSET(Camp_List[Status],MATCH(Data_NFI_t[[#This Row],[Camp Name]],Camp_List[Camp Name],0)-1,0,1,1),"")</f>
        <v>Open</v>
      </c>
      <c r="AT38" s="105"/>
      <c r="AW38" s="772"/>
    </row>
    <row r="39" spans="1:49" s="770" customFormat="1" ht="20.25" customHeight="1" x14ac:dyDescent="0.25">
      <c r="A39" s="736">
        <f t="shared" si="0"/>
        <v>4.0333333333333332</v>
      </c>
      <c r="B39" s="737">
        <f>YEAR(Data_NFI_t[[#This Row],[Distribution Date]])</f>
        <v>2017</v>
      </c>
      <c r="C39" s="1013">
        <v>43069</v>
      </c>
      <c r="D39" s="733" t="s">
        <v>1130</v>
      </c>
      <c r="E39" s="733" t="s">
        <v>1130</v>
      </c>
      <c r="F39" s="733" t="s">
        <v>7</v>
      </c>
      <c r="G39" s="738" t="s">
        <v>17</v>
      </c>
      <c r="H39" s="738" t="s">
        <v>580</v>
      </c>
      <c r="I39" s="205"/>
      <c r="J39" s="954">
        <v>656</v>
      </c>
      <c r="K39" s="954">
        <v>3432</v>
      </c>
      <c r="L39" s="740">
        <v>656</v>
      </c>
      <c r="M39" s="740"/>
      <c r="N39" s="741"/>
      <c r="O39" s="741"/>
      <c r="P39" s="741"/>
      <c r="Q39" s="741"/>
      <c r="R39" s="741"/>
      <c r="S39" s="741"/>
      <c r="T39" s="742"/>
      <c r="U39" s="741"/>
      <c r="V39" s="955"/>
      <c r="W39" s="955"/>
      <c r="X39" s="741"/>
      <c r="Y39" s="741"/>
      <c r="Z39" s="741"/>
      <c r="AA39" s="741"/>
      <c r="AB39" s="741"/>
      <c r="AC39" s="734">
        <f>IF(NFI_Expiration=1,IF($A39&lt;VLOOKUP(I$5,NFI,5,0),1,0)*Data_NFI_t[[#This Row],[Hygiene Kit]],0)</f>
        <v>0</v>
      </c>
      <c r="AD39" s="734">
        <f>IF(NFI_Expiration=1,IF($A39&lt;VLOOKUP(L$5,NFI,5,0),1,0)*Data_NFI_t[[#This Row],[NFI Core Kit]],0)</f>
        <v>656</v>
      </c>
      <c r="AE39" s="735">
        <f>IF(NFI_Expiration=1,IF($A39&lt;VLOOKUP(M$5,NFI,5,0),1,0)*Data_NFI_t[[#This Row],[Sanitary Kit]],0)</f>
        <v>0</v>
      </c>
      <c r="AF39" s="735">
        <f>IF(NFI_Expiration=1,IF($A39&lt;VLOOKUP(N$5,NFI,5,0),1,0)*Data_NFI_t[[#This Row],[Mosquito net]],0)</f>
        <v>0</v>
      </c>
      <c r="AG39" s="735">
        <f>IF(NFI_Expiration=1,IF($A39&lt;VLOOKUP(O$5,NFI,5,0),1,0)*Data_NFI_t[[#This Row],[Tarpaulin]],0)</f>
        <v>0</v>
      </c>
      <c r="AH39" s="735">
        <f>IF(NFI_Expiration=1,IF($A39&lt;VLOOKUP(P$5,NFI,5,0),1,0)*Data_NFI_t[[#This Row],[Blanket]],0)</f>
        <v>0</v>
      </c>
      <c r="AI39" s="735">
        <f>IF(NFI_Expiration=1,IF($A39&lt;VLOOKUP(Q$5,NFI,5,0),1,0)*Data_NFI_t[[#This Row],[Kitchen Set]],0)</f>
        <v>0</v>
      </c>
      <c r="AJ39" s="735">
        <f>IF(NFI_Expiration=1,IF($A39&lt;VLOOKUP(R$5,NFI,5,0),1,0)*Data_NFI_t[[#This Row],[Complementary Kit]],0)</f>
        <v>0</v>
      </c>
      <c r="AK39" s="735">
        <f>IF(NFI_Expiration=1,IF($A39&lt;VLOOKUP(S$5,NFI,5,0),1,0)*Data_NFI_t[[#This Row],[Plastic Bucket]],0)</f>
        <v>0</v>
      </c>
      <c r="AL39" s="734">
        <f>IF(NFI_Expiration=1,IF($A39&lt;VLOOKUP(T$5,NFI,5,0),1,0)*Data_NFI_t[[#This Row],[Jerry Can]],0)</f>
        <v>0</v>
      </c>
      <c r="AM39" s="734">
        <f>IF(NFI_Expiration=1,IF($A39&lt;VLOOKUP(U$5,NFI,5,0),1,0)*Data_NFI_t[[#This Row],[Plastic Mat]],0)</f>
        <v>0</v>
      </c>
      <c r="AN39" s="734">
        <f>IF(NFI_Expiration=1,IF($A39&lt;VLOOKUP(V$5,NFI,5,0),1,0)*Data_NFI_t[[#This Row],[Adult Clothes]],0)</f>
        <v>0</v>
      </c>
      <c r="AO39" s="734">
        <f>IF(NFI_Expiration=1,IF($A39&lt;VLOOKUP(W$5,NFI,5,0),1,0)*Data_NFI_t[[#This Row],[Children Clothes]],0)</f>
        <v>0</v>
      </c>
      <c r="AP39" s="734">
        <f>IF(NFI_Expiration=1,IF($A39&lt;VLOOKUP(X$5,NFI,5,0),1,0)*Data_NFI_t[[#This Row],[Sewing Kit]],0)</f>
        <v>0</v>
      </c>
      <c r="AQ39" s="734">
        <f>IF(NFI_Expiration=1,IF($A39&lt;VLOOKUP(X$5,NFI,5,0),1,0)*Data_NFI_t[[#This Row],[Solar Lantern]],0)</f>
        <v>0</v>
      </c>
      <c r="AR39" s="779" t="str">
        <f ca="1">IFERROR(OFFSET(Camp_List[P_Code],MATCH(Data_NFI_t[[#This Row],[Camp Name]],Camp_List[Camp Name],0)-1,0,1,1),"")</f>
        <v>MMR012CMP092</v>
      </c>
      <c r="AS39" s="780" t="str">
        <f ca="1">IFERROR(OFFSET(Camp_List[Status],MATCH(Data_NFI_t[[#This Row],[Camp Name]],Camp_List[Camp Name],0)-1,0,1,1),"")</f>
        <v>Open</v>
      </c>
      <c r="AT39" s="779"/>
      <c r="AW39" s="772"/>
    </row>
    <row r="40" spans="1:49" s="770" customFormat="1" ht="18.75" customHeight="1" x14ac:dyDescent="0.25">
      <c r="A40" s="736">
        <f t="shared" si="0"/>
        <v>4.0999999999999996</v>
      </c>
      <c r="B40" s="737">
        <f>YEAR(Data_NFI_t[[#This Row],[Distribution Date]])</f>
        <v>2017</v>
      </c>
      <c r="C40" s="1013">
        <v>43067</v>
      </c>
      <c r="D40" s="733" t="s">
        <v>272</v>
      </c>
      <c r="E40" s="733" t="s">
        <v>1025</v>
      </c>
      <c r="F40" s="733" t="s">
        <v>7</v>
      </c>
      <c r="G40" s="738" t="s">
        <v>13</v>
      </c>
      <c r="H40" s="738" t="s">
        <v>990</v>
      </c>
      <c r="I40" s="205"/>
      <c r="J40" s="954">
        <v>928</v>
      </c>
      <c r="K40" s="954">
        <v>3962</v>
      </c>
      <c r="L40" s="740"/>
      <c r="M40" s="740">
        <v>928</v>
      </c>
      <c r="N40" s="741"/>
      <c r="O40" s="741"/>
      <c r="P40" s="741"/>
      <c r="Q40" s="741"/>
      <c r="R40" s="741"/>
      <c r="S40" s="741"/>
      <c r="T40" s="742"/>
      <c r="U40" s="741"/>
      <c r="V40" s="955"/>
      <c r="W40" s="955"/>
      <c r="X40" s="741"/>
      <c r="Y40" s="741"/>
      <c r="Z40" s="741"/>
      <c r="AA40" s="741"/>
      <c r="AB40" s="741"/>
      <c r="AC40" s="734">
        <f>IF(NFI_Expiration=1,IF($A40&lt;VLOOKUP(I$5,NFI,5,0),1,0)*Data_NFI_t[[#This Row],[Hygiene Kit]],0)</f>
        <v>0</v>
      </c>
      <c r="AD40" s="734">
        <f>IF(NFI_Expiration=1,IF($A40&lt;VLOOKUP(L$5,NFI,5,0),1,0)*Data_NFI_t[[#This Row],[NFI Core Kit]],0)</f>
        <v>0</v>
      </c>
      <c r="AE40" s="735">
        <f>IF(NFI_Expiration=1,IF($A40&lt;VLOOKUP(M$5,NFI,5,0),1,0)*Data_NFI_t[[#This Row],[Sanitary Kit]],0)</f>
        <v>928</v>
      </c>
      <c r="AF40" s="735">
        <f>IF(NFI_Expiration=1,IF($A40&lt;VLOOKUP(N$5,NFI,5,0),1,0)*Data_NFI_t[[#This Row],[Mosquito net]],0)</f>
        <v>0</v>
      </c>
      <c r="AG40" s="735">
        <f>IF(NFI_Expiration=1,IF($A40&lt;VLOOKUP(O$5,NFI,5,0),1,0)*Data_NFI_t[[#This Row],[Tarpaulin]],0)</f>
        <v>0</v>
      </c>
      <c r="AH40" s="735">
        <f>IF(NFI_Expiration=1,IF($A40&lt;VLOOKUP(P$5,NFI,5,0),1,0)*Data_NFI_t[[#This Row],[Blanket]],0)</f>
        <v>0</v>
      </c>
      <c r="AI40" s="735">
        <f>IF(NFI_Expiration=1,IF($A40&lt;VLOOKUP(Q$5,NFI,5,0),1,0)*Data_NFI_t[[#This Row],[Kitchen Set]],0)</f>
        <v>0</v>
      </c>
      <c r="AJ40" s="735">
        <f>IF(NFI_Expiration=1,IF($A40&lt;VLOOKUP(R$5,NFI,5,0),1,0)*Data_NFI_t[[#This Row],[Complementary Kit]],0)</f>
        <v>0</v>
      </c>
      <c r="AK40" s="735">
        <f>IF(NFI_Expiration=1,IF($A40&lt;VLOOKUP(S$5,NFI,5,0),1,0)*Data_NFI_t[[#This Row],[Plastic Bucket]],0)</f>
        <v>0</v>
      </c>
      <c r="AL40" s="734">
        <f>IF(NFI_Expiration=1,IF($A40&lt;VLOOKUP(T$5,NFI,5,0),1,0)*Data_NFI_t[[#This Row],[Jerry Can]],0)</f>
        <v>0</v>
      </c>
      <c r="AM40" s="734">
        <f>IF(NFI_Expiration=1,IF($A40&lt;VLOOKUP(U$5,NFI,5,0),1,0)*Data_NFI_t[[#This Row],[Plastic Mat]],0)</f>
        <v>0</v>
      </c>
      <c r="AN40" s="734">
        <f>IF(NFI_Expiration=1,IF($A40&lt;VLOOKUP(V$5,NFI,5,0),1,0)*Data_NFI_t[[#This Row],[Adult Clothes]],0)</f>
        <v>0</v>
      </c>
      <c r="AO40" s="734">
        <f>IF(NFI_Expiration=1,IF($A40&lt;VLOOKUP(W$5,NFI,5,0),1,0)*Data_NFI_t[[#This Row],[Children Clothes]],0)</f>
        <v>0</v>
      </c>
      <c r="AP40" s="734">
        <f>IF(NFI_Expiration=1,IF($A40&lt;VLOOKUP(X$5,NFI,5,0),1,0)*Data_NFI_t[[#This Row],[Sewing Kit]],0)</f>
        <v>0</v>
      </c>
      <c r="AQ40" s="734">
        <f>IF(NFI_Expiration=1,IF($A40&lt;VLOOKUP(X$5,NFI,5,0),1,0)*Data_NFI_t[[#This Row],[Solar Lantern]],0)</f>
        <v>0</v>
      </c>
      <c r="AR40" s="105" t="str">
        <f ca="1">IFERROR(OFFSET(Camp_List[P_Code],MATCH(Data_NFI_t[[#This Row],[Camp Name]],Camp_List[Camp Name],0)-1,0,1,1),"")</f>
        <v>MMR012CMP017</v>
      </c>
      <c r="AS40" s="421" t="str">
        <f ca="1">IFERROR(OFFSET(Camp_List[Status],MATCH(Data_NFI_t[[#This Row],[Camp Name]],Camp_List[Camp Name],0)-1,0,1,1),"")</f>
        <v>Open</v>
      </c>
      <c r="AT40" s="105"/>
      <c r="AW40" s="772"/>
    </row>
    <row r="41" spans="1:49" s="770" customFormat="1" ht="18.75" customHeight="1" x14ac:dyDescent="0.25">
      <c r="A41" s="736">
        <f t="shared" si="0"/>
        <v>4.1333333333333337</v>
      </c>
      <c r="B41" s="737">
        <f>YEAR(Data_NFI_t[[#This Row],[Distribution Date]])</f>
        <v>2017</v>
      </c>
      <c r="C41" s="1013">
        <v>43066</v>
      </c>
      <c r="D41" s="733" t="s">
        <v>1025</v>
      </c>
      <c r="E41" s="733" t="s">
        <v>1025</v>
      </c>
      <c r="F41" s="733" t="s">
        <v>7</v>
      </c>
      <c r="G41" s="738" t="s">
        <v>17</v>
      </c>
      <c r="H41" s="738" t="s">
        <v>66</v>
      </c>
      <c r="I41" s="205"/>
      <c r="J41" s="954">
        <v>1138</v>
      </c>
      <c r="K41" s="954">
        <v>13460</v>
      </c>
      <c r="L41" s="740"/>
      <c r="M41" s="740">
        <v>1138</v>
      </c>
      <c r="N41" s="741"/>
      <c r="O41" s="741"/>
      <c r="P41" s="741"/>
      <c r="Q41" s="741"/>
      <c r="R41" s="741"/>
      <c r="S41" s="741"/>
      <c r="T41" s="742"/>
      <c r="U41" s="741"/>
      <c r="V41" s="955"/>
      <c r="W41" s="955"/>
      <c r="X41" s="741"/>
      <c r="Y41" s="741"/>
      <c r="Z41" s="741"/>
      <c r="AA41" s="741"/>
      <c r="AB41" s="741"/>
      <c r="AC41" s="734">
        <f>IF(NFI_Expiration=1,IF($A41&lt;VLOOKUP(I$5,NFI,5,0),1,0)*Data_NFI_t[[#This Row],[Hygiene Kit]],0)</f>
        <v>0</v>
      </c>
      <c r="AD41" s="734">
        <f>IF(NFI_Expiration=1,IF($A41&lt;VLOOKUP(L$5,NFI,5,0),1,0)*Data_NFI_t[[#This Row],[NFI Core Kit]],0)</f>
        <v>0</v>
      </c>
      <c r="AE41" s="735">
        <f>IF(NFI_Expiration=1,IF($A41&lt;VLOOKUP(M$5,NFI,5,0),1,0)*Data_NFI_t[[#This Row],[Sanitary Kit]],0)</f>
        <v>1138</v>
      </c>
      <c r="AF41" s="735">
        <f>IF(NFI_Expiration=1,IF($A41&lt;VLOOKUP(N$5,NFI,5,0),1,0)*Data_NFI_t[[#This Row],[Mosquito net]],0)</f>
        <v>0</v>
      </c>
      <c r="AG41" s="735">
        <f>IF(NFI_Expiration=1,IF($A41&lt;VLOOKUP(O$5,NFI,5,0),1,0)*Data_NFI_t[[#This Row],[Tarpaulin]],0)</f>
        <v>0</v>
      </c>
      <c r="AH41" s="735">
        <f>IF(NFI_Expiration=1,IF($A41&lt;VLOOKUP(P$5,NFI,5,0),1,0)*Data_NFI_t[[#This Row],[Blanket]],0)</f>
        <v>0</v>
      </c>
      <c r="AI41" s="735">
        <f>IF(NFI_Expiration=1,IF($A41&lt;VLOOKUP(Q$5,NFI,5,0),1,0)*Data_NFI_t[[#This Row],[Kitchen Set]],0)</f>
        <v>0</v>
      </c>
      <c r="AJ41" s="735">
        <f>IF(NFI_Expiration=1,IF($A41&lt;VLOOKUP(R$5,NFI,5,0),1,0)*Data_NFI_t[[#This Row],[Complementary Kit]],0)</f>
        <v>0</v>
      </c>
      <c r="AK41" s="735">
        <f>IF(NFI_Expiration=1,IF($A41&lt;VLOOKUP(S$5,NFI,5,0),1,0)*Data_NFI_t[[#This Row],[Plastic Bucket]],0)</f>
        <v>0</v>
      </c>
      <c r="AL41" s="734">
        <f>IF(NFI_Expiration=1,IF($A41&lt;VLOOKUP(T$5,NFI,5,0),1,0)*Data_NFI_t[[#This Row],[Jerry Can]],0)</f>
        <v>0</v>
      </c>
      <c r="AM41" s="734">
        <f>IF(NFI_Expiration=1,IF($A41&lt;VLOOKUP(U$5,NFI,5,0),1,0)*Data_NFI_t[[#This Row],[Plastic Mat]],0)</f>
        <v>0</v>
      </c>
      <c r="AN41" s="734">
        <f>IF(NFI_Expiration=1,IF($A41&lt;VLOOKUP(V$5,NFI,5,0),1,0)*Data_NFI_t[[#This Row],[Adult Clothes]],0)</f>
        <v>0</v>
      </c>
      <c r="AO41" s="734">
        <f>IF(NFI_Expiration=1,IF($A41&lt;VLOOKUP(W$5,NFI,5,0),1,0)*Data_NFI_t[[#This Row],[Children Clothes]],0)</f>
        <v>0</v>
      </c>
      <c r="AP41" s="734">
        <f>IF(NFI_Expiration=1,IF($A41&lt;VLOOKUP(X$5,NFI,5,0),1,0)*Data_NFI_t[[#This Row],[Sewing Kit]],0)</f>
        <v>0</v>
      </c>
      <c r="AQ41" s="734">
        <f>IF(NFI_Expiration=1,IF($A41&lt;VLOOKUP(X$5,NFI,5,0),1,0)*Data_NFI_t[[#This Row],[Solar Lantern]],0)</f>
        <v>0</v>
      </c>
      <c r="AR41" s="105" t="str">
        <f ca="1">IFERROR(OFFSET(Camp_List[P_Code],MATCH(Data_NFI_t[[#This Row],[Camp Name]],Camp_List[Camp Name],0)-1,0,1,1),"")</f>
        <v>MMR012CMP046</v>
      </c>
      <c r="AS41" s="421" t="str">
        <f ca="1">IFERROR(OFFSET(Camp_List[Status],MATCH(Data_NFI_t[[#This Row],[Camp Name]],Camp_List[Camp Name],0)-1,0,1,1),"")</f>
        <v>Open</v>
      </c>
      <c r="AT41" s="105"/>
      <c r="AW41" s="772"/>
    </row>
    <row r="42" spans="1:49" s="770" customFormat="1" ht="18.75" customHeight="1" x14ac:dyDescent="0.25">
      <c r="A42" s="736">
        <f t="shared" si="0"/>
        <v>4.166666666666667</v>
      </c>
      <c r="B42" s="737">
        <f>YEAR(Data_NFI_t[[#This Row],[Distribution Date]])</f>
        <v>2017</v>
      </c>
      <c r="C42" s="1013">
        <v>43065</v>
      </c>
      <c r="D42" s="733" t="s">
        <v>1130</v>
      </c>
      <c r="E42" s="733" t="s">
        <v>1130</v>
      </c>
      <c r="F42" s="733" t="s">
        <v>7</v>
      </c>
      <c r="G42" s="738" t="s">
        <v>17</v>
      </c>
      <c r="H42" s="738" t="s">
        <v>65</v>
      </c>
      <c r="I42" s="205"/>
      <c r="J42" s="954">
        <v>2280</v>
      </c>
      <c r="K42" s="954">
        <f>Data_NFI_t[[#This Row],[Household Coverage]]*5.5</f>
        <v>12540</v>
      </c>
      <c r="L42" s="740">
        <v>2280</v>
      </c>
      <c r="M42" s="740"/>
      <c r="N42" s="741"/>
      <c r="O42" s="741"/>
      <c r="P42" s="741"/>
      <c r="Q42" s="741"/>
      <c r="R42" s="741"/>
      <c r="S42" s="741"/>
      <c r="T42" s="742"/>
      <c r="U42" s="741"/>
      <c r="V42" s="955"/>
      <c r="W42" s="955"/>
      <c r="X42" s="741"/>
      <c r="Y42" s="741"/>
      <c r="Z42" s="741"/>
      <c r="AA42" s="741"/>
      <c r="AB42" s="741"/>
      <c r="AC42" s="734">
        <f>IF(NFI_Expiration=1,IF($A42&lt;VLOOKUP(I$5,NFI,5,0),1,0)*Data_NFI_t[[#This Row],[Hygiene Kit]],0)</f>
        <v>0</v>
      </c>
      <c r="AD42" s="734">
        <f>IF(NFI_Expiration=1,IF($A42&lt;VLOOKUP(L$5,NFI,5,0),1,0)*Data_NFI_t[[#This Row],[NFI Core Kit]],0)</f>
        <v>2280</v>
      </c>
      <c r="AE42" s="735">
        <f>IF(NFI_Expiration=1,IF($A42&lt;VLOOKUP(M$5,NFI,5,0),1,0)*Data_NFI_t[[#This Row],[Sanitary Kit]],0)</f>
        <v>0</v>
      </c>
      <c r="AF42" s="735">
        <f>IF(NFI_Expiration=1,IF($A42&lt;VLOOKUP(N$5,NFI,5,0),1,0)*Data_NFI_t[[#This Row],[Mosquito net]],0)</f>
        <v>0</v>
      </c>
      <c r="AG42" s="735">
        <f>IF(NFI_Expiration=1,IF($A42&lt;VLOOKUP(O$5,NFI,5,0),1,0)*Data_NFI_t[[#This Row],[Tarpaulin]],0)</f>
        <v>0</v>
      </c>
      <c r="AH42" s="735">
        <f>IF(NFI_Expiration=1,IF($A42&lt;VLOOKUP(P$5,NFI,5,0),1,0)*Data_NFI_t[[#This Row],[Blanket]],0)</f>
        <v>0</v>
      </c>
      <c r="AI42" s="735">
        <f>IF(NFI_Expiration=1,IF($A42&lt;VLOOKUP(Q$5,NFI,5,0),1,0)*Data_NFI_t[[#This Row],[Kitchen Set]],0)</f>
        <v>0</v>
      </c>
      <c r="AJ42" s="735">
        <f>IF(NFI_Expiration=1,IF($A42&lt;VLOOKUP(R$5,NFI,5,0),1,0)*Data_NFI_t[[#This Row],[Complementary Kit]],0)</f>
        <v>0</v>
      </c>
      <c r="AK42" s="735">
        <f>IF(NFI_Expiration=1,IF($A42&lt;VLOOKUP(S$5,NFI,5,0),1,0)*Data_NFI_t[[#This Row],[Plastic Bucket]],0)</f>
        <v>0</v>
      </c>
      <c r="AL42" s="734">
        <f>IF(NFI_Expiration=1,IF($A42&lt;VLOOKUP(T$5,NFI,5,0),1,0)*Data_NFI_t[[#This Row],[Jerry Can]],0)</f>
        <v>0</v>
      </c>
      <c r="AM42" s="734">
        <f>IF(NFI_Expiration=1,IF($A42&lt;VLOOKUP(U$5,NFI,5,0),1,0)*Data_NFI_t[[#This Row],[Plastic Mat]],0)</f>
        <v>0</v>
      </c>
      <c r="AN42" s="734">
        <f>IF(NFI_Expiration=1,IF($A42&lt;VLOOKUP(V$5,NFI,5,0),1,0)*Data_NFI_t[[#This Row],[Adult Clothes]],0)</f>
        <v>0</v>
      </c>
      <c r="AO42" s="734">
        <f>IF(NFI_Expiration=1,IF($A42&lt;VLOOKUP(W$5,NFI,5,0),1,0)*Data_NFI_t[[#This Row],[Children Clothes]],0)</f>
        <v>0</v>
      </c>
      <c r="AP42" s="734">
        <f>IF(NFI_Expiration=1,IF($A42&lt;VLOOKUP(X$5,NFI,5,0),1,0)*Data_NFI_t[[#This Row],[Sewing Kit]],0)</f>
        <v>0</v>
      </c>
      <c r="AQ42" s="734">
        <f>IF(NFI_Expiration=1,IF($A42&lt;VLOOKUP(X$5,NFI,5,0),1,0)*Data_NFI_t[[#This Row],[Solar Lantern]],0)</f>
        <v>0</v>
      </c>
      <c r="AR42" s="105" t="str">
        <f ca="1">IFERROR(OFFSET(Camp_List[P_Code],MATCH(Data_NFI_t[[#This Row],[Camp Name]],Camp_List[Camp Name],0)-1,0,1,1),"")</f>
        <v>MMR012CMP045</v>
      </c>
      <c r="AS42" s="421" t="str">
        <f ca="1">IFERROR(OFFSET(Camp_List[Status],MATCH(Data_NFI_t[[#This Row],[Camp Name]],Camp_List[Camp Name],0)-1,0,1,1),"")</f>
        <v>Open</v>
      </c>
      <c r="AT42" s="105"/>
      <c r="AW42" s="772"/>
    </row>
    <row r="43" spans="1:49" s="770" customFormat="1" ht="18.75" customHeight="1" x14ac:dyDescent="0.25">
      <c r="A43" s="736">
        <f t="shared" si="0"/>
        <v>4.2666666666666666</v>
      </c>
      <c r="B43" s="737">
        <f>YEAR(Data_NFI_t[[#This Row],[Distribution Date]])</f>
        <v>2017</v>
      </c>
      <c r="C43" s="1013">
        <v>43062</v>
      </c>
      <c r="D43" s="733" t="s">
        <v>1129</v>
      </c>
      <c r="E43" s="733" t="s">
        <v>1129</v>
      </c>
      <c r="F43" s="733" t="s">
        <v>7</v>
      </c>
      <c r="G43" s="738" t="s">
        <v>17</v>
      </c>
      <c r="H43" s="738" t="s">
        <v>62</v>
      </c>
      <c r="I43" s="205"/>
      <c r="J43" s="954">
        <v>799</v>
      </c>
      <c r="K43" s="954">
        <v>4471</v>
      </c>
      <c r="L43" s="740"/>
      <c r="M43" s="740">
        <v>799</v>
      </c>
      <c r="N43" s="741"/>
      <c r="O43" s="741"/>
      <c r="P43" s="741"/>
      <c r="Q43" s="741"/>
      <c r="R43" s="741"/>
      <c r="S43" s="741"/>
      <c r="T43" s="742"/>
      <c r="U43" s="741"/>
      <c r="V43" s="955"/>
      <c r="W43" s="955"/>
      <c r="X43" s="741"/>
      <c r="Y43" s="741"/>
      <c r="Z43" s="741"/>
      <c r="AA43" s="741"/>
      <c r="AB43" s="741"/>
      <c r="AC43" s="734">
        <f>IF(NFI_Expiration=1,IF($A43&lt;VLOOKUP(I$5,NFI,5,0),1,0)*Data_NFI_t[[#This Row],[Hygiene Kit]],0)</f>
        <v>0</v>
      </c>
      <c r="AD43" s="734">
        <f>IF(NFI_Expiration=1,IF($A43&lt;VLOOKUP(L$5,NFI,5,0),1,0)*Data_NFI_t[[#This Row],[NFI Core Kit]],0)</f>
        <v>0</v>
      </c>
      <c r="AE43" s="735">
        <f>IF(NFI_Expiration=1,IF($A43&lt;VLOOKUP(M$5,NFI,5,0),1,0)*Data_NFI_t[[#This Row],[Sanitary Kit]],0)</f>
        <v>799</v>
      </c>
      <c r="AF43" s="735">
        <f>IF(NFI_Expiration=1,IF($A43&lt;VLOOKUP(N$5,NFI,5,0),1,0)*Data_NFI_t[[#This Row],[Mosquito net]],0)</f>
        <v>0</v>
      </c>
      <c r="AG43" s="735">
        <f>IF(NFI_Expiration=1,IF($A43&lt;VLOOKUP(O$5,NFI,5,0),1,0)*Data_NFI_t[[#This Row],[Tarpaulin]],0)</f>
        <v>0</v>
      </c>
      <c r="AH43" s="735">
        <f>IF(NFI_Expiration=1,IF($A43&lt;VLOOKUP(P$5,NFI,5,0),1,0)*Data_NFI_t[[#This Row],[Blanket]],0)</f>
        <v>0</v>
      </c>
      <c r="AI43" s="735">
        <f>IF(NFI_Expiration=1,IF($A43&lt;VLOOKUP(Q$5,NFI,5,0),1,0)*Data_NFI_t[[#This Row],[Kitchen Set]],0)</f>
        <v>0</v>
      </c>
      <c r="AJ43" s="735">
        <f>IF(NFI_Expiration=1,IF($A43&lt;VLOOKUP(R$5,NFI,5,0),1,0)*Data_NFI_t[[#This Row],[Complementary Kit]],0)</f>
        <v>0</v>
      </c>
      <c r="AK43" s="735">
        <f>IF(NFI_Expiration=1,IF($A43&lt;VLOOKUP(S$5,NFI,5,0),1,0)*Data_NFI_t[[#This Row],[Plastic Bucket]],0)</f>
        <v>0</v>
      </c>
      <c r="AL43" s="734">
        <f>IF(NFI_Expiration=1,IF($A43&lt;VLOOKUP(T$5,NFI,5,0),1,0)*Data_NFI_t[[#This Row],[Jerry Can]],0)</f>
        <v>0</v>
      </c>
      <c r="AM43" s="734">
        <f>IF(NFI_Expiration=1,IF($A43&lt;VLOOKUP(U$5,NFI,5,0),1,0)*Data_NFI_t[[#This Row],[Plastic Mat]],0)</f>
        <v>0</v>
      </c>
      <c r="AN43" s="734">
        <f>IF(NFI_Expiration=1,IF($A43&lt;VLOOKUP(V$5,NFI,5,0),1,0)*Data_NFI_t[[#This Row],[Adult Clothes]],0)</f>
        <v>0</v>
      </c>
      <c r="AO43" s="734">
        <f>IF(NFI_Expiration=1,IF($A43&lt;VLOOKUP(W$5,NFI,5,0),1,0)*Data_NFI_t[[#This Row],[Children Clothes]],0)</f>
        <v>0</v>
      </c>
      <c r="AP43" s="734">
        <f>IF(NFI_Expiration=1,IF($A43&lt;VLOOKUP(X$5,NFI,5,0),1,0)*Data_NFI_t[[#This Row],[Sewing Kit]],0)</f>
        <v>0</v>
      </c>
      <c r="AQ43" s="734">
        <f>IF(NFI_Expiration=1,IF($A43&lt;VLOOKUP(X$5,NFI,5,0),1,0)*Data_NFI_t[[#This Row],[Solar Lantern]],0)</f>
        <v>0</v>
      </c>
      <c r="AR43" s="105" t="str">
        <f ca="1">IFERROR(OFFSET(Camp_List[P_Code],MATCH(Data_NFI_t[[#This Row],[Camp Name]],Camp_List[Camp Name],0)-1,0,1,1),"")</f>
        <v>MMR012CMP042</v>
      </c>
      <c r="AS43" s="421" t="str">
        <f ca="1">IFERROR(OFFSET(Camp_List[Status],MATCH(Data_NFI_t[[#This Row],[Camp Name]],Camp_List[Camp Name],0)-1,0,1,1),"")</f>
        <v>Open</v>
      </c>
      <c r="AT43" s="105"/>
      <c r="AW43" s="772"/>
    </row>
    <row r="44" spans="1:49" s="770" customFormat="1" ht="18.75" customHeight="1" x14ac:dyDescent="0.25">
      <c r="A44" s="736">
        <f t="shared" si="0"/>
        <v>4.666666666666667</v>
      </c>
      <c r="B44" s="737">
        <f>YEAR(Data_NFI_t[[#This Row],[Distribution Date]])</f>
        <v>2017</v>
      </c>
      <c r="C44" s="1013">
        <v>43050</v>
      </c>
      <c r="D44" s="733" t="s">
        <v>1044</v>
      </c>
      <c r="E44" s="733" t="s">
        <v>1044</v>
      </c>
      <c r="F44" s="733" t="s">
        <v>7</v>
      </c>
      <c r="G44" s="738" t="s">
        <v>17</v>
      </c>
      <c r="H44" s="738" t="s">
        <v>59</v>
      </c>
      <c r="I44" s="205"/>
      <c r="J44" s="954">
        <v>397</v>
      </c>
      <c r="K44" s="954">
        <v>2269</v>
      </c>
      <c r="L44" s="740"/>
      <c r="M44" s="740">
        <v>397</v>
      </c>
      <c r="N44" s="741"/>
      <c r="O44" s="741"/>
      <c r="P44" s="741"/>
      <c r="Q44" s="741"/>
      <c r="R44" s="741"/>
      <c r="S44" s="741"/>
      <c r="T44" s="742"/>
      <c r="U44" s="741"/>
      <c r="V44" s="955"/>
      <c r="W44" s="955"/>
      <c r="X44" s="741"/>
      <c r="Y44" s="741"/>
      <c r="Z44" s="741"/>
      <c r="AA44" s="741"/>
      <c r="AB44" s="741"/>
      <c r="AC44" s="734">
        <f>IF(NFI_Expiration=1,IF($A44&lt;VLOOKUP(I$5,NFI,5,0),1,0)*Data_NFI_t[[#This Row],[Hygiene Kit]],0)</f>
        <v>0</v>
      </c>
      <c r="AD44" s="734">
        <f>IF(NFI_Expiration=1,IF($A44&lt;VLOOKUP(L$5,NFI,5,0),1,0)*Data_NFI_t[[#This Row],[NFI Core Kit]],0)</f>
        <v>0</v>
      </c>
      <c r="AE44" s="735">
        <f>IF(NFI_Expiration=1,IF($A44&lt;VLOOKUP(M$5,NFI,5,0),1,0)*Data_NFI_t[[#This Row],[Sanitary Kit]],0)</f>
        <v>397</v>
      </c>
      <c r="AF44" s="735">
        <f>IF(NFI_Expiration=1,IF($A44&lt;VLOOKUP(N$5,NFI,5,0),1,0)*Data_NFI_t[[#This Row],[Mosquito net]],0)</f>
        <v>0</v>
      </c>
      <c r="AG44" s="735">
        <f>IF(NFI_Expiration=1,IF($A44&lt;VLOOKUP(O$5,NFI,5,0),1,0)*Data_NFI_t[[#This Row],[Tarpaulin]],0)</f>
        <v>0</v>
      </c>
      <c r="AH44" s="735">
        <f>IF(NFI_Expiration=1,IF($A44&lt;VLOOKUP(P$5,NFI,5,0),1,0)*Data_NFI_t[[#This Row],[Blanket]],0)</f>
        <v>0</v>
      </c>
      <c r="AI44" s="735">
        <f>IF(NFI_Expiration=1,IF($A44&lt;VLOOKUP(Q$5,NFI,5,0),1,0)*Data_NFI_t[[#This Row],[Kitchen Set]],0)</f>
        <v>0</v>
      </c>
      <c r="AJ44" s="735">
        <f>IF(NFI_Expiration=1,IF($A44&lt;VLOOKUP(R$5,NFI,5,0),1,0)*Data_NFI_t[[#This Row],[Complementary Kit]],0)</f>
        <v>0</v>
      </c>
      <c r="AK44" s="735">
        <f>IF(NFI_Expiration=1,IF($A44&lt;VLOOKUP(S$5,NFI,5,0),1,0)*Data_NFI_t[[#This Row],[Plastic Bucket]],0)</f>
        <v>0</v>
      </c>
      <c r="AL44" s="734">
        <f>IF(NFI_Expiration=1,IF($A44&lt;VLOOKUP(T$5,NFI,5,0),1,0)*Data_NFI_t[[#This Row],[Jerry Can]],0)</f>
        <v>0</v>
      </c>
      <c r="AM44" s="734">
        <f>IF(NFI_Expiration=1,IF($A44&lt;VLOOKUP(U$5,NFI,5,0),1,0)*Data_NFI_t[[#This Row],[Plastic Mat]],0)</f>
        <v>0</v>
      </c>
      <c r="AN44" s="734">
        <f>IF(NFI_Expiration=1,IF($A44&lt;VLOOKUP(V$5,NFI,5,0),1,0)*Data_NFI_t[[#This Row],[Adult Clothes]],0)</f>
        <v>0</v>
      </c>
      <c r="AO44" s="734">
        <f>IF(NFI_Expiration=1,IF($A44&lt;VLOOKUP(W$5,NFI,5,0),1,0)*Data_NFI_t[[#This Row],[Children Clothes]],0)</f>
        <v>0</v>
      </c>
      <c r="AP44" s="734">
        <f>IF(NFI_Expiration=1,IF($A44&lt;VLOOKUP(X$5,NFI,5,0),1,0)*Data_NFI_t[[#This Row],[Sewing Kit]],0)</f>
        <v>0</v>
      </c>
      <c r="AQ44" s="734">
        <f>IF(NFI_Expiration=1,IF($A44&lt;VLOOKUP(X$5,NFI,5,0),1,0)*Data_NFI_t[[#This Row],[Solar Lantern]],0)</f>
        <v>0</v>
      </c>
      <c r="AR44" s="105" t="str">
        <f ca="1">IFERROR(OFFSET(Camp_List[P_Code],MATCH(Data_NFI_t[[#This Row],[Camp Name]],Camp_List[Camp Name],0)-1,0,1,1),"")</f>
        <v>MMR012CMP039</v>
      </c>
      <c r="AS44" s="421" t="str">
        <f ca="1">IFERROR(OFFSET(Camp_List[Status],MATCH(Data_NFI_t[[#This Row],[Camp Name]],Camp_List[Camp Name],0)-1,0,1,1),"")</f>
        <v>Open</v>
      </c>
      <c r="AT44" s="105"/>
      <c r="AW44" s="772"/>
    </row>
    <row r="45" spans="1:49" s="770" customFormat="1" ht="18.75" customHeight="1" x14ac:dyDescent="0.25">
      <c r="A45" s="736">
        <f t="shared" si="0"/>
        <v>4.7666666666666666</v>
      </c>
      <c r="B45" s="737">
        <f>YEAR(Data_NFI_t[[#This Row],[Distribution Date]])</f>
        <v>2017</v>
      </c>
      <c r="C45" s="1013">
        <v>43047</v>
      </c>
      <c r="D45" s="733" t="s">
        <v>273</v>
      </c>
      <c r="E45" s="733" t="s">
        <v>273</v>
      </c>
      <c r="F45" s="733" t="s">
        <v>7</v>
      </c>
      <c r="G45" s="738" t="s">
        <v>17</v>
      </c>
      <c r="H45" s="738" t="s">
        <v>587</v>
      </c>
      <c r="I45" s="205"/>
      <c r="J45" s="954">
        <v>1145</v>
      </c>
      <c r="K45" s="954">
        <v>11730</v>
      </c>
      <c r="L45" s="740"/>
      <c r="M45" s="740">
        <v>1145</v>
      </c>
      <c r="N45" s="741"/>
      <c r="O45" s="741"/>
      <c r="P45" s="741"/>
      <c r="Q45" s="741"/>
      <c r="R45" s="741"/>
      <c r="S45" s="741"/>
      <c r="T45" s="742"/>
      <c r="U45" s="741"/>
      <c r="V45" s="955"/>
      <c r="W45" s="955"/>
      <c r="X45" s="741"/>
      <c r="Y45" s="741"/>
      <c r="Z45" s="741"/>
      <c r="AA45" s="741"/>
      <c r="AB45" s="741"/>
      <c r="AC45" s="734">
        <f>IF(NFI_Expiration=1,IF($A45&lt;VLOOKUP(I$5,NFI,5,0),1,0)*Data_NFI_t[[#This Row],[Hygiene Kit]],0)</f>
        <v>0</v>
      </c>
      <c r="AD45" s="734">
        <f>IF(NFI_Expiration=1,IF($A45&lt;VLOOKUP(L$5,NFI,5,0),1,0)*Data_NFI_t[[#This Row],[NFI Core Kit]],0)</f>
        <v>0</v>
      </c>
      <c r="AE45" s="735">
        <f>IF(NFI_Expiration=1,IF($A45&lt;VLOOKUP(M$5,NFI,5,0),1,0)*Data_NFI_t[[#This Row],[Sanitary Kit]],0)</f>
        <v>1145</v>
      </c>
      <c r="AF45" s="735">
        <f>IF(NFI_Expiration=1,IF($A45&lt;VLOOKUP(N$5,NFI,5,0),1,0)*Data_NFI_t[[#This Row],[Mosquito net]],0)</f>
        <v>0</v>
      </c>
      <c r="AG45" s="735">
        <f>IF(NFI_Expiration=1,IF($A45&lt;VLOOKUP(O$5,NFI,5,0),1,0)*Data_NFI_t[[#This Row],[Tarpaulin]],0)</f>
        <v>0</v>
      </c>
      <c r="AH45" s="735">
        <f>IF(NFI_Expiration=1,IF($A45&lt;VLOOKUP(P$5,NFI,5,0),1,0)*Data_NFI_t[[#This Row],[Blanket]],0)</f>
        <v>0</v>
      </c>
      <c r="AI45" s="735">
        <f>IF(NFI_Expiration=1,IF($A45&lt;VLOOKUP(Q$5,NFI,5,0),1,0)*Data_NFI_t[[#This Row],[Kitchen Set]],0)</f>
        <v>0</v>
      </c>
      <c r="AJ45" s="735">
        <f>IF(NFI_Expiration=1,IF($A45&lt;VLOOKUP(R$5,NFI,5,0),1,0)*Data_NFI_t[[#This Row],[Complementary Kit]],0)</f>
        <v>0</v>
      </c>
      <c r="AK45" s="735">
        <f>IF(NFI_Expiration=1,IF($A45&lt;VLOOKUP(S$5,NFI,5,0),1,0)*Data_NFI_t[[#This Row],[Plastic Bucket]],0)</f>
        <v>0</v>
      </c>
      <c r="AL45" s="734">
        <f>IF(NFI_Expiration=1,IF($A45&lt;VLOOKUP(T$5,NFI,5,0),1,0)*Data_NFI_t[[#This Row],[Jerry Can]],0)</f>
        <v>0</v>
      </c>
      <c r="AM45" s="734">
        <f>IF(NFI_Expiration=1,IF($A45&lt;VLOOKUP(U$5,NFI,5,0),1,0)*Data_NFI_t[[#This Row],[Plastic Mat]],0)</f>
        <v>0</v>
      </c>
      <c r="AN45" s="734">
        <f>IF(NFI_Expiration=1,IF($A45&lt;VLOOKUP(V$5,NFI,5,0),1,0)*Data_NFI_t[[#This Row],[Adult Clothes]],0)</f>
        <v>0</v>
      </c>
      <c r="AO45" s="734">
        <f>IF(NFI_Expiration=1,IF($A45&lt;VLOOKUP(W$5,NFI,5,0),1,0)*Data_NFI_t[[#This Row],[Children Clothes]],0)</f>
        <v>0</v>
      </c>
      <c r="AP45" s="734">
        <f>IF(NFI_Expiration=1,IF($A45&lt;VLOOKUP(X$5,NFI,5,0),1,0)*Data_NFI_t[[#This Row],[Sewing Kit]],0)</f>
        <v>0</v>
      </c>
      <c r="AQ45" s="734">
        <f>IF(NFI_Expiration=1,IF($A45&lt;VLOOKUP(X$5,NFI,5,0),1,0)*Data_NFI_t[[#This Row],[Solar Lantern]],0)</f>
        <v>0</v>
      </c>
      <c r="AR45" s="779" t="str">
        <f ca="1">IFERROR(OFFSET(Camp_List[P_Code],MATCH(Data_NFI_t[[#This Row],[Camp Name]],Camp_List[Camp Name],0)-1,0,1,1),"")</f>
        <v>MMR012CMP116</v>
      </c>
      <c r="AS45" s="780" t="str">
        <f ca="1">IFERROR(OFFSET(Camp_List[Status],MATCH(Data_NFI_t[[#This Row],[Camp Name]],Camp_List[Camp Name],0)-1,0,1,1),"")</f>
        <v>Open</v>
      </c>
      <c r="AT45" s="779"/>
      <c r="AW45" s="772"/>
    </row>
    <row r="46" spans="1:49" s="770" customFormat="1" ht="21" customHeight="1" x14ac:dyDescent="0.25">
      <c r="A46" s="736">
        <f t="shared" si="0"/>
        <v>5.0333333333333332</v>
      </c>
      <c r="B46" s="737">
        <f>YEAR(Data_NFI_t[[#This Row],[Distribution Date]])</f>
        <v>2017</v>
      </c>
      <c r="C46" s="1013">
        <v>43039</v>
      </c>
      <c r="D46" s="733" t="s">
        <v>1044</v>
      </c>
      <c r="E46" s="733" t="s">
        <v>1044</v>
      </c>
      <c r="F46" s="733" t="s">
        <v>7</v>
      </c>
      <c r="G46" s="738" t="s">
        <v>13</v>
      </c>
      <c r="H46" s="738" t="s">
        <v>41</v>
      </c>
      <c r="I46" s="205"/>
      <c r="J46" s="954">
        <v>720</v>
      </c>
      <c r="K46" s="954">
        <v>2810</v>
      </c>
      <c r="L46" s="740"/>
      <c r="M46" s="740">
        <v>2160</v>
      </c>
      <c r="N46" s="741"/>
      <c r="O46" s="741"/>
      <c r="P46" s="741"/>
      <c r="Q46" s="741"/>
      <c r="R46" s="741"/>
      <c r="S46" s="741"/>
      <c r="T46" s="742"/>
      <c r="U46" s="741"/>
      <c r="V46" s="955"/>
      <c r="W46" s="955"/>
      <c r="X46" s="741"/>
      <c r="Y46" s="741"/>
      <c r="Z46" s="741"/>
      <c r="AA46" s="741"/>
      <c r="AB46" s="741"/>
      <c r="AC46" s="734">
        <f>IF(NFI_Expiration=1,IF($A46&lt;VLOOKUP(I$5,NFI,5,0),1,0)*Data_NFI_t[[#This Row],[Hygiene Kit]],0)</f>
        <v>0</v>
      </c>
      <c r="AD46" s="734">
        <f>IF(NFI_Expiration=1,IF($A46&lt;VLOOKUP(L$5,NFI,5,0),1,0)*Data_NFI_t[[#This Row],[NFI Core Kit]],0)</f>
        <v>0</v>
      </c>
      <c r="AE46" s="735">
        <f>IF(NFI_Expiration=1,IF($A46&lt;VLOOKUP(M$5,NFI,5,0),1,0)*Data_NFI_t[[#This Row],[Sanitary Kit]],0)</f>
        <v>2160</v>
      </c>
      <c r="AF46" s="735">
        <f>IF(NFI_Expiration=1,IF($A46&lt;VLOOKUP(N$5,NFI,5,0),1,0)*Data_NFI_t[[#This Row],[Mosquito net]],0)</f>
        <v>0</v>
      </c>
      <c r="AG46" s="735">
        <f>IF(NFI_Expiration=1,IF($A46&lt;VLOOKUP(O$5,NFI,5,0),1,0)*Data_NFI_t[[#This Row],[Tarpaulin]],0)</f>
        <v>0</v>
      </c>
      <c r="AH46" s="735">
        <f>IF(NFI_Expiration=1,IF($A46&lt;VLOOKUP(P$5,NFI,5,0),1,0)*Data_NFI_t[[#This Row],[Blanket]],0)</f>
        <v>0</v>
      </c>
      <c r="AI46" s="735">
        <f>IF(NFI_Expiration=1,IF($A46&lt;VLOOKUP(Q$5,NFI,5,0),1,0)*Data_NFI_t[[#This Row],[Kitchen Set]],0)</f>
        <v>0</v>
      </c>
      <c r="AJ46" s="735">
        <f>IF(NFI_Expiration=1,IF($A46&lt;VLOOKUP(R$5,NFI,5,0),1,0)*Data_NFI_t[[#This Row],[Complementary Kit]],0)</f>
        <v>0</v>
      </c>
      <c r="AK46" s="735">
        <f>IF(NFI_Expiration=1,IF($A46&lt;VLOOKUP(S$5,NFI,5,0),1,0)*Data_NFI_t[[#This Row],[Plastic Bucket]],0)</f>
        <v>0</v>
      </c>
      <c r="AL46" s="734">
        <f>IF(NFI_Expiration=1,IF($A46&lt;VLOOKUP(T$5,NFI,5,0),1,0)*Data_NFI_t[[#This Row],[Jerry Can]],0)</f>
        <v>0</v>
      </c>
      <c r="AM46" s="734">
        <f>IF(NFI_Expiration=1,IF($A46&lt;VLOOKUP(U$5,NFI,5,0),1,0)*Data_NFI_t[[#This Row],[Plastic Mat]],0)</f>
        <v>0</v>
      </c>
      <c r="AN46" s="734">
        <f>IF(NFI_Expiration=1,IF($A46&lt;VLOOKUP(V$5,NFI,5,0),1,0)*Data_NFI_t[[#This Row],[Adult Clothes]],0)</f>
        <v>0</v>
      </c>
      <c r="AO46" s="734">
        <f>IF(NFI_Expiration=1,IF($A46&lt;VLOOKUP(W$5,NFI,5,0),1,0)*Data_NFI_t[[#This Row],[Children Clothes]],0)</f>
        <v>0</v>
      </c>
      <c r="AP46" s="734">
        <f>IF(NFI_Expiration=1,IF($A46&lt;VLOOKUP(X$5,NFI,5,0),1,0)*Data_NFI_t[[#This Row],[Sewing Kit]],0)</f>
        <v>0</v>
      </c>
      <c r="AQ46" s="734">
        <f>IF(NFI_Expiration=1,IF($A46&lt;VLOOKUP(X$5,NFI,5,0),1,0)*Data_NFI_t[[#This Row],[Solar Lantern]],0)</f>
        <v>0</v>
      </c>
      <c r="AR46" s="105" t="str">
        <f ca="1">IFERROR(OFFSET(Camp_List[P_Code],MATCH(Data_NFI_t[[#This Row],[Camp Name]],Camp_List[Camp Name],0)-1,0,1,1),"")</f>
        <v>MMR012CMP019</v>
      </c>
      <c r="AS46" s="421" t="str">
        <f ca="1">IFERROR(OFFSET(Camp_List[Status],MATCH(Data_NFI_t[[#This Row],[Camp Name]],Camp_List[Camp Name],0)-1,0,1,1),"")</f>
        <v>Open</v>
      </c>
      <c r="AT46" s="105"/>
      <c r="AW46" s="772"/>
    </row>
    <row r="47" spans="1:49" s="770" customFormat="1" ht="21" customHeight="1" x14ac:dyDescent="0.25">
      <c r="A47" s="736">
        <f t="shared" si="0"/>
        <v>5.2666666666666666</v>
      </c>
      <c r="B47" s="737">
        <f>YEAR(Data_NFI_t[[#This Row],[Distribution Date]])</f>
        <v>2017</v>
      </c>
      <c r="C47" s="1013">
        <v>43032</v>
      </c>
      <c r="D47" s="733" t="s">
        <v>1044</v>
      </c>
      <c r="E47" s="733" t="s">
        <v>1044</v>
      </c>
      <c r="F47" s="733" t="s">
        <v>7</v>
      </c>
      <c r="G47" s="738" t="s">
        <v>17</v>
      </c>
      <c r="H47" s="738" t="s">
        <v>59</v>
      </c>
      <c r="I47" s="205"/>
      <c r="J47" s="954">
        <v>397</v>
      </c>
      <c r="K47" s="954">
        <v>2196</v>
      </c>
      <c r="L47" s="740"/>
      <c r="M47" s="740">
        <v>794</v>
      </c>
      <c r="N47" s="741"/>
      <c r="O47" s="741"/>
      <c r="P47" s="741"/>
      <c r="Q47" s="741"/>
      <c r="R47" s="741"/>
      <c r="S47" s="741"/>
      <c r="T47" s="742"/>
      <c r="U47" s="741"/>
      <c r="V47" s="955"/>
      <c r="W47" s="955"/>
      <c r="X47" s="741"/>
      <c r="Y47" s="741"/>
      <c r="Z47" s="741"/>
      <c r="AA47" s="741"/>
      <c r="AB47" s="741"/>
      <c r="AC47" s="734">
        <f>IF(NFI_Expiration=1,IF($A47&lt;VLOOKUP(I$5,NFI,5,0),1,0)*Data_NFI_t[[#This Row],[Hygiene Kit]],0)</f>
        <v>0</v>
      </c>
      <c r="AD47" s="734">
        <f>IF(NFI_Expiration=1,IF($A47&lt;VLOOKUP(L$5,NFI,5,0),1,0)*Data_NFI_t[[#This Row],[NFI Core Kit]],0)</f>
        <v>0</v>
      </c>
      <c r="AE47" s="735">
        <f>IF(NFI_Expiration=1,IF($A47&lt;VLOOKUP(M$5,NFI,5,0),1,0)*Data_NFI_t[[#This Row],[Sanitary Kit]],0)</f>
        <v>794</v>
      </c>
      <c r="AF47" s="735">
        <f>IF(NFI_Expiration=1,IF($A47&lt;VLOOKUP(N$5,NFI,5,0),1,0)*Data_NFI_t[[#This Row],[Mosquito net]],0)</f>
        <v>0</v>
      </c>
      <c r="AG47" s="735">
        <f>IF(NFI_Expiration=1,IF($A47&lt;VLOOKUP(O$5,NFI,5,0),1,0)*Data_NFI_t[[#This Row],[Tarpaulin]],0)</f>
        <v>0</v>
      </c>
      <c r="AH47" s="735">
        <f>IF(NFI_Expiration=1,IF($A47&lt;VLOOKUP(P$5,NFI,5,0),1,0)*Data_NFI_t[[#This Row],[Blanket]],0)</f>
        <v>0</v>
      </c>
      <c r="AI47" s="735">
        <f>IF(NFI_Expiration=1,IF($A47&lt;VLOOKUP(Q$5,NFI,5,0),1,0)*Data_NFI_t[[#This Row],[Kitchen Set]],0)</f>
        <v>0</v>
      </c>
      <c r="AJ47" s="735">
        <f>IF(NFI_Expiration=1,IF($A47&lt;VLOOKUP(R$5,NFI,5,0),1,0)*Data_NFI_t[[#This Row],[Complementary Kit]],0)</f>
        <v>0</v>
      </c>
      <c r="AK47" s="735">
        <f>IF(NFI_Expiration=1,IF($A47&lt;VLOOKUP(S$5,NFI,5,0),1,0)*Data_NFI_t[[#This Row],[Plastic Bucket]],0)</f>
        <v>0</v>
      </c>
      <c r="AL47" s="734">
        <f>IF(NFI_Expiration=1,IF($A47&lt;VLOOKUP(T$5,NFI,5,0),1,0)*Data_NFI_t[[#This Row],[Jerry Can]],0)</f>
        <v>0</v>
      </c>
      <c r="AM47" s="734">
        <f>IF(NFI_Expiration=1,IF($A47&lt;VLOOKUP(U$5,NFI,5,0),1,0)*Data_NFI_t[[#This Row],[Plastic Mat]],0)</f>
        <v>0</v>
      </c>
      <c r="AN47" s="734">
        <f>IF(NFI_Expiration=1,IF($A47&lt;VLOOKUP(V$5,NFI,5,0),1,0)*Data_NFI_t[[#This Row],[Adult Clothes]],0)</f>
        <v>0</v>
      </c>
      <c r="AO47" s="734">
        <f>IF(NFI_Expiration=1,IF($A47&lt;VLOOKUP(W$5,NFI,5,0),1,0)*Data_NFI_t[[#This Row],[Children Clothes]],0)</f>
        <v>0</v>
      </c>
      <c r="AP47" s="734">
        <f>IF(NFI_Expiration=1,IF($A47&lt;VLOOKUP(X$5,NFI,5,0),1,0)*Data_NFI_t[[#This Row],[Sewing Kit]],0)</f>
        <v>0</v>
      </c>
      <c r="AQ47" s="734">
        <f>IF(NFI_Expiration=1,IF($A47&lt;VLOOKUP(X$5,NFI,5,0),1,0)*Data_NFI_t[[#This Row],[Solar Lantern]],0)</f>
        <v>0</v>
      </c>
      <c r="AR47" s="105" t="str">
        <f ca="1">IFERROR(OFFSET(Camp_List[P_Code],MATCH(Data_NFI_t[[#This Row],[Camp Name]],Camp_List[Camp Name],0)-1,0,1,1),"")</f>
        <v>MMR012CMP039</v>
      </c>
      <c r="AS47" s="421" t="str">
        <f ca="1">IFERROR(OFFSET(Camp_List[Status],MATCH(Data_NFI_t[[#This Row],[Camp Name]],Camp_List[Camp Name],0)-1,0,1,1),"")</f>
        <v>Open</v>
      </c>
      <c r="AT47" s="105"/>
      <c r="AW47" s="772"/>
    </row>
    <row r="48" spans="1:49" s="770" customFormat="1" ht="21" customHeight="1" x14ac:dyDescent="0.25">
      <c r="A48" s="736">
        <f t="shared" si="0"/>
        <v>5.2666666666666666</v>
      </c>
      <c r="B48" s="737">
        <f>YEAR(Data_NFI_t[[#This Row],[Distribution Date]])</f>
        <v>2017</v>
      </c>
      <c r="C48" s="1013">
        <v>43032</v>
      </c>
      <c r="D48" s="733" t="s">
        <v>1044</v>
      </c>
      <c r="E48" s="733" t="s">
        <v>1044</v>
      </c>
      <c r="F48" s="733" t="s">
        <v>7</v>
      </c>
      <c r="G48" s="738" t="s">
        <v>17</v>
      </c>
      <c r="H48" s="738" t="s">
        <v>586</v>
      </c>
      <c r="I48" s="205"/>
      <c r="J48" s="954">
        <v>2718</v>
      </c>
      <c r="K48" s="954">
        <v>13798</v>
      </c>
      <c r="L48" s="740"/>
      <c r="M48" s="740">
        <v>5436</v>
      </c>
      <c r="N48" s="741"/>
      <c r="O48" s="741"/>
      <c r="P48" s="741"/>
      <c r="Q48" s="741"/>
      <c r="R48" s="741"/>
      <c r="S48" s="741"/>
      <c r="T48" s="742"/>
      <c r="U48" s="741"/>
      <c r="V48" s="955"/>
      <c r="W48" s="955"/>
      <c r="X48" s="741"/>
      <c r="Y48" s="741"/>
      <c r="Z48" s="741"/>
      <c r="AA48" s="741"/>
      <c r="AB48" s="741"/>
      <c r="AC48" s="734">
        <f>IF(NFI_Expiration=1,IF($A48&lt;VLOOKUP(I$5,NFI,5,0),1,0)*Data_NFI_t[[#This Row],[Hygiene Kit]],0)</f>
        <v>0</v>
      </c>
      <c r="AD48" s="734">
        <f>IF(NFI_Expiration=1,IF($A48&lt;VLOOKUP(L$5,NFI,5,0),1,0)*Data_NFI_t[[#This Row],[NFI Core Kit]],0)</f>
        <v>0</v>
      </c>
      <c r="AE48" s="735">
        <f>IF(NFI_Expiration=1,IF($A48&lt;VLOOKUP(M$5,NFI,5,0),1,0)*Data_NFI_t[[#This Row],[Sanitary Kit]],0)</f>
        <v>5436</v>
      </c>
      <c r="AF48" s="735">
        <f>IF(NFI_Expiration=1,IF($A48&lt;VLOOKUP(N$5,NFI,5,0),1,0)*Data_NFI_t[[#This Row],[Mosquito net]],0)</f>
        <v>0</v>
      </c>
      <c r="AG48" s="735">
        <f>IF(NFI_Expiration=1,IF($A48&lt;VLOOKUP(O$5,NFI,5,0),1,0)*Data_NFI_t[[#This Row],[Tarpaulin]],0)</f>
        <v>0</v>
      </c>
      <c r="AH48" s="735">
        <f>IF(NFI_Expiration=1,IF($A48&lt;VLOOKUP(P$5,NFI,5,0),1,0)*Data_NFI_t[[#This Row],[Blanket]],0)</f>
        <v>0</v>
      </c>
      <c r="AI48" s="735">
        <f>IF(NFI_Expiration=1,IF($A48&lt;VLOOKUP(Q$5,NFI,5,0),1,0)*Data_NFI_t[[#This Row],[Kitchen Set]],0)</f>
        <v>0</v>
      </c>
      <c r="AJ48" s="735">
        <f>IF(NFI_Expiration=1,IF($A48&lt;VLOOKUP(R$5,NFI,5,0),1,0)*Data_NFI_t[[#This Row],[Complementary Kit]],0)</f>
        <v>0</v>
      </c>
      <c r="AK48" s="735">
        <f>IF(NFI_Expiration=1,IF($A48&lt;VLOOKUP(S$5,NFI,5,0),1,0)*Data_NFI_t[[#This Row],[Plastic Bucket]],0)</f>
        <v>0</v>
      </c>
      <c r="AL48" s="734">
        <f>IF(NFI_Expiration=1,IF($A48&lt;VLOOKUP(T$5,NFI,5,0),1,0)*Data_NFI_t[[#This Row],[Jerry Can]],0)</f>
        <v>0</v>
      </c>
      <c r="AM48" s="734">
        <f>IF(NFI_Expiration=1,IF($A48&lt;VLOOKUP(U$5,NFI,5,0),1,0)*Data_NFI_t[[#This Row],[Plastic Mat]],0)</f>
        <v>0</v>
      </c>
      <c r="AN48" s="734">
        <f>IF(NFI_Expiration=1,IF($A48&lt;VLOOKUP(V$5,NFI,5,0),1,0)*Data_NFI_t[[#This Row],[Adult Clothes]],0)</f>
        <v>0</v>
      </c>
      <c r="AO48" s="734">
        <f>IF(NFI_Expiration=1,IF($A48&lt;VLOOKUP(W$5,NFI,5,0),1,0)*Data_NFI_t[[#This Row],[Children Clothes]],0)</f>
        <v>0</v>
      </c>
      <c r="AP48" s="734">
        <f>IF(NFI_Expiration=1,IF($A48&lt;VLOOKUP(X$5,NFI,5,0),1,0)*Data_NFI_t[[#This Row],[Sewing Kit]],0)</f>
        <v>0</v>
      </c>
      <c r="AQ48" s="734">
        <f>IF(NFI_Expiration=1,IF($A48&lt;VLOOKUP(X$5,NFI,5,0),1,0)*Data_NFI_t[[#This Row],[Solar Lantern]],0)</f>
        <v>0</v>
      </c>
      <c r="AR48" s="105" t="str">
        <f ca="1">IFERROR(OFFSET(Camp_List[P_Code],MATCH(Data_NFI_t[[#This Row],[Camp Name]],Camp_List[Camp Name],0)-1,0,1,1),"")</f>
        <v>MMR012CMP115</v>
      </c>
      <c r="AS48" s="421" t="str">
        <f ca="1">IFERROR(OFFSET(Camp_List[Status],MATCH(Data_NFI_t[[#This Row],[Camp Name]],Camp_List[Camp Name],0)-1,0,1,1),"")</f>
        <v>Open</v>
      </c>
      <c r="AT48" s="105"/>
      <c r="AW48" s="772"/>
    </row>
    <row r="49" spans="1:49" s="770" customFormat="1" ht="21" customHeight="1" x14ac:dyDescent="0.25">
      <c r="A49" s="736">
        <f t="shared" si="0"/>
        <v>5.3</v>
      </c>
      <c r="B49" s="737">
        <f>YEAR(Data_NFI_t[[#This Row],[Distribution Date]])</f>
        <v>2017</v>
      </c>
      <c r="C49" s="1013">
        <v>43031</v>
      </c>
      <c r="D49" s="733" t="s">
        <v>1044</v>
      </c>
      <c r="E49" s="733" t="s">
        <v>1044</v>
      </c>
      <c r="F49" s="733" t="s">
        <v>7</v>
      </c>
      <c r="G49" s="738" t="s">
        <v>17</v>
      </c>
      <c r="H49" s="738" t="s">
        <v>580</v>
      </c>
      <c r="I49" s="205"/>
      <c r="J49" s="954">
        <v>656</v>
      </c>
      <c r="K49" s="954">
        <v>3492</v>
      </c>
      <c r="L49" s="740"/>
      <c r="M49" s="740">
        <v>1312</v>
      </c>
      <c r="N49" s="741"/>
      <c r="O49" s="741"/>
      <c r="P49" s="741"/>
      <c r="Q49" s="741"/>
      <c r="R49" s="741"/>
      <c r="S49" s="741"/>
      <c r="T49" s="742"/>
      <c r="U49" s="741"/>
      <c r="V49" s="955"/>
      <c r="W49" s="955"/>
      <c r="X49" s="741"/>
      <c r="Y49" s="741"/>
      <c r="Z49" s="741"/>
      <c r="AA49" s="741"/>
      <c r="AB49" s="741"/>
      <c r="AC49" s="734">
        <f>IF(NFI_Expiration=1,IF($A49&lt;VLOOKUP(I$5,NFI,5,0),1,0)*Data_NFI_t[[#This Row],[Hygiene Kit]],0)</f>
        <v>0</v>
      </c>
      <c r="AD49" s="734">
        <f>IF(NFI_Expiration=1,IF($A49&lt;VLOOKUP(L$5,NFI,5,0),1,0)*Data_NFI_t[[#This Row],[NFI Core Kit]],0)</f>
        <v>0</v>
      </c>
      <c r="AE49" s="735">
        <f>IF(NFI_Expiration=1,IF($A49&lt;VLOOKUP(M$5,NFI,5,0),1,0)*Data_NFI_t[[#This Row],[Sanitary Kit]],0)</f>
        <v>1312</v>
      </c>
      <c r="AF49" s="735">
        <f>IF(NFI_Expiration=1,IF($A49&lt;VLOOKUP(N$5,NFI,5,0),1,0)*Data_NFI_t[[#This Row],[Mosquito net]],0)</f>
        <v>0</v>
      </c>
      <c r="AG49" s="735">
        <f>IF(NFI_Expiration=1,IF($A49&lt;VLOOKUP(O$5,NFI,5,0),1,0)*Data_NFI_t[[#This Row],[Tarpaulin]],0)</f>
        <v>0</v>
      </c>
      <c r="AH49" s="735">
        <f>IF(NFI_Expiration=1,IF($A49&lt;VLOOKUP(P$5,NFI,5,0),1,0)*Data_NFI_t[[#This Row],[Blanket]],0)</f>
        <v>0</v>
      </c>
      <c r="AI49" s="735">
        <f>IF(NFI_Expiration=1,IF($A49&lt;VLOOKUP(Q$5,NFI,5,0),1,0)*Data_NFI_t[[#This Row],[Kitchen Set]],0)</f>
        <v>0</v>
      </c>
      <c r="AJ49" s="735">
        <f>IF(NFI_Expiration=1,IF($A49&lt;VLOOKUP(R$5,NFI,5,0),1,0)*Data_NFI_t[[#This Row],[Complementary Kit]],0)</f>
        <v>0</v>
      </c>
      <c r="AK49" s="735">
        <f>IF(NFI_Expiration=1,IF($A49&lt;VLOOKUP(S$5,NFI,5,0),1,0)*Data_NFI_t[[#This Row],[Plastic Bucket]],0)</f>
        <v>0</v>
      </c>
      <c r="AL49" s="734">
        <f>IF(NFI_Expiration=1,IF($A49&lt;VLOOKUP(T$5,NFI,5,0),1,0)*Data_NFI_t[[#This Row],[Jerry Can]],0)</f>
        <v>0</v>
      </c>
      <c r="AM49" s="734">
        <f>IF(NFI_Expiration=1,IF($A49&lt;VLOOKUP(U$5,NFI,5,0),1,0)*Data_NFI_t[[#This Row],[Plastic Mat]],0)</f>
        <v>0</v>
      </c>
      <c r="AN49" s="734">
        <f>IF(NFI_Expiration=1,IF($A49&lt;VLOOKUP(V$5,NFI,5,0),1,0)*Data_NFI_t[[#This Row],[Adult Clothes]],0)</f>
        <v>0</v>
      </c>
      <c r="AO49" s="734">
        <f>IF(NFI_Expiration=1,IF($A49&lt;VLOOKUP(W$5,NFI,5,0),1,0)*Data_NFI_t[[#This Row],[Children Clothes]],0)</f>
        <v>0</v>
      </c>
      <c r="AP49" s="734">
        <f>IF(NFI_Expiration=1,IF($A49&lt;VLOOKUP(X$5,NFI,5,0),1,0)*Data_NFI_t[[#This Row],[Sewing Kit]],0)</f>
        <v>0</v>
      </c>
      <c r="AQ49" s="734">
        <f>IF(NFI_Expiration=1,IF($A49&lt;VLOOKUP(X$5,NFI,5,0),1,0)*Data_NFI_t[[#This Row],[Solar Lantern]],0)</f>
        <v>0</v>
      </c>
      <c r="AR49" s="105" t="str">
        <f ca="1">IFERROR(OFFSET(Camp_List[P_Code],MATCH(Data_NFI_t[[#This Row],[Camp Name]],Camp_List[Camp Name],0)-1,0,1,1),"")</f>
        <v>MMR012CMP092</v>
      </c>
      <c r="AS49" s="421" t="str">
        <f ca="1">IFERROR(OFFSET(Camp_List[Status],MATCH(Data_NFI_t[[#This Row],[Camp Name]],Camp_List[Camp Name],0)-1,0,1,1),"")</f>
        <v>Open</v>
      </c>
      <c r="AT49" s="105"/>
      <c r="AW49" s="772"/>
    </row>
    <row r="50" spans="1:49" s="770" customFormat="1" ht="21" customHeight="1" x14ac:dyDescent="0.25">
      <c r="A50" s="736">
        <f t="shared" si="0"/>
        <v>5.3</v>
      </c>
      <c r="B50" s="737">
        <f>YEAR(Data_NFI_t[[#This Row],[Distribution Date]])</f>
        <v>2017</v>
      </c>
      <c r="C50" s="1013">
        <v>43031</v>
      </c>
      <c r="D50" s="733" t="s">
        <v>1044</v>
      </c>
      <c r="E50" s="733" t="s">
        <v>1044</v>
      </c>
      <c r="F50" s="733" t="s">
        <v>7</v>
      </c>
      <c r="G50" s="738" t="s">
        <v>17</v>
      </c>
      <c r="H50" s="738" t="s">
        <v>68</v>
      </c>
      <c r="I50" s="205"/>
      <c r="J50" s="954">
        <v>1013</v>
      </c>
      <c r="K50" s="954">
        <v>5928</v>
      </c>
      <c r="L50" s="740"/>
      <c r="M50" s="740">
        <v>2026</v>
      </c>
      <c r="N50" s="741"/>
      <c r="O50" s="741"/>
      <c r="P50" s="741"/>
      <c r="Q50" s="741"/>
      <c r="R50" s="741"/>
      <c r="S50" s="741"/>
      <c r="T50" s="742"/>
      <c r="U50" s="741"/>
      <c r="V50" s="955"/>
      <c r="W50" s="955"/>
      <c r="X50" s="741"/>
      <c r="Y50" s="741"/>
      <c r="Z50" s="741"/>
      <c r="AA50" s="741"/>
      <c r="AB50" s="741"/>
      <c r="AC50" s="734">
        <f>IF(NFI_Expiration=1,IF($A50&lt;VLOOKUP(I$5,NFI,5,0),1,0)*Data_NFI_t[[#This Row],[Hygiene Kit]],0)</f>
        <v>0</v>
      </c>
      <c r="AD50" s="734">
        <f>IF(NFI_Expiration=1,IF($A50&lt;VLOOKUP(L$5,NFI,5,0),1,0)*Data_NFI_t[[#This Row],[NFI Core Kit]],0)</f>
        <v>0</v>
      </c>
      <c r="AE50" s="735">
        <f>IF(NFI_Expiration=1,IF($A50&lt;VLOOKUP(M$5,NFI,5,0),1,0)*Data_NFI_t[[#This Row],[Sanitary Kit]],0)</f>
        <v>2026</v>
      </c>
      <c r="AF50" s="735">
        <f>IF(NFI_Expiration=1,IF($A50&lt;VLOOKUP(N$5,NFI,5,0),1,0)*Data_NFI_t[[#This Row],[Mosquito net]],0)</f>
        <v>0</v>
      </c>
      <c r="AG50" s="735">
        <f>IF(NFI_Expiration=1,IF($A50&lt;VLOOKUP(O$5,NFI,5,0),1,0)*Data_NFI_t[[#This Row],[Tarpaulin]],0)</f>
        <v>0</v>
      </c>
      <c r="AH50" s="735">
        <f>IF(NFI_Expiration=1,IF($A50&lt;VLOOKUP(P$5,NFI,5,0),1,0)*Data_NFI_t[[#This Row],[Blanket]],0)</f>
        <v>0</v>
      </c>
      <c r="AI50" s="735">
        <f>IF(NFI_Expiration=1,IF($A50&lt;VLOOKUP(Q$5,NFI,5,0),1,0)*Data_NFI_t[[#This Row],[Kitchen Set]],0)</f>
        <v>0</v>
      </c>
      <c r="AJ50" s="735">
        <f>IF(NFI_Expiration=1,IF($A50&lt;VLOOKUP(R$5,NFI,5,0),1,0)*Data_NFI_t[[#This Row],[Complementary Kit]],0)</f>
        <v>0</v>
      </c>
      <c r="AK50" s="735">
        <f>IF(NFI_Expiration=1,IF($A50&lt;VLOOKUP(S$5,NFI,5,0),1,0)*Data_NFI_t[[#This Row],[Plastic Bucket]],0)</f>
        <v>0</v>
      </c>
      <c r="AL50" s="734">
        <f>IF(NFI_Expiration=1,IF($A50&lt;VLOOKUP(T$5,NFI,5,0),1,0)*Data_NFI_t[[#This Row],[Jerry Can]],0)</f>
        <v>0</v>
      </c>
      <c r="AM50" s="734">
        <f>IF(NFI_Expiration=1,IF($A50&lt;VLOOKUP(U$5,NFI,5,0),1,0)*Data_NFI_t[[#This Row],[Plastic Mat]],0)</f>
        <v>0</v>
      </c>
      <c r="AN50" s="734">
        <f>IF(NFI_Expiration=1,IF($A50&lt;VLOOKUP(V$5,NFI,5,0),1,0)*Data_NFI_t[[#This Row],[Adult Clothes]],0)</f>
        <v>0</v>
      </c>
      <c r="AO50" s="734">
        <f>IF(NFI_Expiration=1,IF($A50&lt;VLOOKUP(W$5,NFI,5,0),1,0)*Data_NFI_t[[#This Row],[Children Clothes]],0)</f>
        <v>0</v>
      </c>
      <c r="AP50" s="734">
        <f>IF(NFI_Expiration=1,IF($A50&lt;VLOOKUP(X$5,NFI,5,0),1,0)*Data_NFI_t[[#This Row],[Sewing Kit]],0)</f>
        <v>0</v>
      </c>
      <c r="AQ50" s="734">
        <f>IF(NFI_Expiration=1,IF($A50&lt;VLOOKUP(X$5,NFI,5,0),1,0)*Data_NFI_t[[#This Row],[Solar Lantern]],0)</f>
        <v>0</v>
      </c>
      <c r="AR50" s="105" t="str">
        <f ca="1">IFERROR(OFFSET(Camp_List[P_Code],MATCH(Data_NFI_t[[#This Row],[Camp Name]],Camp_List[Camp Name],0)-1,0,1,1),"")</f>
        <v>MMR012CMP048</v>
      </c>
      <c r="AS50" s="421" t="str">
        <f ca="1">IFERROR(OFFSET(Camp_List[Status],MATCH(Data_NFI_t[[#This Row],[Camp Name]],Camp_List[Camp Name],0)-1,0,1,1),"")</f>
        <v>Open</v>
      </c>
      <c r="AT50" s="105"/>
      <c r="AW50" s="772"/>
    </row>
    <row r="51" spans="1:49" s="770" customFormat="1" ht="21" customHeight="1" x14ac:dyDescent="0.25">
      <c r="A51" s="736">
        <f t="shared" si="0"/>
        <v>6.0333333333333332</v>
      </c>
      <c r="B51" s="737">
        <f>YEAR(Data_NFI_t[[#This Row],[Distribution Date]])</f>
        <v>2017</v>
      </c>
      <c r="C51" s="1013">
        <v>43009</v>
      </c>
      <c r="D51" s="733" t="s">
        <v>272</v>
      </c>
      <c r="E51" s="733" t="s">
        <v>1124</v>
      </c>
      <c r="F51" s="733" t="s">
        <v>7</v>
      </c>
      <c r="G51" s="738" t="s">
        <v>13</v>
      </c>
      <c r="H51" s="738" t="s">
        <v>38</v>
      </c>
      <c r="I51" s="205"/>
      <c r="J51" s="954">
        <v>1238</v>
      </c>
      <c r="K51" s="954">
        <v>6809</v>
      </c>
      <c r="L51" s="740"/>
      <c r="M51" s="740">
        <v>1238</v>
      </c>
      <c r="N51" s="741"/>
      <c r="O51" s="741">
        <v>1238</v>
      </c>
      <c r="P51" s="741"/>
      <c r="Q51" s="741"/>
      <c r="R51" s="741"/>
      <c r="S51" s="741">
        <v>1238</v>
      </c>
      <c r="T51" s="742"/>
      <c r="U51" s="741"/>
      <c r="V51" s="955"/>
      <c r="W51" s="955"/>
      <c r="X51" s="741"/>
      <c r="Y51" s="741"/>
      <c r="Z51" s="741"/>
      <c r="AA51" s="741"/>
      <c r="AB51" s="741"/>
      <c r="AC51" s="734">
        <f>IF(NFI_Expiration=1,IF($A51&lt;VLOOKUP(I$5,NFI,5,0),1,0)*Data_NFI_t[[#This Row],[Hygiene Kit]],0)</f>
        <v>0</v>
      </c>
      <c r="AD51" s="734">
        <f>IF(NFI_Expiration=1,IF($A51&lt;VLOOKUP(L$5,NFI,5,0),1,0)*Data_NFI_t[[#This Row],[NFI Core Kit]],0)</f>
        <v>0</v>
      </c>
      <c r="AE51" s="735">
        <f>IF(NFI_Expiration=1,IF($A51&lt;VLOOKUP(M$5,NFI,5,0),1,0)*Data_NFI_t[[#This Row],[Sanitary Kit]],0)</f>
        <v>1238</v>
      </c>
      <c r="AF51" s="735">
        <f>IF(NFI_Expiration=1,IF($A51&lt;VLOOKUP(N$5,NFI,5,0),1,0)*Data_NFI_t[[#This Row],[Mosquito net]],0)</f>
        <v>0</v>
      </c>
      <c r="AG51" s="735">
        <f>IF(NFI_Expiration=1,IF($A51&lt;VLOOKUP(O$5,NFI,5,0),1,0)*Data_NFI_t[[#This Row],[Tarpaulin]],0)</f>
        <v>1238</v>
      </c>
      <c r="AH51" s="735">
        <f>IF(NFI_Expiration=1,IF($A51&lt;VLOOKUP(P$5,NFI,5,0),1,0)*Data_NFI_t[[#This Row],[Blanket]],0)</f>
        <v>0</v>
      </c>
      <c r="AI51" s="735">
        <f>IF(NFI_Expiration=1,IF($A51&lt;VLOOKUP(Q$5,NFI,5,0),1,0)*Data_NFI_t[[#This Row],[Kitchen Set]],0)</f>
        <v>0</v>
      </c>
      <c r="AJ51" s="735">
        <f>IF(NFI_Expiration=1,IF($A51&lt;VLOOKUP(R$5,NFI,5,0),1,0)*Data_NFI_t[[#This Row],[Complementary Kit]],0)</f>
        <v>0</v>
      </c>
      <c r="AK51" s="735">
        <f>IF(NFI_Expiration=1,IF($A51&lt;VLOOKUP(S$5,NFI,5,0),1,0)*Data_NFI_t[[#This Row],[Plastic Bucket]],0)</f>
        <v>1238</v>
      </c>
      <c r="AL51" s="734">
        <f>IF(NFI_Expiration=1,IF($A51&lt;VLOOKUP(T$5,NFI,5,0),1,0)*Data_NFI_t[[#This Row],[Jerry Can]],0)</f>
        <v>0</v>
      </c>
      <c r="AM51" s="734">
        <f>IF(NFI_Expiration=1,IF($A51&lt;VLOOKUP(U$5,NFI,5,0),1,0)*Data_NFI_t[[#This Row],[Plastic Mat]],0)</f>
        <v>0</v>
      </c>
      <c r="AN51" s="734">
        <f>IF(NFI_Expiration=1,IF($A51&lt;VLOOKUP(V$5,NFI,5,0),1,0)*Data_NFI_t[[#This Row],[Adult Clothes]],0)</f>
        <v>0</v>
      </c>
      <c r="AO51" s="734">
        <f>IF(NFI_Expiration=1,IF($A51&lt;VLOOKUP(W$5,NFI,5,0),1,0)*Data_NFI_t[[#This Row],[Children Clothes]],0)</f>
        <v>0</v>
      </c>
      <c r="AP51" s="734">
        <f>IF(NFI_Expiration=1,IF($A51&lt;VLOOKUP(X$5,NFI,5,0),1,0)*Data_NFI_t[[#This Row],[Sewing Kit]],0)</f>
        <v>0</v>
      </c>
      <c r="AQ51" s="734">
        <f>IF(NFI_Expiration=1,IF($A51&lt;VLOOKUP(X$5,NFI,5,0),1,0)*Data_NFI_t[[#This Row],[Solar Lantern]],0)</f>
        <v>0</v>
      </c>
      <c r="AR51" s="105" t="str">
        <f ca="1">IFERROR(OFFSET(Camp_List[P_Code],MATCH(Data_NFI_t[[#This Row],[Camp Name]],Camp_List[Camp Name],0)-1,0,1,1),"")</f>
        <v>MMR012CMP016</v>
      </c>
      <c r="AS51" s="421" t="str">
        <f ca="1">IFERROR(OFFSET(Camp_List[Status],MATCH(Data_NFI_t[[#This Row],[Camp Name]],Camp_List[Camp Name],0)-1,0,1,1),"")</f>
        <v>Open</v>
      </c>
      <c r="AT51" s="105"/>
      <c r="AW51" s="772"/>
    </row>
    <row r="52" spans="1:49" s="770" customFormat="1" ht="21" customHeight="1" x14ac:dyDescent="0.25">
      <c r="A52" s="736">
        <f t="shared" si="0"/>
        <v>6.0333333333333332</v>
      </c>
      <c r="B52" s="737">
        <f>YEAR(Data_NFI_t[[#This Row],[Distribution Date]])</f>
        <v>2017</v>
      </c>
      <c r="C52" s="1013">
        <v>43009</v>
      </c>
      <c r="D52" s="733" t="s">
        <v>1025</v>
      </c>
      <c r="E52" s="733" t="s">
        <v>1025</v>
      </c>
      <c r="F52" s="733" t="s">
        <v>7</v>
      </c>
      <c r="G52" s="738" t="s">
        <v>17</v>
      </c>
      <c r="H52" s="738" t="s">
        <v>66</v>
      </c>
      <c r="I52" s="205"/>
      <c r="J52" s="954">
        <v>1138</v>
      </c>
      <c r="K52" s="954">
        <v>6259</v>
      </c>
      <c r="L52" s="740"/>
      <c r="M52" s="740">
        <v>1138</v>
      </c>
      <c r="N52" s="741"/>
      <c r="O52" s="741"/>
      <c r="P52" s="741"/>
      <c r="Q52" s="741"/>
      <c r="R52" s="741"/>
      <c r="S52" s="741"/>
      <c r="T52" s="742"/>
      <c r="U52" s="741"/>
      <c r="V52" s="955"/>
      <c r="W52" s="955"/>
      <c r="X52" s="741"/>
      <c r="Y52" s="741"/>
      <c r="Z52" s="741"/>
      <c r="AA52" s="741"/>
      <c r="AB52" s="741"/>
      <c r="AC52" s="734">
        <f>IF(NFI_Expiration=1,IF($A52&lt;VLOOKUP(I$5,NFI,5,0),1,0)*Data_NFI_t[[#This Row],[Hygiene Kit]],0)</f>
        <v>0</v>
      </c>
      <c r="AD52" s="734">
        <f>IF(NFI_Expiration=1,IF($A52&lt;VLOOKUP(L$5,NFI,5,0),1,0)*Data_NFI_t[[#This Row],[NFI Core Kit]],0)</f>
        <v>0</v>
      </c>
      <c r="AE52" s="735">
        <f>IF(NFI_Expiration=1,IF($A52&lt;VLOOKUP(M$5,NFI,5,0),1,0)*Data_NFI_t[[#This Row],[Sanitary Kit]],0)</f>
        <v>1138</v>
      </c>
      <c r="AF52" s="735">
        <f>IF(NFI_Expiration=1,IF($A52&lt;VLOOKUP(N$5,NFI,5,0),1,0)*Data_NFI_t[[#This Row],[Mosquito net]],0)</f>
        <v>0</v>
      </c>
      <c r="AG52" s="735">
        <f>IF(NFI_Expiration=1,IF($A52&lt;VLOOKUP(O$5,NFI,5,0),1,0)*Data_NFI_t[[#This Row],[Tarpaulin]],0)</f>
        <v>0</v>
      </c>
      <c r="AH52" s="735">
        <f>IF(NFI_Expiration=1,IF($A52&lt;VLOOKUP(P$5,NFI,5,0),1,0)*Data_NFI_t[[#This Row],[Blanket]],0)</f>
        <v>0</v>
      </c>
      <c r="AI52" s="735">
        <f>IF(NFI_Expiration=1,IF($A52&lt;VLOOKUP(Q$5,NFI,5,0),1,0)*Data_NFI_t[[#This Row],[Kitchen Set]],0)</f>
        <v>0</v>
      </c>
      <c r="AJ52" s="735">
        <f>IF(NFI_Expiration=1,IF($A52&lt;VLOOKUP(R$5,NFI,5,0),1,0)*Data_NFI_t[[#This Row],[Complementary Kit]],0)</f>
        <v>0</v>
      </c>
      <c r="AK52" s="735">
        <f>IF(NFI_Expiration=1,IF($A52&lt;VLOOKUP(S$5,NFI,5,0),1,0)*Data_NFI_t[[#This Row],[Plastic Bucket]],0)</f>
        <v>0</v>
      </c>
      <c r="AL52" s="734">
        <f>IF(NFI_Expiration=1,IF($A52&lt;VLOOKUP(T$5,NFI,5,0),1,0)*Data_NFI_t[[#This Row],[Jerry Can]],0)</f>
        <v>0</v>
      </c>
      <c r="AM52" s="734">
        <f>IF(NFI_Expiration=1,IF($A52&lt;VLOOKUP(U$5,NFI,5,0),1,0)*Data_NFI_t[[#This Row],[Plastic Mat]],0)</f>
        <v>0</v>
      </c>
      <c r="AN52" s="734">
        <f>IF(NFI_Expiration=1,IF($A52&lt;VLOOKUP(V$5,NFI,5,0),1,0)*Data_NFI_t[[#This Row],[Adult Clothes]],0)</f>
        <v>0</v>
      </c>
      <c r="AO52" s="734">
        <f>IF(NFI_Expiration=1,IF($A52&lt;VLOOKUP(W$5,NFI,5,0),1,0)*Data_NFI_t[[#This Row],[Children Clothes]],0)</f>
        <v>0</v>
      </c>
      <c r="AP52" s="734">
        <f>IF(NFI_Expiration=1,IF($A52&lt;VLOOKUP(X$5,NFI,5,0),1,0)*Data_NFI_t[[#This Row],[Sewing Kit]],0)</f>
        <v>0</v>
      </c>
      <c r="AQ52" s="734">
        <f>IF(NFI_Expiration=1,IF($A52&lt;VLOOKUP(X$5,NFI,5,0),1,0)*Data_NFI_t[[#This Row],[Solar Lantern]],0)</f>
        <v>0</v>
      </c>
      <c r="AR52" s="105" t="str">
        <f ca="1">IFERROR(OFFSET(Camp_List[P_Code],MATCH(Data_NFI_t[[#This Row],[Camp Name]],Camp_List[Camp Name],0)-1,0,1,1),"")</f>
        <v>MMR012CMP046</v>
      </c>
      <c r="AS52" s="421" t="str">
        <f ca="1">IFERROR(OFFSET(Camp_List[Status],MATCH(Data_NFI_t[[#This Row],[Camp Name]],Camp_List[Camp Name],0)-1,0,1,1),"")</f>
        <v>Open</v>
      </c>
      <c r="AT52" s="105"/>
      <c r="AW52" s="772"/>
    </row>
    <row r="53" spans="1:49" s="770" customFormat="1" ht="21" customHeight="1" x14ac:dyDescent="0.25">
      <c r="A53" s="736">
        <f t="shared" si="0"/>
        <v>7.3</v>
      </c>
      <c r="B53" s="737">
        <f>YEAR(Data_NFI_t[[#This Row],[Distribution Date]])</f>
        <v>2017</v>
      </c>
      <c r="C53" s="1013">
        <v>42971</v>
      </c>
      <c r="D53" s="733" t="s">
        <v>1025</v>
      </c>
      <c r="E53" s="733" t="s">
        <v>1025</v>
      </c>
      <c r="F53" s="733" t="s">
        <v>7</v>
      </c>
      <c r="G53" s="738" t="s">
        <v>17</v>
      </c>
      <c r="H53" s="738" t="s">
        <v>62</v>
      </c>
      <c r="I53" s="205"/>
      <c r="J53" s="954">
        <v>400</v>
      </c>
      <c r="K53" s="954">
        <v>2187</v>
      </c>
      <c r="L53" s="740"/>
      <c r="M53" s="740">
        <v>800</v>
      </c>
      <c r="N53" s="741"/>
      <c r="O53" s="741"/>
      <c r="P53" s="741"/>
      <c r="Q53" s="741"/>
      <c r="R53" s="741"/>
      <c r="S53" s="741"/>
      <c r="T53" s="742"/>
      <c r="U53" s="741"/>
      <c r="V53" s="955"/>
      <c r="W53" s="955"/>
      <c r="X53" s="741"/>
      <c r="Y53" s="741"/>
      <c r="Z53" s="741"/>
      <c r="AA53" s="741"/>
      <c r="AB53" s="741"/>
      <c r="AC53" s="734">
        <f>IF(NFI_Expiration=1,IF($A53&lt;VLOOKUP(I$5,NFI,5,0),1,0)*Data_NFI_t[[#This Row],[Hygiene Kit]],0)</f>
        <v>0</v>
      </c>
      <c r="AD53" s="734">
        <f>IF(NFI_Expiration=1,IF($A53&lt;VLOOKUP(L$5,NFI,5,0),1,0)*Data_NFI_t[[#This Row],[NFI Core Kit]],0)</f>
        <v>0</v>
      </c>
      <c r="AE53" s="735">
        <f>IF(NFI_Expiration=1,IF($A53&lt;VLOOKUP(M$5,NFI,5,0),1,0)*Data_NFI_t[[#This Row],[Sanitary Kit]],0)</f>
        <v>800</v>
      </c>
      <c r="AF53" s="735">
        <f>IF(NFI_Expiration=1,IF($A53&lt;VLOOKUP(N$5,NFI,5,0),1,0)*Data_NFI_t[[#This Row],[Mosquito net]],0)</f>
        <v>0</v>
      </c>
      <c r="AG53" s="735">
        <f>IF(NFI_Expiration=1,IF($A53&lt;VLOOKUP(O$5,NFI,5,0),1,0)*Data_NFI_t[[#This Row],[Tarpaulin]],0)</f>
        <v>0</v>
      </c>
      <c r="AH53" s="735">
        <f>IF(NFI_Expiration=1,IF($A53&lt;VLOOKUP(P$5,NFI,5,0),1,0)*Data_NFI_t[[#This Row],[Blanket]],0)</f>
        <v>0</v>
      </c>
      <c r="AI53" s="735">
        <f>IF(NFI_Expiration=1,IF($A53&lt;VLOOKUP(Q$5,NFI,5,0),1,0)*Data_NFI_t[[#This Row],[Kitchen Set]],0)</f>
        <v>0</v>
      </c>
      <c r="AJ53" s="735">
        <f>IF(NFI_Expiration=1,IF($A53&lt;VLOOKUP(R$5,NFI,5,0),1,0)*Data_NFI_t[[#This Row],[Complementary Kit]],0)</f>
        <v>0</v>
      </c>
      <c r="AK53" s="735">
        <f>IF(NFI_Expiration=1,IF($A53&lt;VLOOKUP(S$5,NFI,5,0),1,0)*Data_NFI_t[[#This Row],[Plastic Bucket]],0)</f>
        <v>0</v>
      </c>
      <c r="AL53" s="734">
        <f>IF(NFI_Expiration=1,IF($A53&lt;VLOOKUP(T$5,NFI,5,0),1,0)*Data_NFI_t[[#This Row],[Jerry Can]],0)</f>
        <v>0</v>
      </c>
      <c r="AM53" s="734">
        <f>IF(NFI_Expiration=1,IF($A53&lt;VLOOKUP(U$5,NFI,5,0),1,0)*Data_NFI_t[[#This Row],[Plastic Mat]],0)</f>
        <v>0</v>
      </c>
      <c r="AN53" s="734">
        <f>IF(NFI_Expiration=1,IF($A53&lt;VLOOKUP(V$5,NFI,5,0),1,0)*Data_NFI_t[[#This Row],[Adult Clothes]],0)</f>
        <v>0</v>
      </c>
      <c r="AO53" s="734">
        <f>IF(NFI_Expiration=1,IF($A53&lt;VLOOKUP(W$5,NFI,5,0),1,0)*Data_NFI_t[[#This Row],[Children Clothes]],0)</f>
        <v>0</v>
      </c>
      <c r="AP53" s="734">
        <f>IF(NFI_Expiration=1,IF($A53&lt;VLOOKUP(X$5,NFI,5,0),1,0)*Data_NFI_t[[#This Row],[Sewing Kit]],0)</f>
        <v>0</v>
      </c>
      <c r="AQ53" s="734">
        <f>IF(NFI_Expiration=1,IF($A53&lt;VLOOKUP(X$5,NFI,5,0),1,0)*Data_NFI_t[[#This Row],[Solar Lantern]],0)</f>
        <v>0</v>
      </c>
      <c r="AR53" s="105" t="str">
        <f ca="1">IFERROR(OFFSET(Camp_List[P_Code],MATCH(Data_NFI_t[[#This Row],[Camp Name]],Camp_List[Camp Name],0)-1,0,1,1),"")</f>
        <v>MMR012CMP042</v>
      </c>
      <c r="AS53" s="421" t="str">
        <f ca="1">IFERROR(OFFSET(Camp_List[Status],MATCH(Data_NFI_t[[#This Row],[Camp Name]],Camp_List[Camp Name],0)-1,0,1,1),"")</f>
        <v>Open</v>
      </c>
      <c r="AT53" s="105"/>
      <c r="AW53" s="772"/>
    </row>
    <row r="54" spans="1:49" s="770" customFormat="1" ht="19.5" customHeight="1" x14ac:dyDescent="0.25">
      <c r="A54" s="736">
        <f t="shared" si="0"/>
        <v>7.3</v>
      </c>
      <c r="B54" s="737">
        <f>YEAR(Data_NFI_t[[#This Row],[Distribution Date]])</f>
        <v>2017</v>
      </c>
      <c r="C54" s="1013">
        <v>42971</v>
      </c>
      <c r="D54" s="733" t="s">
        <v>1044</v>
      </c>
      <c r="E54" s="733" t="s">
        <v>1044</v>
      </c>
      <c r="F54" s="733" t="s">
        <v>7</v>
      </c>
      <c r="G54" s="738" t="s">
        <v>17</v>
      </c>
      <c r="H54" s="738" t="s">
        <v>586</v>
      </c>
      <c r="I54" s="205"/>
      <c r="J54" s="954">
        <v>2718</v>
      </c>
      <c r="K54" s="954">
        <v>13798</v>
      </c>
      <c r="L54" s="740"/>
      <c r="M54" s="740">
        <v>2718</v>
      </c>
      <c r="N54" s="741"/>
      <c r="O54" s="741"/>
      <c r="P54" s="741"/>
      <c r="Q54" s="741"/>
      <c r="R54" s="741"/>
      <c r="S54" s="741"/>
      <c r="T54" s="742"/>
      <c r="U54" s="741"/>
      <c r="V54" s="955"/>
      <c r="W54" s="955"/>
      <c r="X54" s="741"/>
      <c r="Y54" s="741"/>
      <c r="Z54" s="741"/>
      <c r="AA54" s="741"/>
      <c r="AB54" s="741"/>
      <c r="AC54" s="734">
        <f>IF(NFI_Expiration=1,IF($A54&lt;VLOOKUP(I$5,NFI,5,0),1,0)*Data_NFI_t[[#This Row],[Hygiene Kit]],0)</f>
        <v>0</v>
      </c>
      <c r="AD54" s="734">
        <f>IF(NFI_Expiration=1,IF($A54&lt;VLOOKUP(L$5,NFI,5,0),1,0)*Data_NFI_t[[#This Row],[NFI Core Kit]],0)</f>
        <v>0</v>
      </c>
      <c r="AE54" s="735">
        <f>IF(NFI_Expiration=1,IF($A54&lt;VLOOKUP(M$5,NFI,5,0),1,0)*Data_NFI_t[[#This Row],[Sanitary Kit]],0)</f>
        <v>2718</v>
      </c>
      <c r="AF54" s="735">
        <f>IF(NFI_Expiration=1,IF($A54&lt;VLOOKUP(N$5,NFI,5,0),1,0)*Data_NFI_t[[#This Row],[Mosquito net]],0)</f>
        <v>0</v>
      </c>
      <c r="AG54" s="735">
        <f>IF(NFI_Expiration=1,IF($A54&lt;VLOOKUP(O$5,NFI,5,0),1,0)*Data_NFI_t[[#This Row],[Tarpaulin]],0)</f>
        <v>0</v>
      </c>
      <c r="AH54" s="735">
        <f>IF(NFI_Expiration=1,IF($A54&lt;VLOOKUP(P$5,NFI,5,0),1,0)*Data_NFI_t[[#This Row],[Blanket]],0)</f>
        <v>0</v>
      </c>
      <c r="AI54" s="735">
        <f>IF(NFI_Expiration=1,IF($A54&lt;VLOOKUP(Q$5,NFI,5,0),1,0)*Data_NFI_t[[#This Row],[Kitchen Set]],0)</f>
        <v>0</v>
      </c>
      <c r="AJ54" s="735">
        <f>IF(NFI_Expiration=1,IF($A54&lt;VLOOKUP(R$5,NFI,5,0),1,0)*Data_NFI_t[[#This Row],[Complementary Kit]],0)</f>
        <v>0</v>
      </c>
      <c r="AK54" s="735">
        <f>IF(NFI_Expiration=1,IF($A54&lt;VLOOKUP(S$5,NFI,5,0),1,0)*Data_NFI_t[[#This Row],[Plastic Bucket]],0)</f>
        <v>0</v>
      </c>
      <c r="AL54" s="734">
        <f>IF(NFI_Expiration=1,IF($A54&lt;VLOOKUP(T$5,NFI,5,0),1,0)*Data_NFI_t[[#This Row],[Jerry Can]],0)</f>
        <v>0</v>
      </c>
      <c r="AM54" s="734">
        <f>IF(NFI_Expiration=1,IF($A54&lt;VLOOKUP(U$5,NFI,5,0),1,0)*Data_NFI_t[[#This Row],[Plastic Mat]],0)</f>
        <v>0</v>
      </c>
      <c r="AN54" s="734">
        <f>IF(NFI_Expiration=1,IF($A54&lt;VLOOKUP(V$5,NFI,5,0),1,0)*Data_NFI_t[[#This Row],[Adult Clothes]],0)</f>
        <v>0</v>
      </c>
      <c r="AO54" s="734">
        <f>IF(NFI_Expiration=1,IF($A54&lt;VLOOKUP(W$5,NFI,5,0),1,0)*Data_NFI_t[[#This Row],[Children Clothes]],0)</f>
        <v>0</v>
      </c>
      <c r="AP54" s="734">
        <f>IF(NFI_Expiration=1,IF($A54&lt;VLOOKUP(X$5,NFI,5,0),1,0)*Data_NFI_t[[#This Row],[Sewing Kit]],0)</f>
        <v>0</v>
      </c>
      <c r="AQ54" s="734">
        <f>IF(NFI_Expiration=1,IF($A54&lt;VLOOKUP(X$5,NFI,5,0),1,0)*Data_NFI_t[[#This Row],[Solar Lantern]],0)</f>
        <v>0</v>
      </c>
      <c r="AR54" s="105" t="str">
        <f ca="1">IFERROR(OFFSET(Camp_List[P_Code],MATCH(Data_NFI_t[[#This Row],[Camp Name]],Camp_List[Camp Name],0)-1,0,1,1),"")</f>
        <v>MMR012CMP115</v>
      </c>
      <c r="AS54" s="780" t="str">
        <f ca="1">IFERROR(OFFSET(Camp_List[Status],MATCH(Data_NFI_t[[#This Row],[Camp Name]],Camp_List[Camp Name],0)-1,0,1,1),"")</f>
        <v>Open</v>
      </c>
      <c r="AT54" s="779"/>
      <c r="AW54" s="772"/>
    </row>
    <row r="55" spans="1:49" s="770" customFormat="1" ht="19.5" customHeight="1" x14ac:dyDescent="0.25">
      <c r="A55" s="736">
        <f t="shared" si="0"/>
        <v>7.3</v>
      </c>
      <c r="B55" s="737">
        <f>YEAR(Data_NFI_t[[#This Row],[Distribution Date]])</f>
        <v>2017</v>
      </c>
      <c r="C55" s="1013">
        <v>42971</v>
      </c>
      <c r="D55" s="733" t="s">
        <v>1044</v>
      </c>
      <c r="E55" s="733" t="s">
        <v>1044</v>
      </c>
      <c r="F55" s="733" t="s">
        <v>7</v>
      </c>
      <c r="G55" s="738" t="s">
        <v>17</v>
      </c>
      <c r="H55" s="738" t="s">
        <v>580</v>
      </c>
      <c r="I55" s="205"/>
      <c r="J55" s="954">
        <v>656</v>
      </c>
      <c r="K55" s="954">
        <v>3492</v>
      </c>
      <c r="L55" s="740"/>
      <c r="M55" s="740">
        <v>656</v>
      </c>
      <c r="N55" s="741"/>
      <c r="O55" s="741"/>
      <c r="P55" s="741"/>
      <c r="Q55" s="741"/>
      <c r="R55" s="741"/>
      <c r="S55" s="741"/>
      <c r="T55" s="742"/>
      <c r="U55" s="741"/>
      <c r="V55" s="955"/>
      <c r="W55" s="955"/>
      <c r="X55" s="741"/>
      <c r="Y55" s="741"/>
      <c r="Z55" s="741"/>
      <c r="AA55" s="741"/>
      <c r="AB55" s="741"/>
      <c r="AC55" s="734">
        <f>IF(NFI_Expiration=1,IF($A55&lt;VLOOKUP(I$5,NFI,5,0),1,0)*Data_NFI_t[[#This Row],[Hygiene Kit]],0)</f>
        <v>0</v>
      </c>
      <c r="AD55" s="734">
        <f>IF(NFI_Expiration=1,IF($A55&lt;VLOOKUP(L$5,NFI,5,0),1,0)*Data_NFI_t[[#This Row],[NFI Core Kit]],0)</f>
        <v>0</v>
      </c>
      <c r="AE55" s="735">
        <f>IF(NFI_Expiration=1,IF($A55&lt;VLOOKUP(M$5,NFI,5,0),1,0)*Data_NFI_t[[#This Row],[Sanitary Kit]],0)</f>
        <v>656</v>
      </c>
      <c r="AF55" s="735">
        <f>IF(NFI_Expiration=1,IF($A55&lt;VLOOKUP(N$5,NFI,5,0),1,0)*Data_NFI_t[[#This Row],[Mosquito net]],0)</f>
        <v>0</v>
      </c>
      <c r="AG55" s="735">
        <f>IF(NFI_Expiration=1,IF($A55&lt;VLOOKUP(O$5,NFI,5,0),1,0)*Data_NFI_t[[#This Row],[Tarpaulin]],0)</f>
        <v>0</v>
      </c>
      <c r="AH55" s="735">
        <f>IF(NFI_Expiration=1,IF($A55&lt;VLOOKUP(P$5,NFI,5,0),1,0)*Data_NFI_t[[#This Row],[Blanket]],0)</f>
        <v>0</v>
      </c>
      <c r="AI55" s="735">
        <f>IF(NFI_Expiration=1,IF($A55&lt;VLOOKUP(Q$5,NFI,5,0),1,0)*Data_NFI_t[[#This Row],[Kitchen Set]],0)</f>
        <v>0</v>
      </c>
      <c r="AJ55" s="735">
        <f>IF(NFI_Expiration=1,IF($A55&lt;VLOOKUP(R$5,NFI,5,0),1,0)*Data_NFI_t[[#This Row],[Complementary Kit]],0)</f>
        <v>0</v>
      </c>
      <c r="AK55" s="735">
        <f>IF(NFI_Expiration=1,IF($A55&lt;VLOOKUP(S$5,NFI,5,0),1,0)*Data_NFI_t[[#This Row],[Plastic Bucket]],0)</f>
        <v>0</v>
      </c>
      <c r="AL55" s="734">
        <f>IF(NFI_Expiration=1,IF($A55&lt;VLOOKUP(T$5,NFI,5,0),1,0)*Data_NFI_t[[#This Row],[Jerry Can]],0)</f>
        <v>0</v>
      </c>
      <c r="AM55" s="734">
        <f>IF(NFI_Expiration=1,IF($A55&lt;VLOOKUP(U$5,NFI,5,0),1,0)*Data_NFI_t[[#This Row],[Plastic Mat]],0)</f>
        <v>0</v>
      </c>
      <c r="AN55" s="734">
        <f>IF(NFI_Expiration=1,IF($A55&lt;VLOOKUP(V$5,NFI,5,0),1,0)*Data_NFI_t[[#This Row],[Adult Clothes]],0)</f>
        <v>0</v>
      </c>
      <c r="AO55" s="734">
        <f>IF(NFI_Expiration=1,IF($A55&lt;VLOOKUP(W$5,NFI,5,0),1,0)*Data_NFI_t[[#This Row],[Children Clothes]],0)</f>
        <v>0</v>
      </c>
      <c r="AP55" s="734">
        <f>IF(NFI_Expiration=1,IF($A55&lt;VLOOKUP(X$5,NFI,5,0),1,0)*Data_NFI_t[[#This Row],[Sewing Kit]],0)</f>
        <v>0</v>
      </c>
      <c r="AQ55" s="734">
        <f>IF(NFI_Expiration=1,IF($A55&lt;VLOOKUP(X$5,NFI,5,0),1,0)*Data_NFI_t[[#This Row],[Solar Lantern]],0)</f>
        <v>0</v>
      </c>
      <c r="AR55" s="105" t="str">
        <f ca="1">IFERROR(OFFSET(Camp_List[P_Code],MATCH(Data_NFI_t[[#This Row],[Camp Name]],Camp_List[Camp Name],0)-1,0,1,1),"")</f>
        <v>MMR012CMP092</v>
      </c>
      <c r="AS55" s="421" t="str">
        <f ca="1">IFERROR(OFFSET(Camp_List[Status],MATCH(Data_NFI_t[[#This Row],[Camp Name]],Camp_List[Camp Name],0)-1,0,1,1),"")</f>
        <v>Open</v>
      </c>
      <c r="AT55" s="105"/>
      <c r="AW55" s="772"/>
    </row>
    <row r="56" spans="1:49" s="770" customFormat="1" ht="19.5" customHeight="1" x14ac:dyDescent="0.25">
      <c r="A56" s="736">
        <f t="shared" si="0"/>
        <v>7.3</v>
      </c>
      <c r="B56" s="737">
        <f>YEAR(Data_NFI_t[[#This Row],[Distribution Date]])</f>
        <v>2017</v>
      </c>
      <c r="C56" s="1013">
        <v>42971</v>
      </c>
      <c r="D56" s="733" t="s">
        <v>1044</v>
      </c>
      <c r="E56" s="733" t="s">
        <v>1044</v>
      </c>
      <c r="F56" s="733" t="s">
        <v>7</v>
      </c>
      <c r="G56" s="738" t="s">
        <v>17</v>
      </c>
      <c r="H56" s="738" t="s">
        <v>59</v>
      </c>
      <c r="I56" s="205"/>
      <c r="J56" s="954">
        <v>397</v>
      </c>
      <c r="K56" s="954">
        <v>2196</v>
      </c>
      <c r="L56" s="740"/>
      <c r="M56" s="740">
        <v>397</v>
      </c>
      <c r="N56" s="741"/>
      <c r="O56" s="741"/>
      <c r="P56" s="741"/>
      <c r="Q56" s="741"/>
      <c r="R56" s="741"/>
      <c r="S56" s="741"/>
      <c r="T56" s="742"/>
      <c r="U56" s="741"/>
      <c r="V56" s="955"/>
      <c r="W56" s="955"/>
      <c r="X56" s="741"/>
      <c r="Y56" s="741"/>
      <c r="Z56" s="741"/>
      <c r="AA56" s="741"/>
      <c r="AB56" s="741"/>
      <c r="AC56" s="734">
        <f>IF(NFI_Expiration=1,IF($A56&lt;VLOOKUP(I$5,NFI,5,0),1,0)*Data_NFI_t[[#This Row],[Hygiene Kit]],0)</f>
        <v>0</v>
      </c>
      <c r="AD56" s="734">
        <f>IF(NFI_Expiration=1,IF($A56&lt;VLOOKUP(L$5,NFI,5,0),1,0)*Data_NFI_t[[#This Row],[NFI Core Kit]],0)</f>
        <v>0</v>
      </c>
      <c r="AE56" s="735">
        <f>IF(NFI_Expiration=1,IF($A56&lt;VLOOKUP(M$5,NFI,5,0),1,0)*Data_NFI_t[[#This Row],[Sanitary Kit]],0)</f>
        <v>397</v>
      </c>
      <c r="AF56" s="735">
        <f>IF(NFI_Expiration=1,IF($A56&lt;VLOOKUP(N$5,NFI,5,0),1,0)*Data_NFI_t[[#This Row],[Mosquito net]],0)</f>
        <v>0</v>
      </c>
      <c r="AG56" s="735">
        <f>IF(NFI_Expiration=1,IF($A56&lt;VLOOKUP(O$5,NFI,5,0),1,0)*Data_NFI_t[[#This Row],[Tarpaulin]],0)</f>
        <v>0</v>
      </c>
      <c r="AH56" s="735">
        <f>IF(NFI_Expiration=1,IF($A56&lt;VLOOKUP(P$5,NFI,5,0),1,0)*Data_NFI_t[[#This Row],[Blanket]],0)</f>
        <v>0</v>
      </c>
      <c r="AI56" s="735">
        <f>IF(NFI_Expiration=1,IF($A56&lt;VLOOKUP(Q$5,NFI,5,0),1,0)*Data_NFI_t[[#This Row],[Kitchen Set]],0)</f>
        <v>0</v>
      </c>
      <c r="AJ56" s="735">
        <f>IF(NFI_Expiration=1,IF($A56&lt;VLOOKUP(R$5,NFI,5,0),1,0)*Data_NFI_t[[#This Row],[Complementary Kit]],0)</f>
        <v>0</v>
      </c>
      <c r="AK56" s="735">
        <f>IF(NFI_Expiration=1,IF($A56&lt;VLOOKUP(S$5,NFI,5,0),1,0)*Data_NFI_t[[#This Row],[Plastic Bucket]],0)</f>
        <v>0</v>
      </c>
      <c r="AL56" s="734">
        <f>IF(NFI_Expiration=1,IF($A56&lt;VLOOKUP(T$5,NFI,5,0),1,0)*Data_NFI_t[[#This Row],[Jerry Can]],0)</f>
        <v>0</v>
      </c>
      <c r="AM56" s="734">
        <f>IF(NFI_Expiration=1,IF($A56&lt;VLOOKUP(U$5,NFI,5,0),1,0)*Data_NFI_t[[#This Row],[Plastic Mat]],0)</f>
        <v>0</v>
      </c>
      <c r="AN56" s="734">
        <f>IF(NFI_Expiration=1,IF($A56&lt;VLOOKUP(V$5,NFI,5,0),1,0)*Data_NFI_t[[#This Row],[Adult Clothes]],0)</f>
        <v>0</v>
      </c>
      <c r="AO56" s="734">
        <f>IF(NFI_Expiration=1,IF($A56&lt;VLOOKUP(W$5,NFI,5,0),1,0)*Data_NFI_t[[#This Row],[Children Clothes]],0)</f>
        <v>0</v>
      </c>
      <c r="AP56" s="734">
        <f>IF(NFI_Expiration=1,IF($A56&lt;VLOOKUP(X$5,NFI,5,0),1,0)*Data_NFI_t[[#This Row],[Sewing Kit]],0)</f>
        <v>0</v>
      </c>
      <c r="AQ56" s="734">
        <f>IF(NFI_Expiration=1,IF($A56&lt;VLOOKUP(X$5,NFI,5,0),1,0)*Data_NFI_t[[#This Row],[Solar Lantern]],0)</f>
        <v>0</v>
      </c>
      <c r="AR56" s="105" t="str">
        <f ca="1">IFERROR(OFFSET(Camp_List[P_Code],MATCH(Data_NFI_t[[#This Row],[Camp Name]],Camp_List[Camp Name],0)-1,0,1,1),"")</f>
        <v>MMR012CMP039</v>
      </c>
      <c r="AS56" s="421" t="str">
        <f ca="1">IFERROR(OFFSET(Camp_List[Status],MATCH(Data_NFI_t[[#This Row],[Camp Name]],Camp_List[Camp Name],0)-1,0,1,1),"")</f>
        <v>Open</v>
      </c>
      <c r="AT56" s="105"/>
      <c r="AW56" s="772"/>
    </row>
    <row r="57" spans="1:49" s="770" customFormat="1" ht="19.5" customHeight="1" x14ac:dyDescent="0.25">
      <c r="A57" s="736">
        <f t="shared" si="0"/>
        <v>7.3666666666666663</v>
      </c>
      <c r="B57" s="737">
        <f>YEAR(Data_NFI_t[[#This Row],[Distribution Date]])</f>
        <v>2017</v>
      </c>
      <c r="C57" s="1013">
        <v>42969</v>
      </c>
      <c r="D57" s="733" t="s">
        <v>1025</v>
      </c>
      <c r="E57" s="733" t="s">
        <v>1025</v>
      </c>
      <c r="F57" s="733" t="s">
        <v>7</v>
      </c>
      <c r="G57" s="738" t="s">
        <v>17</v>
      </c>
      <c r="H57" s="738" t="s">
        <v>66</v>
      </c>
      <c r="I57" s="205"/>
      <c r="J57" s="954">
        <v>1137</v>
      </c>
      <c r="K57" s="954">
        <v>6253</v>
      </c>
      <c r="L57" s="740"/>
      <c r="M57" s="740">
        <v>1137</v>
      </c>
      <c r="N57" s="741"/>
      <c r="O57" s="741"/>
      <c r="P57" s="741"/>
      <c r="Q57" s="741"/>
      <c r="R57" s="741"/>
      <c r="S57" s="741"/>
      <c r="T57" s="742"/>
      <c r="U57" s="741"/>
      <c r="V57" s="955"/>
      <c r="W57" s="955"/>
      <c r="X57" s="741"/>
      <c r="Y57" s="741"/>
      <c r="Z57" s="741"/>
      <c r="AA57" s="741"/>
      <c r="AB57" s="741"/>
      <c r="AC57" s="734">
        <f>IF(NFI_Expiration=1,IF($A57&lt;VLOOKUP(I$5,NFI,5,0),1,0)*Data_NFI_t[[#This Row],[Hygiene Kit]],0)</f>
        <v>0</v>
      </c>
      <c r="AD57" s="734">
        <f>IF(NFI_Expiration=1,IF($A57&lt;VLOOKUP(L$5,NFI,5,0),1,0)*Data_NFI_t[[#This Row],[NFI Core Kit]],0)</f>
        <v>0</v>
      </c>
      <c r="AE57" s="735">
        <f>IF(NFI_Expiration=1,IF($A57&lt;VLOOKUP(M$5,NFI,5,0),1,0)*Data_NFI_t[[#This Row],[Sanitary Kit]],0)</f>
        <v>1137</v>
      </c>
      <c r="AF57" s="735">
        <f>IF(NFI_Expiration=1,IF($A57&lt;VLOOKUP(N$5,NFI,5,0),1,0)*Data_NFI_t[[#This Row],[Mosquito net]],0)</f>
        <v>0</v>
      </c>
      <c r="AG57" s="735">
        <f>IF(NFI_Expiration=1,IF($A57&lt;VLOOKUP(O$5,NFI,5,0),1,0)*Data_NFI_t[[#This Row],[Tarpaulin]],0)</f>
        <v>0</v>
      </c>
      <c r="AH57" s="735">
        <f>IF(NFI_Expiration=1,IF($A57&lt;VLOOKUP(P$5,NFI,5,0),1,0)*Data_NFI_t[[#This Row],[Blanket]],0)</f>
        <v>0</v>
      </c>
      <c r="AI57" s="735">
        <f>IF(NFI_Expiration=1,IF($A57&lt;VLOOKUP(Q$5,NFI,5,0),1,0)*Data_NFI_t[[#This Row],[Kitchen Set]],0)</f>
        <v>0</v>
      </c>
      <c r="AJ57" s="735">
        <f>IF(NFI_Expiration=1,IF($A57&lt;VLOOKUP(R$5,NFI,5,0),1,0)*Data_NFI_t[[#This Row],[Complementary Kit]],0)</f>
        <v>0</v>
      </c>
      <c r="AK57" s="735">
        <f>IF(NFI_Expiration=1,IF($A57&lt;VLOOKUP(S$5,NFI,5,0),1,0)*Data_NFI_t[[#This Row],[Plastic Bucket]],0)</f>
        <v>0</v>
      </c>
      <c r="AL57" s="734">
        <f>IF(NFI_Expiration=1,IF($A57&lt;VLOOKUP(T$5,NFI,5,0),1,0)*Data_NFI_t[[#This Row],[Jerry Can]],0)</f>
        <v>0</v>
      </c>
      <c r="AM57" s="734">
        <f>IF(NFI_Expiration=1,IF($A57&lt;VLOOKUP(U$5,NFI,5,0),1,0)*Data_NFI_t[[#This Row],[Plastic Mat]],0)</f>
        <v>0</v>
      </c>
      <c r="AN57" s="734">
        <f>IF(NFI_Expiration=1,IF($A57&lt;VLOOKUP(V$5,NFI,5,0),1,0)*Data_NFI_t[[#This Row],[Adult Clothes]],0)</f>
        <v>0</v>
      </c>
      <c r="AO57" s="734">
        <f>IF(NFI_Expiration=1,IF($A57&lt;VLOOKUP(W$5,NFI,5,0),1,0)*Data_NFI_t[[#This Row],[Children Clothes]],0)</f>
        <v>0</v>
      </c>
      <c r="AP57" s="734">
        <f>IF(NFI_Expiration=1,IF($A57&lt;VLOOKUP(X$5,NFI,5,0),1,0)*Data_NFI_t[[#This Row],[Sewing Kit]],0)</f>
        <v>0</v>
      </c>
      <c r="AQ57" s="734">
        <f>IF(NFI_Expiration=1,IF($A57&lt;VLOOKUP(X$5,NFI,5,0),1,0)*Data_NFI_t[[#This Row],[Solar Lantern]],0)</f>
        <v>0</v>
      </c>
      <c r="AR57" s="105" t="str">
        <f ca="1">IFERROR(OFFSET(Camp_List[P_Code],MATCH(Data_NFI_t[[#This Row],[Camp Name]],Camp_List[Camp Name],0)-1,0,1,1),"")</f>
        <v>MMR012CMP046</v>
      </c>
      <c r="AS57" s="421" t="str">
        <f ca="1">IFERROR(OFFSET(Camp_List[Status],MATCH(Data_NFI_t[[#This Row],[Camp Name]],Camp_List[Camp Name],0)-1,0,1,1),"")</f>
        <v>Open</v>
      </c>
      <c r="AT57" s="105"/>
      <c r="AW57" s="772"/>
    </row>
    <row r="58" spans="1:49" s="770" customFormat="1" ht="18.75" customHeight="1" x14ac:dyDescent="0.25">
      <c r="A58" s="736">
        <f t="shared" si="0"/>
        <v>7.7666666666666666</v>
      </c>
      <c r="B58" s="737">
        <f>YEAR(Data_NFI_t[[#This Row],[Distribution Date]])</f>
        <v>2017</v>
      </c>
      <c r="C58" s="1013">
        <v>42957</v>
      </c>
      <c r="D58" s="733" t="s">
        <v>270</v>
      </c>
      <c r="E58" s="733" t="s">
        <v>273</v>
      </c>
      <c r="F58" s="733" t="s">
        <v>7</v>
      </c>
      <c r="G58" s="738" t="s">
        <v>13</v>
      </c>
      <c r="H58" s="738" t="s">
        <v>41</v>
      </c>
      <c r="I58" s="739"/>
      <c r="J58" s="830">
        <v>630</v>
      </c>
      <c r="K58" s="830">
        <f>J58*5.5</f>
        <v>3465</v>
      </c>
      <c r="L58" s="740"/>
      <c r="M58" s="740"/>
      <c r="N58" s="741">
        <v>630</v>
      </c>
      <c r="O58" s="741">
        <v>630</v>
      </c>
      <c r="P58" s="741"/>
      <c r="Q58" s="741">
        <v>630</v>
      </c>
      <c r="R58" s="741"/>
      <c r="S58" s="741"/>
      <c r="T58" s="742">
        <v>630</v>
      </c>
      <c r="U58" s="741">
        <v>1890</v>
      </c>
      <c r="V58" s="741"/>
      <c r="W58" s="741"/>
      <c r="X58" s="741"/>
      <c r="Y58" s="741"/>
      <c r="Z58" s="741"/>
      <c r="AA58" s="741"/>
      <c r="AB58" s="741"/>
      <c r="AC58" s="734">
        <f>IF(NFI_Expiration=1,IF($A58&lt;VLOOKUP(I$5,NFI,5,0),1,0)*Data_NFI_t[[#This Row],[Hygiene Kit]],0)</f>
        <v>0</v>
      </c>
      <c r="AD58" s="734">
        <f>IF(NFI_Expiration=1,IF($A58&lt;VLOOKUP(L$5,NFI,5,0),1,0)*Data_NFI_t[[#This Row],[NFI Core Kit]],0)</f>
        <v>0</v>
      </c>
      <c r="AE58" s="735">
        <f>IF(NFI_Expiration=1,IF($A58&lt;VLOOKUP(M$5,NFI,5,0),1,0)*Data_NFI_t[[#This Row],[Sanitary Kit]],0)</f>
        <v>0</v>
      </c>
      <c r="AF58" s="735">
        <f>IF(NFI_Expiration=1,IF($A58&lt;VLOOKUP(N$5,NFI,5,0),1,0)*Data_NFI_t[[#This Row],[Mosquito net]],0)</f>
        <v>630</v>
      </c>
      <c r="AG58" s="735">
        <f>IF(NFI_Expiration=1,IF($A58&lt;VLOOKUP(O$5,NFI,5,0),1,0)*Data_NFI_t[[#This Row],[Tarpaulin]],0)</f>
        <v>630</v>
      </c>
      <c r="AH58" s="735">
        <f>IF(NFI_Expiration=1,IF($A58&lt;VLOOKUP(P$5,NFI,5,0),1,0)*Data_NFI_t[[#This Row],[Blanket]],0)</f>
        <v>0</v>
      </c>
      <c r="AI58" s="735">
        <f>IF(NFI_Expiration=1,IF($A58&lt;VLOOKUP(Q$5,NFI,5,0),1,0)*Data_NFI_t[[#This Row],[Kitchen Set]],0)</f>
        <v>630</v>
      </c>
      <c r="AJ58" s="735">
        <f>IF(NFI_Expiration=1,IF($A58&lt;VLOOKUP(R$5,NFI,5,0),1,0)*Data_NFI_t[[#This Row],[Complementary Kit]],0)</f>
        <v>0</v>
      </c>
      <c r="AK58" s="735">
        <f>IF(NFI_Expiration=1,IF($A58&lt;VLOOKUP(S$5,NFI,5,0),1,0)*Data_NFI_t[[#This Row],[Plastic Bucket]],0)</f>
        <v>0</v>
      </c>
      <c r="AL58" s="734">
        <f>IF(NFI_Expiration=1,IF($A58&lt;VLOOKUP(T$5,NFI,5,0),1,0)*Data_NFI_t[[#This Row],[Jerry Can]],0)</f>
        <v>630</v>
      </c>
      <c r="AM58" s="734">
        <f>IF(NFI_Expiration=1,IF($A58&lt;VLOOKUP(U$5,NFI,5,0),1,0)*Data_NFI_t[[#This Row],[Plastic Mat]],0)</f>
        <v>1890</v>
      </c>
      <c r="AN58" s="734">
        <f>IF(NFI_Expiration=1,IF($A58&lt;VLOOKUP(V$5,NFI,5,0),1,0)*Data_NFI_t[[#This Row],[Adult Clothes]],0)</f>
        <v>0</v>
      </c>
      <c r="AO58" s="734">
        <f>IF(NFI_Expiration=1,IF($A58&lt;VLOOKUP(W$5,NFI,5,0),1,0)*Data_NFI_t[[#This Row],[Children Clothes]],0)</f>
        <v>0</v>
      </c>
      <c r="AP58" s="734">
        <f>IF(NFI_Expiration=1,IF($A58&lt;VLOOKUP(X$5,NFI,5,0),1,0)*Data_NFI_t[[#This Row],[Sewing Kit]],0)</f>
        <v>0</v>
      </c>
      <c r="AQ58" s="734">
        <f>IF(NFI_Expiration=1,IF($A58&lt;VLOOKUP(X$5,NFI,5,0),1,0)*Data_NFI_t[[#This Row],[Solar Lantern]],0)</f>
        <v>0</v>
      </c>
      <c r="AR58" s="105" t="str">
        <f ca="1">IFERROR(OFFSET(Camp_List[P_Code],MATCH(Data_NFI_t[[#This Row],[Camp Name]],Camp_List[Camp Name],0)-1,0,1,1),"")</f>
        <v>MMR012CMP019</v>
      </c>
      <c r="AS58" s="421" t="str">
        <f ca="1">IFERROR(OFFSET(Camp_List[Status],MATCH(Data_NFI_t[[#This Row],[Camp Name]],Camp_List[Camp Name],0)-1,0,1,1),"")</f>
        <v>Open</v>
      </c>
      <c r="AT58" s="105"/>
      <c r="AW58" s="772"/>
    </row>
    <row r="59" spans="1:49" s="770" customFormat="1" ht="18.75" customHeight="1" x14ac:dyDescent="0.25">
      <c r="A59" s="736">
        <f t="shared" si="0"/>
        <v>8.0666666666666664</v>
      </c>
      <c r="B59" s="737">
        <f>YEAR(Data_NFI_t[[#This Row],[Distribution Date]])</f>
        <v>2017</v>
      </c>
      <c r="C59" s="1013">
        <v>42948</v>
      </c>
      <c r="D59" s="958" t="s">
        <v>273</v>
      </c>
      <c r="E59" s="958" t="s">
        <v>273</v>
      </c>
      <c r="F59" s="958" t="s">
        <v>7</v>
      </c>
      <c r="G59" s="738" t="s">
        <v>17</v>
      </c>
      <c r="H59" s="738" t="s">
        <v>585</v>
      </c>
      <c r="I59" s="739"/>
      <c r="J59" s="830">
        <v>80</v>
      </c>
      <c r="K59" s="830">
        <v>439</v>
      </c>
      <c r="L59" s="740"/>
      <c r="M59" s="740"/>
      <c r="N59" s="741"/>
      <c r="O59" s="741"/>
      <c r="P59" s="741"/>
      <c r="Q59" s="741"/>
      <c r="R59" s="741"/>
      <c r="S59" s="741"/>
      <c r="T59" s="742"/>
      <c r="U59" s="741"/>
      <c r="V59" s="741">
        <v>560</v>
      </c>
      <c r="W59" s="741"/>
      <c r="X59" s="741"/>
      <c r="Y59" s="741"/>
      <c r="Z59" s="741">
        <v>240</v>
      </c>
      <c r="AA59" s="741">
        <v>80</v>
      </c>
      <c r="AB59" s="741"/>
      <c r="AC59" s="734">
        <f>IF(NFI_Expiration=1,IF($A59&lt;VLOOKUP(I$5,NFI,5,0),1,0)*Data_NFI_t[[#This Row],[Hygiene Kit]],0)</f>
        <v>0</v>
      </c>
      <c r="AD59" s="734">
        <f>IF(NFI_Expiration=1,IF($A59&lt;VLOOKUP(L$5,NFI,5,0),1,0)*Data_NFI_t[[#This Row],[NFI Core Kit]],0)</f>
        <v>0</v>
      </c>
      <c r="AE59" s="735">
        <f>IF(NFI_Expiration=1,IF($A59&lt;VLOOKUP(M$5,NFI,5,0),1,0)*Data_NFI_t[[#This Row],[Sanitary Kit]],0)</f>
        <v>0</v>
      </c>
      <c r="AF59" s="735">
        <f>IF(NFI_Expiration=1,IF($A59&lt;VLOOKUP(N$5,NFI,5,0),1,0)*Data_NFI_t[[#This Row],[Mosquito net]],0)</f>
        <v>0</v>
      </c>
      <c r="AG59" s="735">
        <f>IF(NFI_Expiration=1,IF($A59&lt;VLOOKUP(O$5,NFI,5,0),1,0)*Data_NFI_t[[#This Row],[Tarpaulin]],0)</f>
        <v>0</v>
      </c>
      <c r="AH59" s="735">
        <f>IF(NFI_Expiration=1,IF($A59&lt;VLOOKUP(P$5,NFI,5,0),1,0)*Data_NFI_t[[#This Row],[Blanket]],0)</f>
        <v>0</v>
      </c>
      <c r="AI59" s="735">
        <f>IF(NFI_Expiration=1,IF($A59&lt;VLOOKUP(Q$5,NFI,5,0),1,0)*Data_NFI_t[[#This Row],[Kitchen Set]],0)</f>
        <v>0</v>
      </c>
      <c r="AJ59" s="735">
        <f>IF(NFI_Expiration=1,IF($A59&lt;VLOOKUP(R$5,NFI,5,0),1,0)*Data_NFI_t[[#This Row],[Complementary Kit]],0)</f>
        <v>0</v>
      </c>
      <c r="AK59" s="735">
        <f>IF(NFI_Expiration=1,IF($A59&lt;VLOOKUP(S$5,NFI,5,0),1,0)*Data_NFI_t[[#This Row],[Plastic Bucket]],0)</f>
        <v>0</v>
      </c>
      <c r="AL59" s="734">
        <f>IF(NFI_Expiration=1,IF($A59&lt;VLOOKUP(T$5,NFI,5,0),1,0)*Data_NFI_t[[#This Row],[Jerry Can]],0)</f>
        <v>0</v>
      </c>
      <c r="AM59" s="734">
        <f>IF(NFI_Expiration=1,IF($A59&lt;VLOOKUP(U$5,NFI,5,0),1,0)*Data_NFI_t[[#This Row],[Plastic Mat]],0)</f>
        <v>0</v>
      </c>
      <c r="AN59" s="734">
        <f>IF(NFI_Expiration=1,IF($A59&lt;VLOOKUP(V$5,NFI,5,0),1,0)*Data_NFI_t[[#This Row],[Adult Clothes]],0)</f>
        <v>560</v>
      </c>
      <c r="AO59" s="734">
        <f>IF(NFI_Expiration=1,IF($A59&lt;VLOOKUP(W$5,NFI,5,0),1,0)*Data_NFI_t[[#This Row],[Children Clothes]],0)</f>
        <v>0</v>
      </c>
      <c r="AP59" s="734">
        <f>IF(NFI_Expiration=1,IF($A59&lt;VLOOKUP(X$5,NFI,5,0),1,0)*Data_NFI_t[[#This Row],[Sewing Kit]],0)</f>
        <v>0</v>
      </c>
      <c r="AQ59" s="734">
        <f>IF(NFI_Expiration=1,IF($A59&lt;VLOOKUP(X$5,NFI,5,0),1,0)*Data_NFI_t[[#This Row],[Solar Lantern]],0)</f>
        <v>0</v>
      </c>
      <c r="AR59" s="105" t="str">
        <f ca="1">IFERROR(OFFSET(Camp_List[P_Code],MATCH(Data_NFI_t[[#This Row],[Camp Name]],Camp_List[Camp Name],0)-1,0,1,1),"")</f>
        <v>MMR012CMP098</v>
      </c>
      <c r="AS59" s="421" t="str">
        <f ca="1">IFERROR(OFFSET(Camp_List[Status],MATCH(Data_NFI_t[[#This Row],[Camp Name]],Camp_List[Camp Name],0)-1,0,1,1),"")</f>
        <v>Open</v>
      </c>
      <c r="AT59" s="105"/>
      <c r="AW59" s="772"/>
    </row>
    <row r="60" spans="1:49" s="770" customFormat="1" ht="18.75" customHeight="1" x14ac:dyDescent="0.25">
      <c r="A60" s="736">
        <f t="shared" si="0"/>
        <v>8.0666666666666664</v>
      </c>
      <c r="B60" s="737">
        <f>YEAR(Data_NFI_t[[#This Row],[Distribution Date]])</f>
        <v>2017</v>
      </c>
      <c r="C60" s="1013">
        <v>42948</v>
      </c>
      <c r="D60" s="958" t="s">
        <v>270</v>
      </c>
      <c r="E60" s="958" t="s">
        <v>273</v>
      </c>
      <c r="F60" s="958" t="s">
        <v>7</v>
      </c>
      <c r="G60" s="738" t="s">
        <v>17</v>
      </c>
      <c r="H60" s="738" t="s">
        <v>585</v>
      </c>
      <c r="I60" s="739"/>
      <c r="J60" s="830">
        <v>80</v>
      </c>
      <c r="K60" s="830">
        <v>439</v>
      </c>
      <c r="L60" s="740"/>
      <c r="M60" s="740"/>
      <c r="N60" s="741"/>
      <c r="O60" s="741">
        <v>80</v>
      </c>
      <c r="P60" s="741">
        <v>160</v>
      </c>
      <c r="Q60" s="741">
        <v>80</v>
      </c>
      <c r="R60" s="741"/>
      <c r="S60" s="741"/>
      <c r="T60" s="742"/>
      <c r="U60" s="741">
        <v>400</v>
      </c>
      <c r="V60" s="741"/>
      <c r="W60" s="741"/>
      <c r="X60" s="741"/>
      <c r="Y60" s="741"/>
      <c r="Z60" s="741"/>
      <c r="AA60" s="741"/>
      <c r="AB60" s="741"/>
      <c r="AC60" s="734">
        <f>IF(NFI_Expiration=1,IF($A60&lt;VLOOKUP(I$5,NFI,5,0),1,0)*Data_NFI_t[[#This Row],[Hygiene Kit]],0)</f>
        <v>0</v>
      </c>
      <c r="AD60" s="734">
        <f>IF(NFI_Expiration=1,IF($A60&lt;VLOOKUP(L$5,NFI,5,0),1,0)*Data_NFI_t[[#This Row],[NFI Core Kit]],0)</f>
        <v>0</v>
      </c>
      <c r="AE60" s="735">
        <f>IF(NFI_Expiration=1,IF($A60&lt;VLOOKUP(M$5,NFI,5,0),1,0)*Data_NFI_t[[#This Row],[Sanitary Kit]],0)</f>
        <v>0</v>
      </c>
      <c r="AF60" s="735">
        <f>IF(NFI_Expiration=1,IF($A60&lt;VLOOKUP(N$5,NFI,5,0),1,0)*Data_NFI_t[[#This Row],[Mosquito net]],0)</f>
        <v>0</v>
      </c>
      <c r="AG60" s="735">
        <f>IF(NFI_Expiration=1,IF($A60&lt;VLOOKUP(O$5,NFI,5,0),1,0)*Data_NFI_t[[#This Row],[Tarpaulin]],0)</f>
        <v>80</v>
      </c>
      <c r="AH60" s="735">
        <f>IF(NFI_Expiration=1,IF($A60&lt;VLOOKUP(P$5,NFI,5,0),1,0)*Data_NFI_t[[#This Row],[Blanket]],0)</f>
        <v>160</v>
      </c>
      <c r="AI60" s="735">
        <f>IF(NFI_Expiration=1,IF($A60&lt;VLOOKUP(Q$5,NFI,5,0),1,0)*Data_NFI_t[[#This Row],[Kitchen Set]],0)</f>
        <v>80</v>
      </c>
      <c r="AJ60" s="735">
        <f>IF(NFI_Expiration=1,IF($A60&lt;VLOOKUP(R$5,NFI,5,0),1,0)*Data_NFI_t[[#This Row],[Complementary Kit]],0)</f>
        <v>0</v>
      </c>
      <c r="AK60" s="735">
        <f>IF(NFI_Expiration=1,IF($A60&lt;VLOOKUP(S$5,NFI,5,0),1,0)*Data_NFI_t[[#This Row],[Plastic Bucket]],0)</f>
        <v>0</v>
      </c>
      <c r="AL60" s="734">
        <f>IF(NFI_Expiration=1,IF($A60&lt;VLOOKUP(T$5,NFI,5,0),1,0)*Data_NFI_t[[#This Row],[Jerry Can]],0)</f>
        <v>0</v>
      </c>
      <c r="AM60" s="734">
        <f>IF(NFI_Expiration=1,IF($A60&lt;VLOOKUP(U$5,NFI,5,0),1,0)*Data_NFI_t[[#This Row],[Plastic Mat]],0)</f>
        <v>400</v>
      </c>
      <c r="AN60" s="734">
        <f>IF(NFI_Expiration=1,IF($A60&lt;VLOOKUP(V$5,NFI,5,0),1,0)*Data_NFI_t[[#This Row],[Adult Clothes]],0)</f>
        <v>0</v>
      </c>
      <c r="AO60" s="734">
        <f>IF(NFI_Expiration=1,IF($A60&lt;VLOOKUP(W$5,NFI,5,0),1,0)*Data_NFI_t[[#This Row],[Children Clothes]],0)</f>
        <v>0</v>
      </c>
      <c r="AP60" s="734">
        <f>IF(NFI_Expiration=1,IF($A60&lt;VLOOKUP(X$5,NFI,5,0),1,0)*Data_NFI_t[[#This Row],[Sewing Kit]],0)</f>
        <v>0</v>
      </c>
      <c r="AQ60" s="734">
        <f>IF(NFI_Expiration=1,IF($A60&lt;VLOOKUP(X$5,NFI,5,0),1,0)*Data_NFI_t[[#This Row],[Solar Lantern]],0)</f>
        <v>0</v>
      </c>
      <c r="AR60" s="105" t="str">
        <f ca="1">IFERROR(OFFSET(Camp_List[P_Code],MATCH(Data_NFI_t[[#This Row],[Camp Name]],Camp_List[Camp Name],0)-1,0,1,1),"")</f>
        <v>MMR012CMP098</v>
      </c>
      <c r="AS60" s="421" t="str">
        <f ca="1">IFERROR(OFFSET(Camp_List[Status],MATCH(Data_NFI_t[[#This Row],[Camp Name]],Camp_List[Camp Name],0)-1,0,1,1),"")</f>
        <v>Open</v>
      </c>
      <c r="AT60" s="105"/>
      <c r="AW60" s="772"/>
    </row>
    <row r="61" spans="1:49" s="770" customFormat="1" ht="18.75" customHeight="1" x14ac:dyDescent="0.25">
      <c r="A61" s="736">
        <f t="shared" si="0"/>
        <v>8.5666666666666664</v>
      </c>
      <c r="B61" s="737">
        <f>YEAR(Data_NFI_t[[#This Row],[Distribution Date]])</f>
        <v>2017</v>
      </c>
      <c r="C61" s="1013">
        <v>42933</v>
      </c>
      <c r="D61" s="733" t="s">
        <v>270</v>
      </c>
      <c r="E61" s="733" t="s">
        <v>575</v>
      </c>
      <c r="F61" s="733" t="s">
        <v>7</v>
      </c>
      <c r="G61" s="738" t="s">
        <v>17</v>
      </c>
      <c r="H61" s="738" t="s">
        <v>587</v>
      </c>
      <c r="I61" s="739"/>
      <c r="J61" s="831">
        <v>2222</v>
      </c>
      <c r="K61" s="831">
        <v>12221</v>
      </c>
      <c r="L61" s="740"/>
      <c r="M61" s="740"/>
      <c r="N61" s="741">
        <v>4444</v>
      </c>
      <c r="O61" s="741"/>
      <c r="P61" s="741">
        <v>4444</v>
      </c>
      <c r="Q61" s="741">
        <v>2222</v>
      </c>
      <c r="R61" s="741"/>
      <c r="S61" s="741"/>
      <c r="T61" s="742"/>
      <c r="U61" s="741">
        <v>11110</v>
      </c>
      <c r="V61" s="741"/>
      <c r="W61" s="741"/>
      <c r="X61" s="741"/>
      <c r="Y61" s="741"/>
      <c r="Z61" s="741"/>
      <c r="AA61" s="741"/>
      <c r="AB61" s="741"/>
      <c r="AC61" s="734">
        <f>IF(NFI_Expiration=1,IF($A61&lt;VLOOKUP(I$5,NFI,5,0),1,0)*Data_NFI_t[[#This Row],[Hygiene Kit]],0)</f>
        <v>0</v>
      </c>
      <c r="AD61" s="734">
        <f>IF(NFI_Expiration=1,IF($A61&lt;VLOOKUP(L$5,NFI,5,0),1,0)*Data_NFI_t[[#This Row],[NFI Core Kit]],0)</f>
        <v>0</v>
      </c>
      <c r="AE61" s="735">
        <f>IF(NFI_Expiration=1,IF($A61&lt;VLOOKUP(M$5,NFI,5,0),1,0)*Data_NFI_t[[#This Row],[Sanitary Kit]],0)</f>
        <v>0</v>
      </c>
      <c r="AF61" s="735">
        <f>IF(NFI_Expiration=1,IF($A61&lt;VLOOKUP(N$5,NFI,5,0),1,0)*Data_NFI_t[[#This Row],[Mosquito net]],0)</f>
        <v>4444</v>
      </c>
      <c r="AG61" s="735">
        <f>IF(NFI_Expiration=1,IF($A61&lt;VLOOKUP(O$5,NFI,5,0),1,0)*Data_NFI_t[[#This Row],[Tarpaulin]],0)</f>
        <v>0</v>
      </c>
      <c r="AH61" s="735">
        <f>IF(NFI_Expiration=1,IF($A61&lt;VLOOKUP(P$5,NFI,5,0),1,0)*Data_NFI_t[[#This Row],[Blanket]],0)</f>
        <v>4444</v>
      </c>
      <c r="AI61" s="735">
        <f>IF(NFI_Expiration=1,IF($A61&lt;VLOOKUP(Q$5,NFI,5,0),1,0)*Data_NFI_t[[#This Row],[Kitchen Set]],0)</f>
        <v>2222</v>
      </c>
      <c r="AJ61" s="735">
        <f>IF(NFI_Expiration=1,IF($A61&lt;VLOOKUP(R$5,NFI,5,0),1,0)*Data_NFI_t[[#This Row],[Complementary Kit]],0)</f>
        <v>0</v>
      </c>
      <c r="AK61" s="735">
        <f>IF(NFI_Expiration=1,IF($A61&lt;VLOOKUP(S$5,NFI,5,0),1,0)*Data_NFI_t[[#This Row],[Plastic Bucket]],0)</f>
        <v>0</v>
      </c>
      <c r="AL61" s="734">
        <f>IF(NFI_Expiration=1,IF($A61&lt;VLOOKUP(T$5,NFI,5,0),1,0)*Data_NFI_t[[#This Row],[Jerry Can]],0)</f>
        <v>0</v>
      </c>
      <c r="AM61" s="734">
        <f>IF(NFI_Expiration=1,IF($A61&lt;VLOOKUP(U$5,NFI,5,0),1,0)*Data_NFI_t[[#This Row],[Plastic Mat]],0)</f>
        <v>11110</v>
      </c>
      <c r="AN61" s="734">
        <f>IF(NFI_Expiration=1,IF($A61&lt;VLOOKUP(V$5,NFI,5,0),1,0)*Data_NFI_t[[#This Row],[Adult Clothes]],0)</f>
        <v>0</v>
      </c>
      <c r="AO61" s="734">
        <f>IF(NFI_Expiration=1,IF($A61&lt;VLOOKUP(W$5,NFI,5,0),1,0)*Data_NFI_t[[#This Row],[Children Clothes]],0)</f>
        <v>0</v>
      </c>
      <c r="AP61" s="734">
        <f>IF(NFI_Expiration=1,IF($A61&lt;VLOOKUP(X$5,NFI,5,0),1,0)*Data_NFI_t[[#This Row],[Sewing Kit]],0)</f>
        <v>0</v>
      </c>
      <c r="AQ61" s="734">
        <f>IF(NFI_Expiration=1,IF($A61&lt;VLOOKUP(X$5,NFI,5,0),1,0)*Data_NFI_t[[#This Row],[Solar Lantern]],0)</f>
        <v>0</v>
      </c>
      <c r="AR61" s="105" t="str">
        <f ca="1">IFERROR(OFFSET(Camp_List[P_Code],MATCH(Data_NFI_t[[#This Row],[Camp Name]],Camp_List[Camp Name],0)-1,0,1,1),"")</f>
        <v>MMR012CMP116</v>
      </c>
      <c r="AS61" s="421" t="str">
        <f ca="1">IFERROR(OFFSET(Camp_List[Status],MATCH(Data_NFI_t[[#This Row],[Camp Name]],Camp_List[Camp Name],0)-1,0,1,1),"")</f>
        <v>Open</v>
      </c>
      <c r="AT61" s="105"/>
      <c r="AW61" s="772"/>
    </row>
    <row r="62" spans="1:49" s="770" customFormat="1" ht="18.75" customHeight="1" x14ac:dyDescent="0.25">
      <c r="A62" s="736">
        <f t="shared" si="0"/>
        <v>8.6</v>
      </c>
      <c r="B62" s="737">
        <f>YEAR(Data_NFI_t[[#This Row],[Distribution Date]])</f>
        <v>2017</v>
      </c>
      <c r="C62" s="1013">
        <v>42932</v>
      </c>
      <c r="D62" s="733" t="s">
        <v>520</v>
      </c>
      <c r="E62" s="733" t="s">
        <v>575</v>
      </c>
      <c r="F62" s="733" t="s">
        <v>7</v>
      </c>
      <c r="G62" s="738" t="s">
        <v>13</v>
      </c>
      <c r="H62" s="738" t="s">
        <v>991</v>
      </c>
      <c r="I62" s="739"/>
      <c r="J62" s="831">
        <v>856</v>
      </c>
      <c r="K62" s="831">
        <v>4708</v>
      </c>
      <c r="L62" s="740"/>
      <c r="M62" s="740"/>
      <c r="N62" s="741"/>
      <c r="O62" s="741">
        <v>856</v>
      </c>
      <c r="P62" s="741"/>
      <c r="Q62" s="741"/>
      <c r="R62" s="741"/>
      <c r="S62" s="741"/>
      <c r="T62" s="742"/>
      <c r="U62" s="741"/>
      <c r="V62" s="741"/>
      <c r="W62" s="741"/>
      <c r="X62" s="741"/>
      <c r="Y62" s="741"/>
      <c r="Z62" s="741"/>
      <c r="AA62" s="741"/>
      <c r="AB62" s="741"/>
      <c r="AC62" s="734">
        <f>IF(NFI_Expiration=1,IF($A62&lt;VLOOKUP(I$5,NFI,5,0),1,0)*Data_NFI_t[[#This Row],[Hygiene Kit]],0)</f>
        <v>0</v>
      </c>
      <c r="AD62" s="734">
        <f>IF(NFI_Expiration=1,IF($A62&lt;VLOOKUP(L$5,NFI,5,0),1,0)*Data_NFI_t[[#This Row],[NFI Core Kit]],0)</f>
        <v>0</v>
      </c>
      <c r="AE62" s="735">
        <f>IF(NFI_Expiration=1,IF($A62&lt;VLOOKUP(M$5,NFI,5,0),1,0)*Data_NFI_t[[#This Row],[Sanitary Kit]],0)</f>
        <v>0</v>
      </c>
      <c r="AF62" s="735">
        <f>IF(NFI_Expiration=1,IF($A62&lt;VLOOKUP(N$5,NFI,5,0),1,0)*Data_NFI_t[[#This Row],[Mosquito net]],0)</f>
        <v>0</v>
      </c>
      <c r="AG62" s="735">
        <f>IF(NFI_Expiration=1,IF($A62&lt;VLOOKUP(O$5,NFI,5,0),1,0)*Data_NFI_t[[#This Row],[Tarpaulin]],0)</f>
        <v>856</v>
      </c>
      <c r="AH62" s="735">
        <f>IF(NFI_Expiration=1,IF($A62&lt;VLOOKUP(P$5,NFI,5,0),1,0)*Data_NFI_t[[#This Row],[Blanket]],0)</f>
        <v>0</v>
      </c>
      <c r="AI62" s="735">
        <f>IF(NFI_Expiration=1,IF($A62&lt;VLOOKUP(Q$5,NFI,5,0),1,0)*Data_NFI_t[[#This Row],[Kitchen Set]],0)</f>
        <v>0</v>
      </c>
      <c r="AJ62" s="735">
        <f>IF(NFI_Expiration=1,IF($A62&lt;VLOOKUP(R$5,NFI,5,0),1,0)*Data_NFI_t[[#This Row],[Complementary Kit]],0)</f>
        <v>0</v>
      </c>
      <c r="AK62" s="735">
        <f>IF(NFI_Expiration=1,IF($A62&lt;VLOOKUP(S$5,NFI,5,0),1,0)*Data_NFI_t[[#This Row],[Plastic Bucket]],0)</f>
        <v>0</v>
      </c>
      <c r="AL62" s="734">
        <f>IF(NFI_Expiration=1,IF($A62&lt;VLOOKUP(T$5,NFI,5,0),1,0)*Data_NFI_t[[#This Row],[Jerry Can]],0)</f>
        <v>0</v>
      </c>
      <c r="AM62" s="734">
        <f>IF(NFI_Expiration=1,IF($A62&lt;VLOOKUP(U$5,NFI,5,0),1,0)*Data_NFI_t[[#This Row],[Plastic Mat]],0)</f>
        <v>0</v>
      </c>
      <c r="AN62" s="734">
        <f>IF(NFI_Expiration=1,IF($A62&lt;VLOOKUP(V$5,NFI,5,0),1,0)*Data_NFI_t[[#This Row],[Adult Clothes]],0)</f>
        <v>0</v>
      </c>
      <c r="AO62" s="734">
        <f>IF(NFI_Expiration=1,IF($A62&lt;VLOOKUP(W$5,NFI,5,0),1,0)*Data_NFI_t[[#This Row],[Children Clothes]],0)</f>
        <v>0</v>
      </c>
      <c r="AP62" s="734">
        <f>IF(NFI_Expiration=1,IF($A62&lt;VLOOKUP(X$5,NFI,5,0),1,0)*Data_NFI_t[[#This Row],[Sewing Kit]],0)</f>
        <v>0</v>
      </c>
      <c r="AQ62" s="734">
        <f>IF(NFI_Expiration=1,IF($A62&lt;VLOOKUP(X$5,NFI,5,0),1,0)*Data_NFI_t[[#This Row],[Solar Lantern]],0)</f>
        <v>0</v>
      </c>
      <c r="AR62" s="105" t="str">
        <f ca="1">IFERROR(OFFSET(Camp_List[P_Code],MATCH(Data_NFI_t[[#This Row],[Camp Name]],Camp_List[Camp Name],0)-1,0,1,1),"")</f>
        <v>MMR012CMP017</v>
      </c>
      <c r="AS62" s="421" t="str">
        <f ca="1">IFERROR(OFFSET(Camp_List[Status],MATCH(Data_NFI_t[[#This Row],[Camp Name]],Camp_List[Camp Name],0)-1,0,1,1),"")</f>
        <v>Open</v>
      </c>
      <c r="AT62" s="105"/>
      <c r="AW62" s="772"/>
    </row>
    <row r="63" spans="1:49" s="770" customFormat="1" ht="18.75" customHeight="1" x14ac:dyDescent="0.25">
      <c r="A63" s="736">
        <f t="shared" si="0"/>
        <v>8.6</v>
      </c>
      <c r="B63" s="737">
        <f>YEAR(Data_NFI_t[[#This Row],[Distribution Date]])</f>
        <v>2017</v>
      </c>
      <c r="C63" s="1013">
        <v>42932</v>
      </c>
      <c r="D63" s="733" t="s">
        <v>520</v>
      </c>
      <c r="E63" s="733" t="s">
        <v>575</v>
      </c>
      <c r="F63" s="733" t="s">
        <v>7</v>
      </c>
      <c r="G63" s="738" t="s">
        <v>13</v>
      </c>
      <c r="H63" s="738" t="s">
        <v>990</v>
      </c>
      <c r="I63" s="739"/>
      <c r="J63" s="831">
        <v>928</v>
      </c>
      <c r="K63" s="831">
        <v>4380</v>
      </c>
      <c r="L63" s="740"/>
      <c r="M63" s="740"/>
      <c r="N63" s="741"/>
      <c r="O63" s="741">
        <v>928</v>
      </c>
      <c r="P63" s="741"/>
      <c r="Q63" s="741"/>
      <c r="R63" s="741"/>
      <c r="S63" s="741"/>
      <c r="T63" s="742"/>
      <c r="U63" s="741"/>
      <c r="V63" s="741"/>
      <c r="W63" s="741"/>
      <c r="X63" s="741"/>
      <c r="Y63" s="741"/>
      <c r="Z63" s="741"/>
      <c r="AA63" s="741"/>
      <c r="AB63" s="741"/>
      <c r="AC63" s="734">
        <f>IF(NFI_Expiration=1,IF($A63&lt;VLOOKUP(I$5,NFI,5,0),1,0)*Data_NFI_t[[#This Row],[Hygiene Kit]],0)</f>
        <v>0</v>
      </c>
      <c r="AD63" s="734">
        <f>IF(NFI_Expiration=1,IF($A63&lt;VLOOKUP(L$5,NFI,5,0),1,0)*Data_NFI_t[[#This Row],[NFI Core Kit]],0)</f>
        <v>0</v>
      </c>
      <c r="AE63" s="735">
        <f>IF(NFI_Expiration=1,IF($A63&lt;VLOOKUP(M$5,NFI,5,0),1,0)*Data_NFI_t[[#This Row],[Sanitary Kit]],0)</f>
        <v>0</v>
      </c>
      <c r="AF63" s="735">
        <f>IF(NFI_Expiration=1,IF($A63&lt;VLOOKUP(N$5,NFI,5,0),1,0)*Data_NFI_t[[#This Row],[Mosquito net]],0)</f>
        <v>0</v>
      </c>
      <c r="AG63" s="735">
        <f>IF(NFI_Expiration=1,IF($A63&lt;VLOOKUP(O$5,NFI,5,0),1,0)*Data_NFI_t[[#This Row],[Tarpaulin]],0)</f>
        <v>928</v>
      </c>
      <c r="AH63" s="735">
        <f>IF(NFI_Expiration=1,IF($A63&lt;VLOOKUP(P$5,NFI,5,0),1,0)*Data_NFI_t[[#This Row],[Blanket]],0)</f>
        <v>0</v>
      </c>
      <c r="AI63" s="735">
        <f>IF(NFI_Expiration=1,IF($A63&lt;VLOOKUP(Q$5,NFI,5,0),1,0)*Data_NFI_t[[#This Row],[Kitchen Set]],0)</f>
        <v>0</v>
      </c>
      <c r="AJ63" s="735">
        <f>IF(NFI_Expiration=1,IF($A63&lt;VLOOKUP(R$5,NFI,5,0),1,0)*Data_NFI_t[[#This Row],[Complementary Kit]],0)</f>
        <v>0</v>
      </c>
      <c r="AK63" s="735">
        <f>IF(NFI_Expiration=1,IF($A63&lt;VLOOKUP(S$5,NFI,5,0),1,0)*Data_NFI_t[[#This Row],[Plastic Bucket]],0)</f>
        <v>0</v>
      </c>
      <c r="AL63" s="734">
        <f>IF(NFI_Expiration=1,IF($A63&lt;VLOOKUP(T$5,NFI,5,0),1,0)*Data_NFI_t[[#This Row],[Jerry Can]],0)</f>
        <v>0</v>
      </c>
      <c r="AM63" s="734">
        <f>IF(NFI_Expiration=1,IF($A63&lt;VLOOKUP(U$5,NFI,5,0),1,0)*Data_NFI_t[[#This Row],[Plastic Mat]],0)</f>
        <v>0</v>
      </c>
      <c r="AN63" s="734">
        <f>IF(NFI_Expiration=1,IF($A63&lt;VLOOKUP(V$5,NFI,5,0),1,0)*Data_NFI_t[[#This Row],[Adult Clothes]],0)</f>
        <v>0</v>
      </c>
      <c r="AO63" s="734">
        <f>IF(NFI_Expiration=1,IF($A63&lt;VLOOKUP(W$5,NFI,5,0),1,0)*Data_NFI_t[[#This Row],[Children Clothes]],0)</f>
        <v>0</v>
      </c>
      <c r="AP63" s="734">
        <f>IF(NFI_Expiration=1,IF($A63&lt;VLOOKUP(X$5,NFI,5,0),1,0)*Data_NFI_t[[#This Row],[Sewing Kit]],0)</f>
        <v>0</v>
      </c>
      <c r="AQ63" s="734">
        <f>IF(NFI_Expiration=1,IF($A63&lt;VLOOKUP(X$5,NFI,5,0),1,0)*Data_NFI_t[[#This Row],[Solar Lantern]],0)</f>
        <v>0</v>
      </c>
      <c r="AR63" s="105" t="str">
        <f ca="1">IFERROR(OFFSET(Camp_List[P_Code],MATCH(Data_NFI_t[[#This Row],[Camp Name]],Camp_List[Camp Name],0)-1,0,1,1),"")</f>
        <v>MMR012CMP017</v>
      </c>
      <c r="AS63" s="421" t="str">
        <f ca="1">IFERROR(OFFSET(Camp_List[Status],MATCH(Data_NFI_t[[#This Row],[Camp Name]],Camp_List[Camp Name],0)-1,0,1,1),"")</f>
        <v>Open</v>
      </c>
      <c r="AT63" s="105"/>
      <c r="AW63" s="772"/>
    </row>
    <row r="64" spans="1:49" s="770" customFormat="1" ht="18.75" customHeight="1" x14ac:dyDescent="0.25">
      <c r="A64" s="736">
        <f t="shared" si="0"/>
        <v>8.6333333333333329</v>
      </c>
      <c r="B64" s="737">
        <f>YEAR(Data_NFI_t[[#This Row],[Distribution Date]])</f>
        <v>2017</v>
      </c>
      <c r="C64" s="1013">
        <v>42931</v>
      </c>
      <c r="D64" s="733" t="s">
        <v>1025</v>
      </c>
      <c r="E64" s="733" t="s">
        <v>1025</v>
      </c>
      <c r="F64" s="733" t="s">
        <v>7</v>
      </c>
      <c r="G64" s="738" t="s">
        <v>17</v>
      </c>
      <c r="H64" s="738" t="s">
        <v>66</v>
      </c>
      <c r="I64" s="739"/>
      <c r="J64" s="831">
        <v>1137</v>
      </c>
      <c r="K64" s="831">
        <v>6253</v>
      </c>
      <c r="L64" s="740"/>
      <c r="M64" s="740">
        <v>1137</v>
      </c>
      <c r="N64" s="741"/>
      <c r="O64" s="741"/>
      <c r="P64" s="741"/>
      <c r="Q64" s="741"/>
      <c r="R64" s="741"/>
      <c r="S64" s="741"/>
      <c r="T64" s="742"/>
      <c r="U64" s="741"/>
      <c r="V64" s="741"/>
      <c r="W64" s="741"/>
      <c r="X64" s="741"/>
      <c r="Y64" s="741"/>
      <c r="Z64" s="741"/>
      <c r="AA64" s="741"/>
      <c r="AB64" s="741"/>
      <c r="AC64" s="734">
        <f>IF(NFI_Expiration=1,IF($A64&lt;VLOOKUP(I$5,NFI,5,0),1,0)*Data_NFI_t[[#This Row],[Hygiene Kit]],0)</f>
        <v>0</v>
      </c>
      <c r="AD64" s="734">
        <f>IF(NFI_Expiration=1,IF($A64&lt;VLOOKUP(L$5,NFI,5,0),1,0)*Data_NFI_t[[#This Row],[NFI Core Kit]],0)</f>
        <v>0</v>
      </c>
      <c r="AE64" s="735">
        <f>IF(NFI_Expiration=1,IF($A64&lt;VLOOKUP(M$5,NFI,5,0),1,0)*Data_NFI_t[[#This Row],[Sanitary Kit]],0)</f>
        <v>1137</v>
      </c>
      <c r="AF64" s="735">
        <f>IF(NFI_Expiration=1,IF($A64&lt;VLOOKUP(N$5,NFI,5,0),1,0)*Data_NFI_t[[#This Row],[Mosquito net]],0)</f>
        <v>0</v>
      </c>
      <c r="AG64" s="735">
        <f>IF(NFI_Expiration=1,IF($A64&lt;VLOOKUP(O$5,NFI,5,0),1,0)*Data_NFI_t[[#This Row],[Tarpaulin]],0)</f>
        <v>0</v>
      </c>
      <c r="AH64" s="735">
        <f>IF(NFI_Expiration=1,IF($A64&lt;VLOOKUP(P$5,NFI,5,0),1,0)*Data_NFI_t[[#This Row],[Blanket]],0)</f>
        <v>0</v>
      </c>
      <c r="AI64" s="735">
        <f>IF(NFI_Expiration=1,IF($A64&lt;VLOOKUP(Q$5,NFI,5,0),1,0)*Data_NFI_t[[#This Row],[Kitchen Set]],0)</f>
        <v>0</v>
      </c>
      <c r="AJ64" s="735">
        <f>IF(NFI_Expiration=1,IF($A64&lt;VLOOKUP(R$5,NFI,5,0),1,0)*Data_NFI_t[[#This Row],[Complementary Kit]],0)</f>
        <v>0</v>
      </c>
      <c r="AK64" s="735">
        <f>IF(NFI_Expiration=1,IF($A64&lt;VLOOKUP(S$5,NFI,5,0),1,0)*Data_NFI_t[[#This Row],[Plastic Bucket]],0)</f>
        <v>0</v>
      </c>
      <c r="AL64" s="734">
        <f>IF(NFI_Expiration=1,IF($A64&lt;VLOOKUP(T$5,NFI,5,0),1,0)*Data_NFI_t[[#This Row],[Jerry Can]],0)</f>
        <v>0</v>
      </c>
      <c r="AM64" s="734">
        <f>IF(NFI_Expiration=1,IF($A64&lt;VLOOKUP(U$5,NFI,5,0),1,0)*Data_NFI_t[[#This Row],[Plastic Mat]],0)</f>
        <v>0</v>
      </c>
      <c r="AN64" s="734">
        <f>IF(NFI_Expiration=1,IF($A64&lt;VLOOKUP(V$5,NFI,5,0),1,0)*Data_NFI_t[[#This Row],[Adult Clothes]],0)</f>
        <v>0</v>
      </c>
      <c r="AO64" s="734">
        <f>IF(NFI_Expiration=1,IF($A64&lt;VLOOKUP(W$5,NFI,5,0),1,0)*Data_NFI_t[[#This Row],[Children Clothes]],0)</f>
        <v>0</v>
      </c>
      <c r="AP64" s="734">
        <f>IF(NFI_Expiration=1,IF($A64&lt;VLOOKUP(X$5,NFI,5,0),1,0)*Data_NFI_t[[#This Row],[Sewing Kit]],0)</f>
        <v>0</v>
      </c>
      <c r="AQ64" s="734">
        <f>IF(NFI_Expiration=1,IF($A64&lt;VLOOKUP(X$5,NFI,5,0),1,0)*Data_NFI_t[[#This Row],[Solar Lantern]],0)</f>
        <v>0</v>
      </c>
      <c r="AR64" s="105" t="str">
        <f ca="1">IFERROR(OFFSET(Camp_List[P_Code],MATCH(Data_NFI_t[[#This Row],[Camp Name]],Camp_List[Camp Name],0)-1,0,1,1),"")</f>
        <v>MMR012CMP046</v>
      </c>
      <c r="AS64" s="421" t="str">
        <f ca="1">IFERROR(OFFSET(Camp_List[Status],MATCH(Data_NFI_t[[#This Row],[Camp Name]],Camp_List[Camp Name],0)-1,0,1,1),"")</f>
        <v>Open</v>
      </c>
      <c r="AT64" s="105"/>
      <c r="AW64" s="772"/>
    </row>
    <row r="65" spans="1:49" s="770" customFormat="1" ht="18.75" customHeight="1" x14ac:dyDescent="0.25">
      <c r="A65" s="736">
        <f t="shared" si="0"/>
        <v>8.7333333333333325</v>
      </c>
      <c r="B65" s="737">
        <f>YEAR(Data_NFI_t[[#This Row],[Distribution Date]])</f>
        <v>2017</v>
      </c>
      <c r="C65" s="1013">
        <v>42928</v>
      </c>
      <c r="D65" s="733" t="s">
        <v>270</v>
      </c>
      <c r="E65" s="733" t="s">
        <v>575</v>
      </c>
      <c r="F65" s="733" t="s">
        <v>7</v>
      </c>
      <c r="G65" s="738" t="s">
        <v>17</v>
      </c>
      <c r="H65" s="738" t="s">
        <v>59</v>
      </c>
      <c r="I65" s="739"/>
      <c r="J65" s="831">
        <v>368</v>
      </c>
      <c r="K65" s="831">
        <f>J65*5.5</f>
        <v>2024</v>
      </c>
      <c r="L65" s="740"/>
      <c r="M65" s="740"/>
      <c r="N65" s="741"/>
      <c r="O65" s="741">
        <v>368</v>
      </c>
      <c r="P65" s="741"/>
      <c r="Q65" s="741"/>
      <c r="R65" s="741"/>
      <c r="S65" s="741"/>
      <c r="T65" s="742"/>
      <c r="U65" s="741"/>
      <c r="V65" s="741"/>
      <c r="W65" s="741"/>
      <c r="X65" s="741"/>
      <c r="Y65" s="741"/>
      <c r="Z65" s="741"/>
      <c r="AA65" s="741"/>
      <c r="AB65" s="741"/>
      <c r="AC65" s="734">
        <f>IF(NFI_Expiration=1,IF($A65&lt;VLOOKUP(I$5,NFI,5,0),1,0)*Data_NFI_t[[#This Row],[Hygiene Kit]],0)</f>
        <v>0</v>
      </c>
      <c r="AD65" s="734">
        <f>IF(NFI_Expiration=1,IF($A65&lt;VLOOKUP(L$5,NFI,5,0),1,0)*Data_NFI_t[[#This Row],[NFI Core Kit]],0)</f>
        <v>0</v>
      </c>
      <c r="AE65" s="735">
        <f>IF(NFI_Expiration=1,IF($A65&lt;VLOOKUP(M$5,NFI,5,0),1,0)*Data_NFI_t[[#This Row],[Sanitary Kit]],0)</f>
        <v>0</v>
      </c>
      <c r="AF65" s="735">
        <f>IF(NFI_Expiration=1,IF($A65&lt;VLOOKUP(N$5,NFI,5,0),1,0)*Data_NFI_t[[#This Row],[Mosquito net]],0)</f>
        <v>0</v>
      </c>
      <c r="AG65" s="735">
        <f>IF(NFI_Expiration=1,IF($A65&lt;VLOOKUP(O$5,NFI,5,0),1,0)*Data_NFI_t[[#This Row],[Tarpaulin]],0)</f>
        <v>368</v>
      </c>
      <c r="AH65" s="735">
        <f>IF(NFI_Expiration=1,IF($A65&lt;VLOOKUP(P$5,NFI,5,0),1,0)*Data_NFI_t[[#This Row],[Blanket]],0)</f>
        <v>0</v>
      </c>
      <c r="AI65" s="735">
        <f>IF(NFI_Expiration=1,IF($A65&lt;VLOOKUP(Q$5,NFI,5,0),1,0)*Data_NFI_t[[#This Row],[Kitchen Set]],0)</f>
        <v>0</v>
      </c>
      <c r="AJ65" s="735">
        <f>IF(NFI_Expiration=1,IF($A65&lt;VLOOKUP(R$5,NFI,5,0),1,0)*Data_NFI_t[[#This Row],[Complementary Kit]],0)</f>
        <v>0</v>
      </c>
      <c r="AK65" s="735">
        <f>IF(NFI_Expiration=1,IF($A65&lt;VLOOKUP(S$5,NFI,5,0),1,0)*Data_NFI_t[[#This Row],[Plastic Bucket]],0)</f>
        <v>0</v>
      </c>
      <c r="AL65" s="734">
        <f>IF(NFI_Expiration=1,IF($A65&lt;VLOOKUP(T$5,NFI,5,0),1,0)*Data_NFI_t[[#This Row],[Jerry Can]],0)</f>
        <v>0</v>
      </c>
      <c r="AM65" s="734">
        <f>IF(NFI_Expiration=1,IF($A65&lt;VLOOKUP(U$5,NFI,5,0),1,0)*Data_NFI_t[[#This Row],[Plastic Mat]],0)</f>
        <v>0</v>
      </c>
      <c r="AN65" s="734">
        <f>IF(NFI_Expiration=1,IF($A65&lt;VLOOKUP(V$5,NFI,5,0),1,0)*Data_NFI_t[[#This Row],[Adult Clothes]],0)</f>
        <v>0</v>
      </c>
      <c r="AO65" s="734">
        <f>IF(NFI_Expiration=1,IF($A65&lt;VLOOKUP(W$5,NFI,5,0),1,0)*Data_NFI_t[[#This Row],[Children Clothes]],0)</f>
        <v>0</v>
      </c>
      <c r="AP65" s="734">
        <f>IF(NFI_Expiration=1,IF($A65&lt;VLOOKUP(X$5,NFI,5,0),1,0)*Data_NFI_t[[#This Row],[Sewing Kit]],0)</f>
        <v>0</v>
      </c>
      <c r="AQ65" s="734">
        <f>IF(NFI_Expiration=1,IF($A65&lt;VLOOKUP(X$5,NFI,5,0),1,0)*Data_NFI_t[[#This Row],[Solar Lantern]],0)</f>
        <v>0</v>
      </c>
      <c r="AR65" s="105" t="str">
        <f ca="1">IFERROR(OFFSET(Camp_List[P_Code],MATCH(Data_NFI_t[[#This Row],[Camp Name]],Camp_List[Camp Name],0)-1,0,1,1),"")</f>
        <v>MMR012CMP039</v>
      </c>
      <c r="AS65" s="421" t="str">
        <f ca="1">IFERROR(OFFSET(Camp_List[Status],MATCH(Data_NFI_t[[#This Row],[Camp Name]],Camp_List[Camp Name],0)-1,0,1,1),"")</f>
        <v>Open</v>
      </c>
      <c r="AT65" s="749" t="s">
        <v>1056</v>
      </c>
      <c r="AW65" s="772"/>
    </row>
    <row r="66" spans="1:49" s="770" customFormat="1" ht="18.75" customHeight="1" x14ac:dyDescent="0.25">
      <c r="A66" s="736">
        <f t="shared" si="0"/>
        <v>8.7333333333333325</v>
      </c>
      <c r="B66" s="737">
        <f>YEAR(Data_NFI_t[[#This Row],[Distribution Date]])</f>
        <v>2017</v>
      </c>
      <c r="C66" s="1013">
        <v>42928</v>
      </c>
      <c r="D66" s="733" t="s">
        <v>270</v>
      </c>
      <c r="E66" s="733" t="s">
        <v>575</v>
      </c>
      <c r="F66" s="733" t="s">
        <v>7</v>
      </c>
      <c r="G66" s="738" t="s">
        <v>17</v>
      </c>
      <c r="H66" s="738" t="s">
        <v>62</v>
      </c>
      <c r="I66" s="739"/>
      <c r="J66" s="831">
        <v>336</v>
      </c>
      <c r="K66" s="831">
        <f>J66*5.5</f>
        <v>1848</v>
      </c>
      <c r="L66" s="740"/>
      <c r="M66" s="740"/>
      <c r="N66" s="741"/>
      <c r="O66" s="741">
        <v>336</v>
      </c>
      <c r="P66" s="741"/>
      <c r="Q66" s="741"/>
      <c r="R66" s="741"/>
      <c r="S66" s="741"/>
      <c r="T66" s="742"/>
      <c r="U66" s="741"/>
      <c r="V66" s="741"/>
      <c r="W66" s="741"/>
      <c r="X66" s="741"/>
      <c r="Y66" s="741"/>
      <c r="Z66" s="741"/>
      <c r="AA66" s="741"/>
      <c r="AB66" s="741"/>
      <c r="AC66" s="734">
        <f>IF(NFI_Expiration=1,IF($A66&lt;VLOOKUP(I$5,NFI,5,0),1,0)*Data_NFI_t[[#This Row],[Hygiene Kit]],0)</f>
        <v>0</v>
      </c>
      <c r="AD66" s="734">
        <f>IF(NFI_Expiration=1,IF($A66&lt;VLOOKUP(L$5,NFI,5,0),1,0)*Data_NFI_t[[#This Row],[NFI Core Kit]],0)</f>
        <v>0</v>
      </c>
      <c r="AE66" s="735">
        <f>IF(NFI_Expiration=1,IF($A66&lt;VLOOKUP(M$5,NFI,5,0),1,0)*Data_NFI_t[[#This Row],[Sanitary Kit]],0)</f>
        <v>0</v>
      </c>
      <c r="AF66" s="735">
        <f>IF(NFI_Expiration=1,IF($A66&lt;VLOOKUP(N$5,NFI,5,0),1,0)*Data_NFI_t[[#This Row],[Mosquito net]],0)</f>
        <v>0</v>
      </c>
      <c r="AG66" s="735">
        <f>IF(NFI_Expiration=1,IF($A66&lt;VLOOKUP(O$5,NFI,5,0),1,0)*Data_NFI_t[[#This Row],[Tarpaulin]],0)</f>
        <v>336</v>
      </c>
      <c r="AH66" s="735">
        <f>IF(NFI_Expiration=1,IF($A66&lt;VLOOKUP(P$5,NFI,5,0),1,0)*Data_NFI_t[[#This Row],[Blanket]],0)</f>
        <v>0</v>
      </c>
      <c r="AI66" s="735">
        <f>IF(NFI_Expiration=1,IF($A66&lt;VLOOKUP(Q$5,NFI,5,0),1,0)*Data_NFI_t[[#This Row],[Kitchen Set]],0)</f>
        <v>0</v>
      </c>
      <c r="AJ66" s="735">
        <f>IF(NFI_Expiration=1,IF($A66&lt;VLOOKUP(R$5,NFI,5,0),1,0)*Data_NFI_t[[#This Row],[Complementary Kit]],0)</f>
        <v>0</v>
      </c>
      <c r="AK66" s="735">
        <f>IF(NFI_Expiration=1,IF($A66&lt;VLOOKUP(S$5,NFI,5,0),1,0)*Data_NFI_t[[#This Row],[Plastic Bucket]],0)</f>
        <v>0</v>
      </c>
      <c r="AL66" s="734">
        <f>IF(NFI_Expiration=1,IF($A66&lt;VLOOKUP(T$5,NFI,5,0),1,0)*Data_NFI_t[[#This Row],[Jerry Can]],0)</f>
        <v>0</v>
      </c>
      <c r="AM66" s="734">
        <f>IF(NFI_Expiration=1,IF($A66&lt;VLOOKUP(U$5,NFI,5,0),1,0)*Data_NFI_t[[#This Row],[Plastic Mat]],0)</f>
        <v>0</v>
      </c>
      <c r="AN66" s="734">
        <f>IF(NFI_Expiration=1,IF($A66&lt;VLOOKUP(V$5,NFI,5,0),1,0)*Data_NFI_t[[#This Row],[Adult Clothes]],0)</f>
        <v>0</v>
      </c>
      <c r="AO66" s="734">
        <f>IF(NFI_Expiration=1,IF($A66&lt;VLOOKUP(W$5,NFI,5,0),1,0)*Data_NFI_t[[#This Row],[Children Clothes]],0)</f>
        <v>0</v>
      </c>
      <c r="AP66" s="734">
        <f>IF(NFI_Expiration=1,IF($A66&lt;VLOOKUP(X$5,NFI,5,0),1,0)*Data_NFI_t[[#This Row],[Sewing Kit]],0)</f>
        <v>0</v>
      </c>
      <c r="AQ66" s="734">
        <f>IF(NFI_Expiration=1,IF($A66&lt;VLOOKUP(X$5,NFI,5,0),1,0)*Data_NFI_t[[#This Row],[Solar Lantern]],0)</f>
        <v>0</v>
      </c>
      <c r="AR66" s="105" t="str">
        <f ca="1">IFERROR(OFFSET(Camp_List[P_Code],MATCH(Data_NFI_t[[#This Row],[Camp Name]],Camp_List[Camp Name],0)-1,0,1,1),"")</f>
        <v>MMR012CMP042</v>
      </c>
      <c r="AS66" s="421" t="str">
        <f ca="1">IFERROR(OFFSET(Camp_List[Status],MATCH(Data_NFI_t[[#This Row],[Camp Name]],Camp_List[Camp Name],0)-1,0,1,1),"")</f>
        <v>Open</v>
      </c>
      <c r="AT66" s="749" t="s">
        <v>1056</v>
      </c>
      <c r="AW66" s="772"/>
    </row>
    <row r="67" spans="1:49" s="770" customFormat="1" ht="18.75" customHeight="1" x14ac:dyDescent="0.25">
      <c r="A67" s="736">
        <f t="shared" si="0"/>
        <v>8.7666666666666675</v>
      </c>
      <c r="B67" s="737">
        <f>YEAR(Data_NFI_t[[#This Row],[Distribution Date]])</f>
        <v>2017</v>
      </c>
      <c r="C67" s="1013">
        <v>42927</v>
      </c>
      <c r="D67" s="733" t="s">
        <v>270</v>
      </c>
      <c r="E67" s="733" t="s">
        <v>575</v>
      </c>
      <c r="F67" s="733" t="s">
        <v>7</v>
      </c>
      <c r="G67" s="738" t="s">
        <v>17</v>
      </c>
      <c r="H67" s="738" t="s">
        <v>62</v>
      </c>
      <c r="I67" s="739"/>
      <c r="J67" s="831">
        <v>176</v>
      </c>
      <c r="K67" s="831">
        <f>J67*5.5</f>
        <v>968</v>
      </c>
      <c r="L67" s="740"/>
      <c r="M67" s="740"/>
      <c r="N67" s="741"/>
      <c r="O67" s="741">
        <v>176</v>
      </c>
      <c r="P67" s="741"/>
      <c r="Q67" s="741"/>
      <c r="R67" s="741"/>
      <c r="S67" s="741"/>
      <c r="T67" s="742"/>
      <c r="U67" s="741"/>
      <c r="V67" s="741"/>
      <c r="W67" s="741"/>
      <c r="X67" s="741"/>
      <c r="Y67" s="741"/>
      <c r="Z67" s="741"/>
      <c r="AA67" s="741"/>
      <c r="AB67" s="741"/>
      <c r="AC67" s="734">
        <f>IF(NFI_Expiration=1,IF($A67&lt;VLOOKUP(I$5,NFI,5,0),1,0)*Data_NFI_t[[#This Row],[Hygiene Kit]],0)</f>
        <v>0</v>
      </c>
      <c r="AD67" s="734">
        <f>IF(NFI_Expiration=1,IF($A67&lt;VLOOKUP(L$5,NFI,5,0),1,0)*Data_NFI_t[[#This Row],[NFI Core Kit]],0)</f>
        <v>0</v>
      </c>
      <c r="AE67" s="735">
        <f>IF(NFI_Expiration=1,IF($A67&lt;VLOOKUP(M$5,NFI,5,0),1,0)*Data_NFI_t[[#This Row],[Sanitary Kit]],0)</f>
        <v>0</v>
      </c>
      <c r="AF67" s="735">
        <f>IF(NFI_Expiration=1,IF($A67&lt;VLOOKUP(N$5,NFI,5,0),1,0)*Data_NFI_t[[#This Row],[Mosquito net]],0)</f>
        <v>0</v>
      </c>
      <c r="AG67" s="735">
        <f>IF(NFI_Expiration=1,IF($A67&lt;VLOOKUP(O$5,NFI,5,0),1,0)*Data_NFI_t[[#This Row],[Tarpaulin]],0)</f>
        <v>176</v>
      </c>
      <c r="AH67" s="735">
        <f>IF(NFI_Expiration=1,IF($A67&lt;VLOOKUP(P$5,NFI,5,0),1,0)*Data_NFI_t[[#This Row],[Blanket]],0)</f>
        <v>0</v>
      </c>
      <c r="AI67" s="735">
        <f>IF(NFI_Expiration=1,IF($A67&lt;VLOOKUP(Q$5,NFI,5,0),1,0)*Data_NFI_t[[#This Row],[Kitchen Set]],0)</f>
        <v>0</v>
      </c>
      <c r="AJ67" s="735">
        <f>IF(NFI_Expiration=1,IF($A67&lt;VLOOKUP(R$5,NFI,5,0),1,0)*Data_NFI_t[[#This Row],[Complementary Kit]],0)</f>
        <v>0</v>
      </c>
      <c r="AK67" s="735">
        <f>IF(NFI_Expiration=1,IF($A67&lt;VLOOKUP(S$5,NFI,5,0),1,0)*Data_NFI_t[[#This Row],[Plastic Bucket]],0)</f>
        <v>0</v>
      </c>
      <c r="AL67" s="734">
        <f>IF(NFI_Expiration=1,IF($A67&lt;VLOOKUP(T$5,NFI,5,0),1,0)*Data_NFI_t[[#This Row],[Jerry Can]],0)</f>
        <v>0</v>
      </c>
      <c r="AM67" s="734">
        <f>IF(NFI_Expiration=1,IF($A67&lt;VLOOKUP(U$5,NFI,5,0),1,0)*Data_NFI_t[[#This Row],[Plastic Mat]],0)</f>
        <v>0</v>
      </c>
      <c r="AN67" s="734">
        <f>IF(NFI_Expiration=1,IF($A67&lt;VLOOKUP(V$5,NFI,5,0),1,0)*Data_NFI_t[[#This Row],[Adult Clothes]],0)</f>
        <v>0</v>
      </c>
      <c r="AO67" s="734">
        <f>IF(NFI_Expiration=1,IF($A67&lt;VLOOKUP(W$5,NFI,5,0),1,0)*Data_NFI_t[[#This Row],[Children Clothes]],0)</f>
        <v>0</v>
      </c>
      <c r="AP67" s="734">
        <f>IF(NFI_Expiration=1,IF($A67&lt;VLOOKUP(X$5,NFI,5,0),1,0)*Data_NFI_t[[#This Row],[Sewing Kit]],0)</f>
        <v>0</v>
      </c>
      <c r="AQ67" s="734">
        <f>IF(NFI_Expiration=1,IF($A67&lt;VLOOKUP(X$5,NFI,5,0),1,0)*Data_NFI_t[[#This Row],[Solar Lantern]],0)</f>
        <v>0</v>
      </c>
      <c r="AR67" s="105" t="str">
        <f ca="1">IFERROR(OFFSET(Camp_List[P_Code],MATCH(Data_NFI_t[[#This Row],[Camp Name]],Camp_List[Camp Name],0)-1,0,1,1),"")</f>
        <v>MMR012CMP042</v>
      </c>
      <c r="AS67" s="421" t="str">
        <f ca="1">IFERROR(OFFSET(Camp_List[Status],MATCH(Data_NFI_t[[#This Row],[Camp Name]],Camp_List[Camp Name],0)-1,0,1,1),"")</f>
        <v>Open</v>
      </c>
      <c r="AT67" s="749" t="s">
        <v>1056</v>
      </c>
      <c r="AW67" s="772"/>
    </row>
    <row r="68" spans="1:49" s="770" customFormat="1" ht="18.75" customHeight="1" x14ac:dyDescent="0.25">
      <c r="A68" s="736">
        <f t="shared" si="0"/>
        <v>8.9</v>
      </c>
      <c r="B68" s="737">
        <f>YEAR(Data_NFI_t[[#This Row],[Distribution Date]])</f>
        <v>2017</v>
      </c>
      <c r="C68" s="1013">
        <v>42923</v>
      </c>
      <c r="D68" s="733" t="s">
        <v>270</v>
      </c>
      <c r="E68" s="733" t="s">
        <v>1059</v>
      </c>
      <c r="F68" s="733" t="s">
        <v>7</v>
      </c>
      <c r="G68" s="738" t="s">
        <v>17</v>
      </c>
      <c r="H68" s="738"/>
      <c r="I68" s="739"/>
      <c r="J68" s="846" t="s">
        <v>1102</v>
      </c>
      <c r="K68" s="846" t="s">
        <v>1102</v>
      </c>
      <c r="L68" s="740"/>
      <c r="M68" s="740"/>
      <c r="N68" s="741"/>
      <c r="O68" s="741">
        <v>50</v>
      </c>
      <c r="P68" s="741"/>
      <c r="Q68" s="741"/>
      <c r="R68" s="741"/>
      <c r="S68" s="741"/>
      <c r="T68" s="742"/>
      <c r="U68" s="741"/>
      <c r="V68" s="741"/>
      <c r="W68" s="741"/>
      <c r="X68" s="741"/>
      <c r="Y68" s="741"/>
      <c r="Z68" s="741"/>
      <c r="AA68" s="741"/>
      <c r="AB68" s="741"/>
      <c r="AC68" s="778">
        <f>IF(NFI_Expiration=1,IF($A68&lt;VLOOKUP(I$5,NFI,5,0),1,0)*Data_NFI_t[[#This Row],[Hygiene Kit]],0)</f>
        <v>0</v>
      </c>
      <c r="AD68" s="778">
        <f>IF(NFI_Expiration=1,IF($A68&lt;VLOOKUP(L$5,NFI,5,0),1,0)*Data_NFI_t[[#This Row],[NFI Core Kit]],0)</f>
        <v>0</v>
      </c>
      <c r="AE68" s="740">
        <f>IF(NFI_Expiration=1,IF($A68&lt;VLOOKUP(M$5,NFI,5,0),1,0)*Data_NFI_t[[#This Row],[Sanitary Kit]],0)</f>
        <v>0</v>
      </c>
      <c r="AF68" s="740">
        <f>IF(NFI_Expiration=1,IF($A68&lt;VLOOKUP(N$5,NFI,5,0),1,0)*Data_NFI_t[[#This Row],[Mosquito net]],0)</f>
        <v>0</v>
      </c>
      <c r="AG68" s="740">
        <f>IF(NFI_Expiration=1,IF($A68&lt;VLOOKUP(O$5,NFI,5,0),1,0)*Data_NFI_t[[#This Row],[Tarpaulin]],0)</f>
        <v>50</v>
      </c>
      <c r="AH68" s="740">
        <f>IF(NFI_Expiration=1,IF($A68&lt;VLOOKUP(P$5,NFI,5,0),1,0)*Data_NFI_t[[#This Row],[Blanket]],0)</f>
        <v>0</v>
      </c>
      <c r="AI68" s="740">
        <f>IF(NFI_Expiration=1,IF($A68&lt;VLOOKUP(Q$5,NFI,5,0),1,0)*Data_NFI_t[[#This Row],[Kitchen Set]],0)</f>
        <v>0</v>
      </c>
      <c r="AJ68" s="740">
        <f>IF(NFI_Expiration=1,IF($A68&lt;VLOOKUP(R$5,NFI,5,0),1,0)*Data_NFI_t[[#This Row],[Complementary Kit]],0)</f>
        <v>0</v>
      </c>
      <c r="AK68" s="740">
        <f>IF(NFI_Expiration=1,IF($A68&lt;VLOOKUP(S$5,NFI,5,0),1,0)*Data_NFI_t[[#This Row],[Plastic Bucket]],0)</f>
        <v>0</v>
      </c>
      <c r="AL68" s="778">
        <f>IF(NFI_Expiration=1,IF($A68&lt;VLOOKUP(T$5,NFI,5,0),1,0)*Data_NFI_t[[#This Row],[Jerry Can]],0)</f>
        <v>0</v>
      </c>
      <c r="AM68" s="734">
        <f>IF(NFI_Expiration=1,IF($A68&lt;VLOOKUP(U$5,NFI,5,0),1,0)*Data_NFI_t[[#This Row],[Plastic Mat]],0)</f>
        <v>0</v>
      </c>
      <c r="AN68" s="778">
        <f>IF(NFI_Expiration=1,IF($A68&lt;VLOOKUP(V$5,NFI,5,0),1,0)*Data_NFI_t[[#This Row],[Adult Clothes]],0)</f>
        <v>0</v>
      </c>
      <c r="AO68" s="778">
        <f>IF(NFI_Expiration=1,IF($A68&lt;VLOOKUP(W$5,NFI,5,0),1,0)*Data_NFI_t[[#This Row],[Children Clothes]],0)</f>
        <v>0</v>
      </c>
      <c r="AP68" s="778">
        <f>IF(NFI_Expiration=1,IF($A68&lt;VLOOKUP(X$5,NFI,5,0),1,0)*Data_NFI_t[[#This Row],[Sewing Kit]],0)</f>
        <v>0</v>
      </c>
      <c r="AQ68" s="778">
        <f>IF(NFI_Expiration=1,IF($A68&lt;VLOOKUP(X$5,NFI,5,0),1,0)*Data_NFI_t[[#This Row],[Solar Lantern]],0)</f>
        <v>0</v>
      </c>
      <c r="AR68" s="779" t="str">
        <f ca="1">IFERROR(OFFSET(Camp_List[P_Code],MATCH(Data_NFI_t[[#This Row],[Camp Name]],Camp_List[Camp Name],0)-1,0,1,1),"")</f>
        <v/>
      </c>
      <c r="AS68" s="780" t="str">
        <f ca="1">IFERROR(OFFSET(Camp_List[Status],MATCH(Data_NFI_t[[#This Row],[Camp Name]],Camp_List[Camp Name],0)-1,0,1,1),"")</f>
        <v/>
      </c>
      <c r="AT68" s="781" t="s">
        <v>1060</v>
      </c>
      <c r="AW68" s="772"/>
    </row>
    <row r="69" spans="1:49" s="770" customFormat="1" ht="18.75" customHeight="1" x14ac:dyDescent="0.25">
      <c r="A69" s="736">
        <f t="shared" si="0"/>
        <v>8.9</v>
      </c>
      <c r="B69" s="737">
        <f>YEAR(Data_NFI_t[[#This Row],[Distribution Date]])</f>
        <v>2017</v>
      </c>
      <c r="C69" s="1013">
        <v>42923</v>
      </c>
      <c r="D69" s="733" t="s">
        <v>270</v>
      </c>
      <c r="E69" s="733" t="s">
        <v>273</v>
      </c>
      <c r="F69" s="733" t="s">
        <v>7</v>
      </c>
      <c r="G69" s="738" t="s">
        <v>17</v>
      </c>
      <c r="H69" s="738" t="s">
        <v>585</v>
      </c>
      <c r="I69" s="739"/>
      <c r="J69" s="831">
        <v>267</v>
      </c>
      <c r="K69" s="831">
        <v>1468</v>
      </c>
      <c r="L69" s="740"/>
      <c r="M69" s="740"/>
      <c r="N69" s="741">
        <v>267</v>
      </c>
      <c r="O69" s="741">
        <v>267</v>
      </c>
      <c r="P69" s="741"/>
      <c r="Q69" s="741">
        <v>267</v>
      </c>
      <c r="R69" s="741"/>
      <c r="S69" s="741"/>
      <c r="T69" s="742">
        <v>267</v>
      </c>
      <c r="U69" s="741">
        <v>801</v>
      </c>
      <c r="V69" s="741"/>
      <c r="W69" s="741"/>
      <c r="X69" s="741"/>
      <c r="Y69" s="741"/>
      <c r="Z69" s="741"/>
      <c r="AA69" s="741"/>
      <c r="AB69" s="741"/>
      <c r="AC69" s="734">
        <f>IF(NFI_Expiration=1,IF($A69&lt;VLOOKUP(I$5,NFI,5,0),1,0)*Data_NFI_t[[#This Row],[Hygiene Kit]],0)</f>
        <v>0</v>
      </c>
      <c r="AD69" s="734">
        <f>IF(NFI_Expiration=1,IF($A69&lt;VLOOKUP(L$5,NFI,5,0),1,0)*Data_NFI_t[[#This Row],[NFI Core Kit]],0)</f>
        <v>0</v>
      </c>
      <c r="AE69" s="735">
        <f>IF(NFI_Expiration=1,IF($A69&lt;VLOOKUP(M$5,NFI,5,0),1,0)*Data_NFI_t[[#This Row],[Sanitary Kit]],0)</f>
        <v>0</v>
      </c>
      <c r="AF69" s="735">
        <f>IF(NFI_Expiration=1,IF($A69&lt;VLOOKUP(N$5,NFI,5,0),1,0)*Data_NFI_t[[#This Row],[Mosquito net]],0)</f>
        <v>267</v>
      </c>
      <c r="AG69" s="735">
        <f>IF(NFI_Expiration=1,IF($A69&lt;VLOOKUP(O$5,NFI,5,0),1,0)*Data_NFI_t[[#This Row],[Tarpaulin]],0)</f>
        <v>267</v>
      </c>
      <c r="AH69" s="735">
        <f>IF(NFI_Expiration=1,IF($A69&lt;VLOOKUP(P$5,NFI,5,0),1,0)*Data_NFI_t[[#This Row],[Blanket]],0)</f>
        <v>0</v>
      </c>
      <c r="AI69" s="735">
        <f>IF(NFI_Expiration=1,IF($A69&lt;VLOOKUP(Q$5,NFI,5,0),1,0)*Data_NFI_t[[#This Row],[Kitchen Set]],0)</f>
        <v>267</v>
      </c>
      <c r="AJ69" s="735">
        <f>IF(NFI_Expiration=1,IF($A69&lt;VLOOKUP(R$5,NFI,5,0),1,0)*Data_NFI_t[[#This Row],[Complementary Kit]],0)</f>
        <v>0</v>
      </c>
      <c r="AK69" s="735">
        <f>IF(NFI_Expiration=1,IF($A69&lt;VLOOKUP(S$5,NFI,5,0),1,0)*Data_NFI_t[[#This Row],[Plastic Bucket]],0)</f>
        <v>0</v>
      </c>
      <c r="AL69" s="734">
        <f>IF(NFI_Expiration=1,IF($A69&lt;VLOOKUP(T$5,NFI,5,0),1,0)*Data_NFI_t[[#This Row],[Jerry Can]],0)</f>
        <v>267</v>
      </c>
      <c r="AM69" s="734">
        <f>IF(NFI_Expiration=1,IF($A69&lt;VLOOKUP(U$5,NFI,5,0),1,0)*Data_NFI_t[[#This Row],[Plastic Mat]],0)</f>
        <v>801</v>
      </c>
      <c r="AN69" s="734">
        <f>IF(NFI_Expiration=1,IF($A69&lt;VLOOKUP(V$5,NFI,5,0),1,0)*Data_NFI_t[[#This Row],[Adult Clothes]],0)</f>
        <v>0</v>
      </c>
      <c r="AO69" s="734">
        <f>IF(NFI_Expiration=1,IF($A69&lt;VLOOKUP(W$5,NFI,5,0),1,0)*Data_NFI_t[[#This Row],[Children Clothes]],0)</f>
        <v>0</v>
      </c>
      <c r="AP69" s="734">
        <f>IF(NFI_Expiration=1,IF($A69&lt;VLOOKUP(X$5,NFI,5,0),1,0)*Data_NFI_t[[#This Row],[Sewing Kit]],0)</f>
        <v>0</v>
      </c>
      <c r="AQ69" s="734">
        <f>IF(NFI_Expiration=1,IF($A69&lt;VLOOKUP(X$5,NFI,5,0),1,0)*Data_NFI_t[[#This Row],[Solar Lantern]],0)</f>
        <v>0</v>
      </c>
      <c r="AR69" s="105" t="str">
        <f ca="1">IFERROR(OFFSET(Camp_List[P_Code],MATCH(Data_NFI_t[[#This Row],[Camp Name]],Camp_List[Camp Name],0)-1,0,1,1),"")</f>
        <v>MMR012CMP098</v>
      </c>
      <c r="AS69" s="421" t="str">
        <f ca="1">IFERROR(OFFSET(Camp_List[Status],MATCH(Data_NFI_t[[#This Row],[Camp Name]],Camp_List[Camp Name],0)-1,0,1,1),"")</f>
        <v>Open</v>
      </c>
      <c r="AT69" s="749" t="s">
        <v>1056</v>
      </c>
      <c r="AW69" s="772"/>
    </row>
    <row r="70" spans="1:49" s="770" customFormat="1" ht="18.75" customHeight="1" x14ac:dyDescent="0.25">
      <c r="A70" s="736">
        <f t="shared" ref="A70:A133" si="1">IF(ISBLANK(C70),"",(Report_Date-C70)/30)</f>
        <v>9.1</v>
      </c>
      <c r="B70" s="737">
        <f>YEAR(Data_NFI_t[[#This Row],[Distribution Date]])</f>
        <v>2017</v>
      </c>
      <c r="C70" s="1013">
        <v>42917</v>
      </c>
      <c r="D70" s="733" t="s">
        <v>1044</v>
      </c>
      <c r="E70" s="733" t="s">
        <v>1044</v>
      </c>
      <c r="F70" s="733" t="s">
        <v>7</v>
      </c>
      <c r="G70" s="738" t="s">
        <v>17</v>
      </c>
      <c r="H70" s="738" t="s">
        <v>586</v>
      </c>
      <c r="I70" s="739"/>
      <c r="J70" s="830">
        <v>2717</v>
      </c>
      <c r="K70" s="830">
        <v>13793</v>
      </c>
      <c r="L70" s="740"/>
      <c r="M70" s="740">
        <v>2717</v>
      </c>
      <c r="N70" s="741"/>
      <c r="O70" s="741"/>
      <c r="P70" s="741"/>
      <c r="Q70" s="741"/>
      <c r="R70" s="741"/>
      <c r="S70" s="741"/>
      <c r="T70" s="742"/>
      <c r="U70" s="741"/>
      <c r="V70" s="741"/>
      <c r="W70" s="741"/>
      <c r="X70" s="741"/>
      <c r="Y70" s="741"/>
      <c r="Z70" s="741"/>
      <c r="AA70" s="741"/>
      <c r="AB70" s="741"/>
      <c r="AC70" s="734">
        <f>IF(NFI_Expiration=1,IF($A70&lt;VLOOKUP(I$5,NFI,5,0),1,0)*Data_NFI_t[[#This Row],[Hygiene Kit]],0)</f>
        <v>0</v>
      </c>
      <c r="AD70" s="734">
        <f>IF(NFI_Expiration=1,IF($A70&lt;VLOOKUP(L$5,NFI,5,0),1,0)*Data_NFI_t[[#This Row],[NFI Core Kit]],0)</f>
        <v>0</v>
      </c>
      <c r="AE70" s="735">
        <f>IF(NFI_Expiration=1,IF($A70&lt;VLOOKUP(M$5,NFI,5,0),1,0)*Data_NFI_t[[#This Row],[Sanitary Kit]],0)</f>
        <v>2717</v>
      </c>
      <c r="AF70" s="735">
        <f>IF(NFI_Expiration=1,IF($A70&lt;VLOOKUP(N$5,NFI,5,0),1,0)*Data_NFI_t[[#This Row],[Mosquito net]],0)</f>
        <v>0</v>
      </c>
      <c r="AG70" s="735">
        <f>IF(NFI_Expiration=1,IF($A70&lt;VLOOKUP(O$5,NFI,5,0),1,0)*Data_NFI_t[[#This Row],[Tarpaulin]],0)</f>
        <v>0</v>
      </c>
      <c r="AH70" s="735">
        <f>IF(NFI_Expiration=1,IF($A70&lt;VLOOKUP(P$5,NFI,5,0),1,0)*Data_NFI_t[[#This Row],[Blanket]],0)</f>
        <v>0</v>
      </c>
      <c r="AI70" s="735">
        <f>IF(NFI_Expiration=1,IF($A70&lt;VLOOKUP(Q$5,NFI,5,0),1,0)*Data_NFI_t[[#This Row],[Kitchen Set]],0)</f>
        <v>0</v>
      </c>
      <c r="AJ70" s="735">
        <f>IF(NFI_Expiration=1,IF($A70&lt;VLOOKUP(R$5,NFI,5,0),1,0)*Data_NFI_t[[#This Row],[Complementary Kit]],0)</f>
        <v>0</v>
      </c>
      <c r="AK70" s="735">
        <f>IF(NFI_Expiration=1,IF($A70&lt;VLOOKUP(S$5,NFI,5,0),1,0)*Data_NFI_t[[#This Row],[Plastic Bucket]],0)</f>
        <v>0</v>
      </c>
      <c r="AL70" s="734">
        <f>IF(NFI_Expiration=1,IF($A70&lt;VLOOKUP(T$5,NFI,5,0),1,0)*Data_NFI_t[[#This Row],[Jerry Can]],0)</f>
        <v>0</v>
      </c>
      <c r="AM70" s="734">
        <f>IF(NFI_Expiration=1,IF($A70&lt;VLOOKUP(U$5,NFI,5,0),1,0)*Data_NFI_t[[#This Row],[Plastic Mat]],0)</f>
        <v>0</v>
      </c>
      <c r="AN70" s="734">
        <f>IF(NFI_Expiration=1,IF($A70&lt;VLOOKUP(V$5,NFI,5,0),1,0)*Data_NFI_t[[#This Row],[Adult Clothes]],0)</f>
        <v>0</v>
      </c>
      <c r="AO70" s="734">
        <f>IF(NFI_Expiration=1,IF($A70&lt;VLOOKUP(W$5,NFI,5,0),1,0)*Data_NFI_t[[#This Row],[Children Clothes]],0)</f>
        <v>0</v>
      </c>
      <c r="AP70" s="734">
        <f>IF(NFI_Expiration=1,IF($A70&lt;VLOOKUP(X$5,NFI,5,0),1,0)*Data_NFI_t[[#This Row],[Sewing Kit]],0)</f>
        <v>0</v>
      </c>
      <c r="AQ70" s="734">
        <f>IF(NFI_Expiration=1,IF($A70&lt;VLOOKUP(X$5,NFI,5,0),1,0)*Data_NFI_t[[#This Row],[Solar Lantern]],0)</f>
        <v>0</v>
      </c>
      <c r="AR70" s="105" t="str">
        <f ca="1">IFERROR(OFFSET(Camp_List[P_Code],MATCH(Data_NFI_t[[#This Row],[Camp Name]],Camp_List[Camp Name],0)-1,0,1,1),"")</f>
        <v>MMR012CMP115</v>
      </c>
      <c r="AS70" s="421" t="str">
        <f ca="1">IFERROR(OFFSET(Camp_List[Status],MATCH(Data_NFI_t[[#This Row],[Camp Name]],Camp_List[Camp Name],0)-1,0,1,1),"")</f>
        <v>Open</v>
      </c>
      <c r="AT70" s="105"/>
      <c r="AW70" s="772"/>
    </row>
    <row r="71" spans="1:49" s="770" customFormat="1" ht="18.75" customHeight="1" x14ac:dyDescent="0.25">
      <c r="A71" s="736">
        <f t="shared" si="1"/>
        <v>9.1</v>
      </c>
      <c r="B71" s="737">
        <f>YEAR(Data_NFI_t[[#This Row],[Distribution Date]])</f>
        <v>2017</v>
      </c>
      <c r="C71" s="1013">
        <v>42917</v>
      </c>
      <c r="D71" s="733" t="s">
        <v>1044</v>
      </c>
      <c r="E71" s="733" t="s">
        <v>1044</v>
      </c>
      <c r="F71" s="733" t="s">
        <v>7</v>
      </c>
      <c r="G71" s="738" t="s">
        <v>17</v>
      </c>
      <c r="H71" s="738" t="s">
        <v>580</v>
      </c>
      <c r="I71" s="739"/>
      <c r="J71" s="830">
        <v>656</v>
      </c>
      <c r="K71" s="830">
        <v>3492</v>
      </c>
      <c r="L71" s="740"/>
      <c r="M71" s="740">
        <v>656</v>
      </c>
      <c r="N71" s="741"/>
      <c r="O71" s="741"/>
      <c r="P71" s="741"/>
      <c r="Q71" s="741"/>
      <c r="R71" s="741"/>
      <c r="S71" s="741"/>
      <c r="T71" s="742"/>
      <c r="U71" s="741"/>
      <c r="V71" s="741"/>
      <c r="W71" s="741"/>
      <c r="X71" s="741"/>
      <c r="Y71" s="741"/>
      <c r="Z71" s="741"/>
      <c r="AA71" s="741"/>
      <c r="AB71" s="741"/>
      <c r="AC71" s="734">
        <f>IF(NFI_Expiration=1,IF($A71&lt;VLOOKUP(I$5,NFI,5,0),1,0)*Data_NFI_t[[#This Row],[Hygiene Kit]],0)</f>
        <v>0</v>
      </c>
      <c r="AD71" s="734">
        <f>IF(NFI_Expiration=1,IF($A71&lt;VLOOKUP(L$5,NFI,5,0),1,0)*Data_NFI_t[[#This Row],[NFI Core Kit]],0)</f>
        <v>0</v>
      </c>
      <c r="AE71" s="735">
        <f>IF(NFI_Expiration=1,IF($A71&lt;VLOOKUP(M$5,NFI,5,0),1,0)*Data_NFI_t[[#This Row],[Sanitary Kit]],0)</f>
        <v>656</v>
      </c>
      <c r="AF71" s="735">
        <f>IF(NFI_Expiration=1,IF($A71&lt;VLOOKUP(N$5,NFI,5,0),1,0)*Data_NFI_t[[#This Row],[Mosquito net]],0)</f>
        <v>0</v>
      </c>
      <c r="AG71" s="735">
        <f>IF(NFI_Expiration=1,IF($A71&lt;VLOOKUP(O$5,NFI,5,0),1,0)*Data_NFI_t[[#This Row],[Tarpaulin]],0)</f>
        <v>0</v>
      </c>
      <c r="AH71" s="735">
        <f>IF(NFI_Expiration=1,IF($A71&lt;VLOOKUP(P$5,NFI,5,0),1,0)*Data_NFI_t[[#This Row],[Blanket]],0)</f>
        <v>0</v>
      </c>
      <c r="AI71" s="735">
        <f>IF(NFI_Expiration=1,IF($A71&lt;VLOOKUP(Q$5,NFI,5,0),1,0)*Data_NFI_t[[#This Row],[Kitchen Set]],0)</f>
        <v>0</v>
      </c>
      <c r="AJ71" s="735">
        <f>IF(NFI_Expiration=1,IF($A71&lt;VLOOKUP(R$5,NFI,5,0),1,0)*Data_NFI_t[[#This Row],[Complementary Kit]],0)</f>
        <v>0</v>
      </c>
      <c r="AK71" s="735">
        <f>IF(NFI_Expiration=1,IF($A71&lt;VLOOKUP(S$5,NFI,5,0),1,0)*Data_NFI_t[[#This Row],[Plastic Bucket]],0)</f>
        <v>0</v>
      </c>
      <c r="AL71" s="734">
        <f>IF(NFI_Expiration=1,IF($A71&lt;VLOOKUP(T$5,NFI,5,0),1,0)*Data_NFI_t[[#This Row],[Jerry Can]],0)</f>
        <v>0</v>
      </c>
      <c r="AM71" s="734">
        <f>IF(NFI_Expiration=1,IF($A71&lt;VLOOKUP(U$5,NFI,5,0),1,0)*Data_NFI_t[[#This Row],[Plastic Mat]],0)</f>
        <v>0</v>
      </c>
      <c r="AN71" s="734">
        <f>IF(NFI_Expiration=1,IF($A71&lt;VLOOKUP(V$5,NFI,5,0),1,0)*Data_NFI_t[[#This Row],[Adult Clothes]],0)</f>
        <v>0</v>
      </c>
      <c r="AO71" s="734">
        <f>IF(NFI_Expiration=1,IF($A71&lt;VLOOKUP(W$5,NFI,5,0),1,0)*Data_NFI_t[[#This Row],[Children Clothes]],0)</f>
        <v>0</v>
      </c>
      <c r="AP71" s="734">
        <f>IF(NFI_Expiration=1,IF($A71&lt;VLOOKUP(X$5,NFI,5,0),1,0)*Data_NFI_t[[#This Row],[Sewing Kit]],0)</f>
        <v>0</v>
      </c>
      <c r="AQ71" s="734">
        <f>IF(NFI_Expiration=1,IF($A71&lt;VLOOKUP(X$5,NFI,5,0),1,0)*Data_NFI_t[[#This Row],[Solar Lantern]],0)</f>
        <v>0</v>
      </c>
      <c r="AR71" s="105" t="str">
        <f ca="1">IFERROR(OFFSET(Camp_List[P_Code],MATCH(Data_NFI_t[[#This Row],[Camp Name]],Camp_List[Camp Name],0)-1,0,1,1),"")</f>
        <v>MMR012CMP092</v>
      </c>
      <c r="AS71" s="421" t="str">
        <f ca="1">IFERROR(OFFSET(Camp_List[Status],MATCH(Data_NFI_t[[#This Row],[Camp Name]],Camp_List[Camp Name],0)-1,0,1,1),"")</f>
        <v>Open</v>
      </c>
      <c r="AT71" s="105"/>
      <c r="AW71" s="772"/>
    </row>
    <row r="72" spans="1:49" s="770" customFormat="1" ht="18.75" customHeight="1" x14ac:dyDescent="0.25">
      <c r="A72" s="736">
        <f t="shared" si="1"/>
        <v>9.1</v>
      </c>
      <c r="B72" s="737">
        <f>YEAR(Data_NFI_t[[#This Row],[Distribution Date]])</f>
        <v>2017</v>
      </c>
      <c r="C72" s="1013">
        <v>42917</v>
      </c>
      <c r="D72" s="733" t="s">
        <v>1044</v>
      </c>
      <c r="E72" s="733" t="s">
        <v>1044</v>
      </c>
      <c r="F72" s="733" t="s">
        <v>7</v>
      </c>
      <c r="G72" s="738" t="s">
        <v>17</v>
      </c>
      <c r="H72" s="738" t="s">
        <v>59</v>
      </c>
      <c r="I72" s="739"/>
      <c r="J72" s="1017">
        <v>397</v>
      </c>
      <c r="K72" s="830">
        <v>2196</v>
      </c>
      <c r="L72" s="740"/>
      <c r="M72" s="740">
        <v>397</v>
      </c>
      <c r="N72" s="741"/>
      <c r="O72" s="741"/>
      <c r="P72" s="741"/>
      <c r="Q72" s="741"/>
      <c r="R72" s="741"/>
      <c r="S72" s="741"/>
      <c r="T72" s="742"/>
      <c r="U72" s="741"/>
      <c r="V72" s="741"/>
      <c r="W72" s="741"/>
      <c r="X72" s="741"/>
      <c r="Y72" s="741"/>
      <c r="Z72" s="741"/>
      <c r="AA72" s="741"/>
      <c r="AB72" s="741"/>
      <c r="AC72" s="734">
        <f>IF(NFI_Expiration=1,IF($A72&lt;VLOOKUP(I$5,NFI,5,0),1,0)*Data_NFI_t[[#This Row],[Hygiene Kit]],0)</f>
        <v>0</v>
      </c>
      <c r="AD72" s="734">
        <f>IF(NFI_Expiration=1,IF($A72&lt;VLOOKUP(L$5,NFI,5,0),1,0)*Data_NFI_t[[#This Row],[NFI Core Kit]],0)</f>
        <v>0</v>
      </c>
      <c r="AE72" s="735">
        <f>IF(NFI_Expiration=1,IF($A72&lt;VLOOKUP(M$5,NFI,5,0),1,0)*Data_NFI_t[[#This Row],[Sanitary Kit]],0)</f>
        <v>397</v>
      </c>
      <c r="AF72" s="735">
        <f>IF(NFI_Expiration=1,IF($A72&lt;VLOOKUP(N$5,NFI,5,0),1,0)*Data_NFI_t[[#This Row],[Mosquito net]],0)</f>
        <v>0</v>
      </c>
      <c r="AG72" s="735">
        <f>IF(NFI_Expiration=1,IF($A72&lt;VLOOKUP(O$5,NFI,5,0),1,0)*Data_NFI_t[[#This Row],[Tarpaulin]],0)</f>
        <v>0</v>
      </c>
      <c r="AH72" s="735">
        <f>IF(NFI_Expiration=1,IF($A72&lt;VLOOKUP(P$5,NFI,5,0),1,0)*Data_NFI_t[[#This Row],[Blanket]],0)</f>
        <v>0</v>
      </c>
      <c r="AI72" s="735">
        <f>IF(NFI_Expiration=1,IF($A72&lt;VLOOKUP(Q$5,NFI,5,0),1,0)*Data_NFI_t[[#This Row],[Kitchen Set]],0)</f>
        <v>0</v>
      </c>
      <c r="AJ72" s="735">
        <f>IF(NFI_Expiration=1,IF($A72&lt;VLOOKUP(R$5,NFI,5,0),1,0)*Data_NFI_t[[#This Row],[Complementary Kit]],0)</f>
        <v>0</v>
      </c>
      <c r="AK72" s="735">
        <f>IF(NFI_Expiration=1,IF($A72&lt;VLOOKUP(S$5,NFI,5,0),1,0)*Data_NFI_t[[#This Row],[Plastic Bucket]],0)</f>
        <v>0</v>
      </c>
      <c r="AL72" s="734">
        <f>IF(NFI_Expiration=1,IF($A72&lt;VLOOKUP(T$5,NFI,5,0),1,0)*Data_NFI_t[[#This Row],[Jerry Can]],0)</f>
        <v>0</v>
      </c>
      <c r="AM72" s="734">
        <f>IF(NFI_Expiration=1,IF($A72&lt;VLOOKUP(U$5,NFI,5,0),1,0)*Data_NFI_t[[#This Row],[Plastic Mat]],0)</f>
        <v>0</v>
      </c>
      <c r="AN72" s="734">
        <f>IF(NFI_Expiration=1,IF($A72&lt;VLOOKUP(V$5,NFI,5,0),1,0)*Data_NFI_t[[#This Row],[Adult Clothes]],0)</f>
        <v>0</v>
      </c>
      <c r="AO72" s="734">
        <f>IF(NFI_Expiration=1,IF($A72&lt;VLOOKUP(W$5,NFI,5,0),1,0)*Data_NFI_t[[#This Row],[Children Clothes]],0)</f>
        <v>0</v>
      </c>
      <c r="AP72" s="734">
        <f>IF(NFI_Expiration=1,IF($A72&lt;VLOOKUP(X$5,NFI,5,0),1,0)*Data_NFI_t[[#This Row],[Sewing Kit]],0)</f>
        <v>0</v>
      </c>
      <c r="AQ72" s="734">
        <f>IF(NFI_Expiration=1,IF($A72&lt;VLOOKUP(X$5,NFI,5,0),1,0)*Data_NFI_t[[#This Row],[Solar Lantern]],0)</f>
        <v>0</v>
      </c>
      <c r="AR72" s="105" t="str">
        <f ca="1">IFERROR(OFFSET(Camp_List[P_Code],MATCH(Data_NFI_t[[#This Row],[Camp Name]],Camp_List[Camp Name],0)-1,0,1,1),"")</f>
        <v>MMR012CMP039</v>
      </c>
      <c r="AS72" s="421" t="str">
        <f ca="1">IFERROR(OFFSET(Camp_List[Status],MATCH(Data_NFI_t[[#This Row],[Camp Name]],Camp_List[Camp Name],0)-1,0,1,1),"")</f>
        <v>Open</v>
      </c>
      <c r="AT72" s="105"/>
      <c r="AW72" s="772"/>
    </row>
    <row r="73" spans="1:49" s="770" customFormat="1" ht="18.75" customHeight="1" x14ac:dyDescent="0.25">
      <c r="A73" s="736">
        <f t="shared" si="1"/>
        <v>9.1</v>
      </c>
      <c r="B73" s="737">
        <f>YEAR(Data_NFI_t[[#This Row],[Distribution Date]])</f>
        <v>2017</v>
      </c>
      <c r="C73" s="1013">
        <v>42917</v>
      </c>
      <c r="D73" s="958" t="s">
        <v>273</v>
      </c>
      <c r="E73" s="958" t="s">
        <v>273</v>
      </c>
      <c r="F73" s="958" t="s">
        <v>7</v>
      </c>
      <c r="G73" s="738" t="s">
        <v>17</v>
      </c>
      <c r="H73" s="738" t="s">
        <v>586</v>
      </c>
      <c r="I73" s="739"/>
      <c r="J73" s="831">
        <v>1825</v>
      </c>
      <c r="K73" s="831">
        <v>10038</v>
      </c>
      <c r="L73" s="740"/>
      <c r="M73" s="740"/>
      <c r="N73" s="741"/>
      <c r="O73" s="741"/>
      <c r="P73" s="741"/>
      <c r="Q73" s="741"/>
      <c r="R73" s="741"/>
      <c r="S73" s="741"/>
      <c r="T73" s="742"/>
      <c r="U73" s="741"/>
      <c r="V73" s="741"/>
      <c r="W73" s="741"/>
      <c r="X73" s="741"/>
      <c r="Y73" s="741"/>
      <c r="Z73" s="741"/>
      <c r="AA73" s="741"/>
      <c r="AB73" s="741">
        <v>2770</v>
      </c>
      <c r="AC73" s="734">
        <f>IF(NFI_Expiration=1,IF($A73&lt;VLOOKUP(I$5,NFI,5,0),1,0)*Data_NFI_t[[#This Row],[Hygiene Kit]],0)</f>
        <v>0</v>
      </c>
      <c r="AD73" s="734">
        <f>IF(NFI_Expiration=1,IF($A73&lt;VLOOKUP(L$5,NFI,5,0),1,0)*Data_NFI_t[[#This Row],[NFI Core Kit]],0)</f>
        <v>0</v>
      </c>
      <c r="AE73" s="735">
        <f>IF(NFI_Expiration=1,IF($A73&lt;VLOOKUP(M$5,NFI,5,0),1,0)*Data_NFI_t[[#This Row],[Sanitary Kit]],0)</f>
        <v>0</v>
      </c>
      <c r="AF73" s="735">
        <f>IF(NFI_Expiration=1,IF($A73&lt;VLOOKUP(N$5,NFI,5,0),1,0)*Data_NFI_t[[#This Row],[Mosquito net]],0)</f>
        <v>0</v>
      </c>
      <c r="AG73" s="735">
        <f>IF(NFI_Expiration=1,IF($A73&lt;VLOOKUP(O$5,NFI,5,0),1,0)*Data_NFI_t[[#This Row],[Tarpaulin]],0)</f>
        <v>0</v>
      </c>
      <c r="AH73" s="735">
        <f>IF(NFI_Expiration=1,IF($A73&lt;VLOOKUP(P$5,NFI,5,0),1,0)*Data_NFI_t[[#This Row],[Blanket]],0)</f>
        <v>0</v>
      </c>
      <c r="AI73" s="735">
        <f>IF(NFI_Expiration=1,IF($A73&lt;VLOOKUP(Q$5,NFI,5,0),1,0)*Data_NFI_t[[#This Row],[Kitchen Set]],0)</f>
        <v>0</v>
      </c>
      <c r="AJ73" s="735">
        <f>IF(NFI_Expiration=1,IF($A73&lt;VLOOKUP(R$5,NFI,5,0),1,0)*Data_NFI_t[[#This Row],[Complementary Kit]],0)</f>
        <v>0</v>
      </c>
      <c r="AK73" s="735">
        <f>IF(NFI_Expiration=1,IF($A73&lt;VLOOKUP(S$5,NFI,5,0),1,0)*Data_NFI_t[[#This Row],[Plastic Bucket]],0)</f>
        <v>0</v>
      </c>
      <c r="AL73" s="734">
        <f>IF(NFI_Expiration=1,IF($A73&lt;VLOOKUP(T$5,NFI,5,0),1,0)*Data_NFI_t[[#This Row],[Jerry Can]],0)</f>
        <v>0</v>
      </c>
      <c r="AM73" s="734">
        <f>IF(NFI_Expiration=1,IF($A73&lt;VLOOKUP(U$5,NFI,5,0),1,0)*Data_NFI_t[[#This Row],[Plastic Mat]],0)</f>
        <v>0</v>
      </c>
      <c r="AN73" s="734">
        <f>IF(NFI_Expiration=1,IF($A73&lt;VLOOKUP(V$5,NFI,5,0),1,0)*Data_NFI_t[[#This Row],[Adult Clothes]],0)</f>
        <v>0</v>
      </c>
      <c r="AO73" s="734">
        <f>IF(NFI_Expiration=1,IF($A73&lt;VLOOKUP(W$5,NFI,5,0),1,0)*Data_NFI_t[[#This Row],[Children Clothes]],0)</f>
        <v>0</v>
      </c>
      <c r="AP73" s="734">
        <f>IF(NFI_Expiration=1,IF($A73&lt;VLOOKUP(X$5,NFI,5,0),1,0)*Data_NFI_t[[#This Row],[Sewing Kit]],0)</f>
        <v>0</v>
      </c>
      <c r="AQ73" s="734">
        <f>IF(NFI_Expiration=1,IF($A73&lt;VLOOKUP(X$5,NFI,5,0),1,0)*Data_NFI_t[[#This Row],[Solar Lantern]],0)</f>
        <v>0</v>
      </c>
      <c r="AR73" s="105" t="str">
        <f ca="1">IFERROR(OFFSET(Camp_List[P_Code],MATCH(Data_NFI_t[[#This Row],[Camp Name]],Camp_List[Camp Name],0)-1,0,1,1),"")</f>
        <v>MMR012CMP115</v>
      </c>
      <c r="AS73" s="421" t="str">
        <f ca="1">IFERROR(OFFSET(Camp_List[Status],MATCH(Data_NFI_t[[#This Row],[Camp Name]],Camp_List[Camp Name],0)-1,0,1,1),"")</f>
        <v>Open</v>
      </c>
      <c r="AT73" s="105"/>
      <c r="AW73" s="772"/>
    </row>
    <row r="74" spans="1:49" s="770" customFormat="1" ht="18.75" customHeight="1" x14ac:dyDescent="0.25">
      <c r="A74" s="736">
        <f t="shared" si="1"/>
        <v>9.1</v>
      </c>
      <c r="B74" s="737">
        <f>YEAR(Data_NFI_t[[#This Row],[Distribution Date]])</f>
        <v>2017</v>
      </c>
      <c r="C74" s="1013">
        <v>42917</v>
      </c>
      <c r="D74" s="958" t="s">
        <v>273</v>
      </c>
      <c r="E74" s="958" t="s">
        <v>273</v>
      </c>
      <c r="F74" s="958" t="s">
        <v>7</v>
      </c>
      <c r="G74" s="738" t="s">
        <v>17</v>
      </c>
      <c r="H74" s="738" t="s">
        <v>61</v>
      </c>
      <c r="I74" s="739"/>
      <c r="J74" s="831">
        <v>319</v>
      </c>
      <c r="K74" s="831">
        <v>1755</v>
      </c>
      <c r="L74" s="740"/>
      <c r="M74" s="740"/>
      <c r="N74" s="741"/>
      <c r="O74" s="741"/>
      <c r="P74" s="741"/>
      <c r="Q74" s="741"/>
      <c r="R74" s="741"/>
      <c r="S74" s="741"/>
      <c r="T74" s="742"/>
      <c r="U74" s="741"/>
      <c r="V74" s="741"/>
      <c r="W74" s="741"/>
      <c r="X74" s="741"/>
      <c r="Y74" s="741"/>
      <c r="Z74" s="741"/>
      <c r="AA74" s="741"/>
      <c r="AB74" s="741">
        <v>957</v>
      </c>
      <c r="AC74" s="734">
        <f>IF(NFI_Expiration=1,IF($A74&lt;VLOOKUP(I$5,NFI,5,0),1,0)*Data_NFI_t[[#This Row],[Hygiene Kit]],0)</f>
        <v>0</v>
      </c>
      <c r="AD74" s="734">
        <f>IF(NFI_Expiration=1,IF($A74&lt;VLOOKUP(L$5,NFI,5,0),1,0)*Data_NFI_t[[#This Row],[NFI Core Kit]],0)</f>
        <v>0</v>
      </c>
      <c r="AE74" s="735">
        <f>IF(NFI_Expiration=1,IF($A74&lt;VLOOKUP(M$5,NFI,5,0),1,0)*Data_NFI_t[[#This Row],[Sanitary Kit]],0)</f>
        <v>0</v>
      </c>
      <c r="AF74" s="735">
        <f>IF(NFI_Expiration=1,IF($A74&lt;VLOOKUP(N$5,NFI,5,0),1,0)*Data_NFI_t[[#This Row],[Mosquito net]],0)</f>
        <v>0</v>
      </c>
      <c r="AG74" s="735">
        <f>IF(NFI_Expiration=1,IF($A74&lt;VLOOKUP(O$5,NFI,5,0),1,0)*Data_NFI_t[[#This Row],[Tarpaulin]],0)</f>
        <v>0</v>
      </c>
      <c r="AH74" s="735">
        <f>IF(NFI_Expiration=1,IF($A74&lt;VLOOKUP(P$5,NFI,5,0),1,0)*Data_NFI_t[[#This Row],[Blanket]],0)</f>
        <v>0</v>
      </c>
      <c r="AI74" s="735">
        <f>IF(NFI_Expiration=1,IF($A74&lt;VLOOKUP(Q$5,NFI,5,0),1,0)*Data_NFI_t[[#This Row],[Kitchen Set]],0)</f>
        <v>0</v>
      </c>
      <c r="AJ74" s="735">
        <f>IF(NFI_Expiration=1,IF($A74&lt;VLOOKUP(R$5,NFI,5,0),1,0)*Data_NFI_t[[#This Row],[Complementary Kit]],0)</f>
        <v>0</v>
      </c>
      <c r="AK74" s="735">
        <f>IF(NFI_Expiration=1,IF($A74&lt;VLOOKUP(S$5,NFI,5,0),1,0)*Data_NFI_t[[#This Row],[Plastic Bucket]],0)</f>
        <v>0</v>
      </c>
      <c r="AL74" s="734">
        <f>IF(NFI_Expiration=1,IF($A74&lt;VLOOKUP(T$5,NFI,5,0),1,0)*Data_NFI_t[[#This Row],[Jerry Can]],0)</f>
        <v>0</v>
      </c>
      <c r="AM74" s="734">
        <f>IF(NFI_Expiration=1,IF($A74&lt;VLOOKUP(U$5,NFI,5,0),1,0)*Data_NFI_t[[#This Row],[Plastic Mat]],0)</f>
        <v>0</v>
      </c>
      <c r="AN74" s="734">
        <f>IF(NFI_Expiration=1,IF($A74&lt;VLOOKUP(V$5,NFI,5,0),1,0)*Data_NFI_t[[#This Row],[Adult Clothes]],0)</f>
        <v>0</v>
      </c>
      <c r="AO74" s="734">
        <f>IF(NFI_Expiration=1,IF($A74&lt;VLOOKUP(W$5,NFI,5,0),1,0)*Data_NFI_t[[#This Row],[Children Clothes]],0)</f>
        <v>0</v>
      </c>
      <c r="AP74" s="734">
        <f>IF(NFI_Expiration=1,IF($A74&lt;VLOOKUP(X$5,NFI,5,0),1,0)*Data_NFI_t[[#This Row],[Sewing Kit]],0)</f>
        <v>0</v>
      </c>
      <c r="AQ74" s="734">
        <f>IF(NFI_Expiration=1,IF($A74&lt;VLOOKUP(X$5,NFI,5,0),1,0)*Data_NFI_t[[#This Row],[Solar Lantern]],0)</f>
        <v>0</v>
      </c>
      <c r="AR74" s="105" t="str">
        <f ca="1">IFERROR(OFFSET(Camp_List[P_Code],MATCH(Data_NFI_t[[#This Row],[Camp Name]],Camp_List[Camp Name],0)-1,0,1,1),"")</f>
        <v>MMR012CMP041</v>
      </c>
      <c r="AS74" s="421" t="str">
        <f ca="1">IFERROR(OFFSET(Camp_List[Status],MATCH(Data_NFI_t[[#This Row],[Camp Name]],Camp_List[Camp Name],0)-1,0,1,1),"")</f>
        <v>Open</v>
      </c>
      <c r="AT74" s="105"/>
      <c r="AW74" s="772"/>
    </row>
    <row r="75" spans="1:49" s="770" customFormat="1" ht="18.75" customHeight="1" x14ac:dyDescent="0.25">
      <c r="A75" s="736">
        <f t="shared" si="1"/>
        <v>9.1</v>
      </c>
      <c r="B75" s="737">
        <f>YEAR(Data_NFI_t[[#This Row],[Distribution Date]])</f>
        <v>2017</v>
      </c>
      <c r="C75" s="1013">
        <v>42917</v>
      </c>
      <c r="D75" s="958" t="s">
        <v>273</v>
      </c>
      <c r="E75" s="958" t="s">
        <v>273</v>
      </c>
      <c r="F75" s="958" t="s">
        <v>7</v>
      </c>
      <c r="G75" s="738" t="s">
        <v>17</v>
      </c>
      <c r="H75" s="738" t="s">
        <v>65</v>
      </c>
      <c r="I75" s="739"/>
      <c r="J75" s="831">
        <v>164</v>
      </c>
      <c r="K75" s="831">
        <v>902</v>
      </c>
      <c r="L75" s="740"/>
      <c r="M75" s="740"/>
      <c r="N75" s="741"/>
      <c r="O75" s="741"/>
      <c r="P75" s="741"/>
      <c r="Q75" s="741"/>
      <c r="R75" s="741"/>
      <c r="S75" s="741"/>
      <c r="T75" s="742"/>
      <c r="U75" s="741"/>
      <c r="V75" s="741"/>
      <c r="W75" s="741"/>
      <c r="X75" s="741"/>
      <c r="Y75" s="741"/>
      <c r="Z75" s="741"/>
      <c r="AA75" s="741"/>
      <c r="AB75" s="741">
        <v>492</v>
      </c>
      <c r="AC75" s="734">
        <f>IF(NFI_Expiration=1,IF($A75&lt;VLOOKUP(I$5,NFI,5,0),1,0)*Data_NFI_t[[#This Row],[Hygiene Kit]],0)</f>
        <v>0</v>
      </c>
      <c r="AD75" s="734">
        <f>IF(NFI_Expiration=1,IF($A75&lt;VLOOKUP(L$5,NFI,5,0),1,0)*Data_NFI_t[[#This Row],[NFI Core Kit]],0)</f>
        <v>0</v>
      </c>
      <c r="AE75" s="735">
        <f>IF(NFI_Expiration=1,IF($A75&lt;VLOOKUP(M$5,NFI,5,0),1,0)*Data_NFI_t[[#This Row],[Sanitary Kit]],0)</f>
        <v>0</v>
      </c>
      <c r="AF75" s="735">
        <f>IF(NFI_Expiration=1,IF($A75&lt;VLOOKUP(N$5,NFI,5,0),1,0)*Data_NFI_t[[#This Row],[Mosquito net]],0)</f>
        <v>0</v>
      </c>
      <c r="AG75" s="735">
        <f>IF(NFI_Expiration=1,IF($A75&lt;VLOOKUP(O$5,NFI,5,0),1,0)*Data_NFI_t[[#This Row],[Tarpaulin]],0)</f>
        <v>0</v>
      </c>
      <c r="AH75" s="735">
        <f>IF(NFI_Expiration=1,IF($A75&lt;VLOOKUP(P$5,NFI,5,0),1,0)*Data_NFI_t[[#This Row],[Blanket]],0)</f>
        <v>0</v>
      </c>
      <c r="AI75" s="735">
        <f>IF(NFI_Expiration=1,IF($A75&lt;VLOOKUP(Q$5,NFI,5,0),1,0)*Data_NFI_t[[#This Row],[Kitchen Set]],0)</f>
        <v>0</v>
      </c>
      <c r="AJ75" s="735">
        <f>IF(NFI_Expiration=1,IF($A75&lt;VLOOKUP(R$5,NFI,5,0),1,0)*Data_NFI_t[[#This Row],[Complementary Kit]],0)</f>
        <v>0</v>
      </c>
      <c r="AK75" s="735">
        <f>IF(NFI_Expiration=1,IF($A75&lt;VLOOKUP(S$5,NFI,5,0),1,0)*Data_NFI_t[[#This Row],[Plastic Bucket]],0)</f>
        <v>0</v>
      </c>
      <c r="AL75" s="734">
        <f>IF(NFI_Expiration=1,IF($A75&lt;VLOOKUP(T$5,NFI,5,0),1,0)*Data_NFI_t[[#This Row],[Jerry Can]],0)</f>
        <v>0</v>
      </c>
      <c r="AM75" s="734">
        <f>IF(NFI_Expiration=1,IF($A75&lt;VLOOKUP(U$5,NFI,5,0),1,0)*Data_NFI_t[[#This Row],[Plastic Mat]],0)</f>
        <v>0</v>
      </c>
      <c r="AN75" s="734">
        <f>IF(NFI_Expiration=1,IF($A75&lt;VLOOKUP(V$5,NFI,5,0),1,0)*Data_NFI_t[[#This Row],[Adult Clothes]],0)</f>
        <v>0</v>
      </c>
      <c r="AO75" s="734">
        <f>IF(NFI_Expiration=1,IF($A75&lt;VLOOKUP(W$5,NFI,5,0),1,0)*Data_NFI_t[[#This Row],[Children Clothes]],0)</f>
        <v>0</v>
      </c>
      <c r="AP75" s="734">
        <f>IF(NFI_Expiration=1,IF($A75&lt;VLOOKUP(X$5,NFI,5,0),1,0)*Data_NFI_t[[#This Row],[Sewing Kit]],0)</f>
        <v>0</v>
      </c>
      <c r="AQ75" s="734">
        <f>IF(NFI_Expiration=1,IF($A75&lt;VLOOKUP(X$5,NFI,5,0),1,0)*Data_NFI_t[[#This Row],[Solar Lantern]],0)</f>
        <v>0</v>
      </c>
      <c r="AR75" s="105" t="str">
        <f ca="1">IFERROR(OFFSET(Camp_List[P_Code],MATCH(Data_NFI_t[[#This Row],[Camp Name]],Camp_List[Camp Name],0)-1,0,1,1),"")</f>
        <v>MMR012CMP045</v>
      </c>
      <c r="AS75" s="421" t="str">
        <f ca="1">IFERROR(OFFSET(Camp_List[Status],MATCH(Data_NFI_t[[#This Row],[Camp Name]],Camp_List[Camp Name],0)-1,0,1,1),"")</f>
        <v>Open</v>
      </c>
      <c r="AT75" s="105"/>
      <c r="AW75" s="772"/>
    </row>
    <row r="76" spans="1:49" s="770" customFormat="1" ht="18.75" customHeight="1" x14ac:dyDescent="0.25">
      <c r="A76" s="736">
        <f t="shared" si="1"/>
        <v>9.1</v>
      </c>
      <c r="B76" s="737">
        <f>YEAR(Data_NFI_t[[#This Row],[Distribution Date]])</f>
        <v>2017</v>
      </c>
      <c r="C76" s="1013">
        <v>42917</v>
      </c>
      <c r="D76" s="958" t="s">
        <v>273</v>
      </c>
      <c r="E76" s="958" t="s">
        <v>273</v>
      </c>
      <c r="F76" s="958" t="s">
        <v>7</v>
      </c>
      <c r="G76" s="738" t="s">
        <v>17</v>
      </c>
      <c r="H76" s="738" t="s">
        <v>582</v>
      </c>
      <c r="I76" s="739"/>
      <c r="J76" s="831">
        <v>507</v>
      </c>
      <c r="K76" s="831">
        <v>2779</v>
      </c>
      <c r="L76" s="740"/>
      <c r="M76" s="740"/>
      <c r="N76" s="741"/>
      <c r="O76" s="741"/>
      <c r="P76" s="741"/>
      <c r="Q76" s="741"/>
      <c r="R76" s="741"/>
      <c r="S76" s="741"/>
      <c r="T76" s="742"/>
      <c r="U76" s="741"/>
      <c r="V76" s="741"/>
      <c r="W76" s="741"/>
      <c r="X76" s="741"/>
      <c r="Y76" s="741"/>
      <c r="Z76" s="741"/>
      <c r="AA76" s="741"/>
      <c r="AB76" s="741">
        <v>1521</v>
      </c>
      <c r="AC76" s="734">
        <f>IF(NFI_Expiration=1,IF($A76&lt;VLOOKUP(I$5,NFI,5,0),1,0)*Data_NFI_t[[#This Row],[Hygiene Kit]],0)</f>
        <v>0</v>
      </c>
      <c r="AD76" s="734">
        <f>IF(NFI_Expiration=1,IF($A76&lt;VLOOKUP(L$5,NFI,5,0),1,0)*Data_NFI_t[[#This Row],[NFI Core Kit]],0)</f>
        <v>0</v>
      </c>
      <c r="AE76" s="735">
        <f>IF(NFI_Expiration=1,IF($A76&lt;VLOOKUP(M$5,NFI,5,0),1,0)*Data_NFI_t[[#This Row],[Sanitary Kit]],0)</f>
        <v>0</v>
      </c>
      <c r="AF76" s="735">
        <f>IF(NFI_Expiration=1,IF($A76&lt;VLOOKUP(N$5,NFI,5,0),1,0)*Data_NFI_t[[#This Row],[Mosquito net]],0)</f>
        <v>0</v>
      </c>
      <c r="AG76" s="735">
        <f>IF(NFI_Expiration=1,IF($A76&lt;VLOOKUP(O$5,NFI,5,0),1,0)*Data_NFI_t[[#This Row],[Tarpaulin]],0)</f>
        <v>0</v>
      </c>
      <c r="AH76" s="735">
        <f>IF(NFI_Expiration=1,IF($A76&lt;VLOOKUP(P$5,NFI,5,0),1,0)*Data_NFI_t[[#This Row],[Blanket]],0)</f>
        <v>0</v>
      </c>
      <c r="AI76" s="735">
        <f>IF(NFI_Expiration=1,IF($A76&lt;VLOOKUP(Q$5,NFI,5,0),1,0)*Data_NFI_t[[#This Row],[Kitchen Set]],0)</f>
        <v>0</v>
      </c>
      <c r="AJ76" s="735">
        <f>IF(NFI_Expiration=1,IF($A76&lt;VLOOKUP(R$5,NFI,5,0),1,0)*Data_NFI_t[[#This Row],[Complementary Kit]],0)</f>
        <v>0</v>
      </c>
      <c r="AK76" s="735">
        <f>IF(NFI_Expiration=1,IF($A76&lt;VLOOKUP(S$5,NFI,5,0),1,0)*Data_NFI_t[[#This Row],[Plastic Bucket]],0)</f>
        <v>0</v>
      </c>
      <c r="AL76" s="734">
        <f>IF(NFI_Expiration=1,IF($A76&lt;VLOOKUP(T$5,NFI,5,0),1,0)*Data_NFI_t[[#This Row],[Jerry Can]],0)</f>
        <v>0</v>
      </c>
      <c r="AM76" s="734">
        <f>IF(NFI_Expiration=1,IF($A76&lt;VLOOKUP(U$5,NFI,5,0),1,0)*Data_NFI_t[[#This Row],[Plastic Mat]],0)</f>
        <v>0</v>
      </c>
      <c r="AN76" s="734">
        <f>IF(NFI_Expiration=1,IF($A76&lt;VLOOKUP(V$5,NFI,5,0),1,0)*Data_NFI_t[[#This Row],[Adult Clothes]],0)</f>
        <v>0</v>
      </c>
      <c r="AO76" s="734">
        <f>IF(NFI_Expiration=1,IF($A76&lt;VLOOKUP(W$5,NFI,5,0),1,0)*Data_NFI_t[[#This Row],[Children Clothes]],0)</f>
        <v>0</v>
      </c>
      <c r="AP76" s="734">
        <f>IF(NFI_Expiration=1,IF($A76&lt;VLOOKUP(X$5,NFI,5,0),1,0)*Data_NFI_t[[#This Row],[Sewing Kit]],0)</f>
        <v>0</v>
      </c>
      <c r="AQ76" s="734">
        <f>IF(NFI_Expiration=1,IF($A76&lt;VLOOKUP(X$5,NFI,5,0),1,0)*Data_NFI_t[[#This Row],[Solar Lantern]],0)</f>
        <v>0</v>
      </c>
      <c r="AR76" s="105" t="str">
        <f ca="1">IFERROR(OFFSET(Camp_List[P_Code],MATCH(Data_NFI_t[[#This Row],[Camp Name]],Camp_List[Camp Name],0)-1,0,1,1),"")</f>
        <v>MMR012CMP114</v>
      </c>
      <c r="AS76" s="421" t="str">
        <f ca="1">IFERROR(OFFSET(Camp_List[Status],MATCH(Data_NFI_t[[#This Row],[Camp Name]],Camp_List[Camp Name],0)-1,0,1,1),"")</f>
        <v>Open</v>
      </c>
      <c r="AT76" s="105"/>
      <c r="AW76" s="772"/>
    </row>
    <row r="77" spans="1:49" s="770" customFormat="1" ht="18.75" customHeight="1" x14ac:dyDescent="0.25">
      <c r="A77" s="736">
        <f t="shared" si="1"/>
        <v>9.1</v>
      </c>
      <c r="B77" s="737">
        <f>YEAR(Data_NFI_t[[#This Row],[Distribution Date]])</f>
        <v>2017</v>
      </c>
      <c r="C77" s="1013">
        <v>42917</v>
      </c>
      <c r="D77" s="958" t="s">
        <v>273</v>
      </c>
      <c r="E77" s="958" t="s">
        <v>1128</v>
      </c>
      <c r="F77" s="958" t="s">
        <v>7</v>
      </c>
      <c r="G77" s="738" t="s">
        <v>17</v>
      </c>
      <c r="H77" s="738" t="s">
        <v>581</v>
      </c>
      <c r="I77" s="739"/>
      <c r="J77" s="831">
        <v>347</v>
      </c>
      <c r="K77" s="831">
        <v>1909</v>
      </c>
      <c r="L77" s="740"/>
      <c r="M77" s="740"/>
      <c r="N77" s="741"/>
      <c r="O77" s="741"/>
      <c r="P77" s="741"/>
      <c r="Q77" s="741"/>
      <c r="R77" s="741"/>
      <c r="S77" s="741"/>
      <c r="T77" s="742"/>
      <c r="U77" s="741"/>
      <c r="V77" s="741"/>
      <c r="W77" s="741"/>
      <c r="X77" s="741"/>
      <c r="Y77" s="741"/>
      <c r="Z77" s="741"/>
      <c r="AA77" s="741"/>
      <c r="AB77" s="741">
        <v>1041</v>
      </c>
      <c r="AC77" s="734">
        <f>IF(NFI_Expiration=1,IF($A77&lt;VLOOKUP(I$5,NFI,5,0),1,0)*Data_NFI_t[[#This Row],[Hygiene Kit]],0)</f>
        <v>0</v>
      </c>
      <c r="AD77" s="734">
        <f>IF(NFI_Expiration=1,IF($A77&lt;VLOOKUP(L$5,NFI,5,0),1,0)*Data_NFI_t[[#This Row],[NFI Core Kit]],0)</f>
        <v>0</v>
      </c>
      <c r="AE77" s="735">
        <f>IF(NFI_Expiration=1,IF($A77&lt;VLOOKUP(M$5,NFI,5,0),1,0)*Data_NFI_t[[#This Row],[Sanitary Kit]],0)</f>
        <v>0</v>
      </c>
      <c r="AF77" s="735">
        <f>IF(NFI_Expiration=1,IF($A77&lt;VLOOKUP(N$5,NFI,5,0),1,0)*Data_NFI_t[[#This Row],[Mosquito net]],0)</f>
        <v>0</v>
      </c>
      <c r="AG77" s="735">
        <f>IF(NFI_Expiration=1,IF($A77&lt;VLOOKUP(O$5,NFI,5,0),1,0)*Data_NFI_t[[#This Row],[Tarpaulin]],0)</f>
        <v>0</v>
      </c>
      <c r="AH77" s="735">
        <f>IF(NFI_Expiration=1,IF($A77&lt;VLOOKUP(P$5,NFI,5,0),1,0)*Data_NFI_t[[#This Row],[Blanket]],0)</f>
        <v>0</v>
      </c>
      <c r="AI77" s="735">
        <f>IF(NFI_Expiration=1,IF($A77&lt;VLOOKUP(Q$5,NFI,5,0),1,0)*Data_NFI_t[[#This Row],[Kitchen Set]],0)</f>
        <v>0</v>
      </c>
      <c r="AJ77" s="735">
        <f>IF(NFI_Expiration=1,IF($A77&lt;VLOOKUP(R$5,NFI,5,0),1,0)*Data_NFI_t[[#This Row],[Complementary Kit]],0)</f>
        <v>0</v>
      </c>
      <c r="AK77" s="735">
        <f>IF(NFI_Expiration=1,IF($A77&lt;VLOOKUP(S$5,NFI,5,0),1,0)*Data_NFI_t[[#This Row],[Plastic Bucket]],0)</f>
        <v>0</v>
      </c>
      <c r="AL77" s="734">
        <f>IF(NFI_Expiration=1,IF($A77&lt;VLOOKUP(T$5,NFI,5,0),1,0)*Data_NFI_t[[#This Row],[Jerry Can]],0)</f>
        <v>0</v>
      </c>
      <c r="AM77" s="734">
        <f>IF(NFI_Expiration=1,IF($A77&lt;VLOOKUP(U$5,NFI,5,0),1,0)*Data_NFI_t[[#This Row],[Plastic Mat]],0)</f>
        <v>0</v>
      </c>
      <c r="AN77" s="734">
        <f>IF(NFI_Expiration=1,IF($A77&lt;VLOOKUP(V$5,NFI,5,0),1,0)*Data_NFI_t[[#This Row],[Adult Clothes]],0)</f>
        <v>0</v>
      </c>
      <c r="AO77" s="734">
        <f>IF(NFI_Expiration=1,IF($A77&lt;VLOOKUP(W$5,NFI,5,0),1,0)*Data_NFI_t[[#This Row],[Children Clothes]],0)</f>
        <v>0</v>
      </c>
      <c r="AP77" s="734">
        <f>IF(NFI_Expiration=1,IF($A77&lt;VLOOKUP(X$5,NFI,5,0),1,0)*Data_NFI_t[[#This Row],[Sewing Kit]],0)</f>
        <v>0</v>
      </c>
      <c r="AQ77" s="734">
        <f>IF(NFI_Expiration=1,IF($A77&lt;VLOOKUP(X$5,NFI,5,0),1,0)*Data_NFI_t[[#This Row],[Solar Lantern]],0)</f>
        <v>0</v>
      </c>
      <c r="AR77" s="105" t="str">
        <f ca="1">IFERROR(OFFSET(Camp_List[P_Code],MATCH(Data_NFI_t[[#This Row],[Camp Name]],Camp_List[Camp Name],0)-1,0,1,1),"")</f>
        <v>MMR012CMP113</v>
      </c>
      <c r="AS77" s="421" t="str">
        <f ca="1">IFERROR(OFFSET(Camp_List[Status],MATCH(Data_NFI_t[[#This Row],[Camp Name]],Camp_List[Camp Name],0)-1,0,1,1),"")</f>
        <v>Open</v>
      </c>
      <c r="AT77" s="105"/>
      <c r="AW77" s="772"/>
    </row>
    <row r="78" spans="1:49" s="770" customFormat="1" ht="16.5" customHeight="1" x14ac:dyDescent="0.25">
      <c r="A78" s="736">
        <f t="shared" si="1"/>
        <v>9.4333333333333336</v>
      </c>
      <c r="B78" s="737">
        <f>YEAR(Data_NFI_t[[#This Row],[Distribution Date]])</f>
        <v>2017</v>
      </c>
      <c r="C78" s="1013">
        <v>42907</v>
      </c>
      <c r="D78" s="733" t="s">
        <v>270</v>
      </c>
      <c r="E78" s="733" t="s">
        <v>273</v>
      </c>
      <c r="F78" s="733" t="s">
        <v>7</v>
      </c>
      <c r="G78" s="738" t="s">
        <v>17</v>
      </c>
      <c r="H78" s="738" t="s">
        <v>586</v>
      </c>
      <c r="I78" s="739"/>
      <c r="J78" s="831">
        <v>521</v>
      </c>
      <c r="K78" s="831">
        <v>2865</v>
      </c>
      <c r="L78" s="740"/>
      <c r="M78" s="740"/>
      <c r="N78" s="741">
        <v>521</v>
      </c>
      <c r="O78" s="741">
        <v>521</v>
      </c>
      <c r="P78" s="741"/>
      <c r="Q78" s="741">
        <v>521</v>
      </c>
      <c r="R78" s="741"/>
      <c r="S78" s="741"/>
      <c r="T78" s="742">
        <v>521</v>
      </c>
      <c r="U78" s="741">
        <v>1563</v>
      </c>
      <c r="V78" s="741"/>
      <c r="W78" s="741"/>
      <c r="X78" s="741"/>
      <c r="Y78" s="741"/>
      <c r="Z78" s="741"/>
      <c r="AA78" s="741"/>
      <c r="AB78" s="741"/>
      <c r="AC78" s="734">
        <f>IF(NFI_Expiration=1,IF($A78&lt;VLOOKUP(I$5,NFI,5,0),1,0)*Data_NFI_t[[#This Row],[Hygiene Kit]],0)</f>
        <v>0</v>
      </c>
      <c r="AD78" s="734">
        <f>IF(NFI_Expiration=1,IF($A78&lt;VLOOKUP(L$5,NFI,5,0),1,0)*Data_NFI_t[[#This Row],[NFI Core Kit]],0)</f>
        <v>0</v>
      </c>
      <c r="AE78" s="735">
        <f>IF(NFI_Expiration=1,IF($A78&lt;VLOOKUP(M$5,NFI,5,0),1,0)*Data_NFI_t[[#This Row],[Sanitary Kit]],0)</f>
        <v>0</v>
      </c>
      <c r="AF78" s="735">
        <f>IF(NFI_Expiration=1,IF($A78&lt;VLOOKUP(N$5,NFI,5,0),1,0)*Data_NFI_t[[#This Row],[Mosquito net]],0)</f>
        <v>521</v>
      </c>
      <c r="AG78" s="735">
        <f>IF(NFI_Expiration=1,IF($A78&lt;VLOOKUP(O$5,NFI,5,0),1,0)*Data_NFI_t[[#This Row],[Tarpaulin]],0)</f>
        <v>521</v>
      </c>
      <c r="AH78" s="735">
        <f>IF(NFI_Expiration=1,IF($A78&lt;VLOOKUP(P$5,NFI,5,0),1,0)*Data_NFI_t[[#This Row],[Blanket]],0)</f>
        <v>0</v>
      </c>
      <c r="AI78" s="735">
        <f>IF(NFI_Expiration=1,IF($A78&lt;VLOOKUP(Q$5,NFI,5,0),1,0)*Data_NFI_t[[#This Row],[Kitchen Set]],0)</f>
        <v>521</v>
      </c>
      <c r="AJ78" s="735">
        <f>IF(NFI_Expiration=1,IF($A78&lt;VLOOKUP(R$5,NFI,5,0),1,0)*Data_NFI_t[[#This Row],[Complementary Kit]],0)</f>
        <v>0</v>
      </c>
      <c r="AK78" s="735">
        <f>IF(NFI_Expiration=1,IF($A78&lt;VLOOKUP(S$5,NFI,5,0),1,0)*Data_NFI_t[[#This Row],[Plastic Bucket]],0)</f>
        <v>0</v>
      </c>
      <c r="AL78" s="734">
        <f>IF(NFI_Expiration=1,IF($A78&lt;VLOOKUP(T$5,NFI,5,0),1,0)*Data_NFI_t[[#This Row],[Jerry Can]],0)</f>
        <v>521</v>
      </c>
      <c r="AM78" s="734">
        <f>IF(NFI_Expiration=1,IF($A78&lt;VLOOKUP(U$5,NFI,5,0),1,0)*Data_NFI_t[[#This Row],[Plastic Mat]],0)</f>
        <v>1563</v>
      </c>
      <c r="AN78" s="734">
        <f>IF(NFI_Expiration=1,IF($A78&lt;VLOOKUP(V$5,NFI,5,0),1,0)*Data_NFI_t[[#This Row],[Adult Clothes]],0)</f>
        <v>0</v>
      </c>
      <c r="AO78" s="734">
        <f>IF(NFI_Expiration=1,IF($A78&lt;VLOOKUP(W$5,NFI,5,0),1,0)*Data_NFI_t[[#This Row],[Children Clothes]],0)</f>
        <v>0</v>
      </c>
      <c r="AP78" s="734">
        <f>IF(NFI_Expiration=1,IF($A78&lt;VLOOKUP(X$5,NFI,5,0),1,0)*Data_NFI_t[[#This Row],[Sewing Kit]],0)</f>
        <v>0</v>
      </c>
      <c r="AQ78" s="734">
        <f>IF(NFI_Expiration=1,IF($A78&lt;VLOOKUP(X$5,NFI,5,0),1,0)*Data_NFI_t[[#This Row],[Solar Lantern]],0)</f>
        <v>0</v>
      </c>
      <c r="AR78" s="105" t="str">
        <f ca="1">IFERROR(OFFSET(Camp_List[P_Code],MATCH(Data_NFI_t[[#This Row],[Camp Name]],Camp_List[Camp Name],0)-1,0,1,1),"")</f>
        <v>MMR012CMP115</v>
      </c>
      <c r="AS78" s="421" t="str">
        <f ca="1">IFERROR(OFFSET(Camp_List[Status],MATCH(Data_NFI_t[[#This Row],[Camp Name]],Camp_List[Camp Name],0)-1,0,1,1),"")</f>
        <v>Open</v>
      </c>
      <c r="AT78" s="749" t="s">
        <v>1056</v>
      </c>
      <c r="AW78" s="772"/>
    </row>
    <row r="79" spans="1:49" s="770" customFormat="1" ht="16.5" customHeight="1" x14ac:dyDescent="0.25">
      <c r="A79" s="736">
        <f t="shared" si="1"/>
        <v>9.6</v>
      </c>
      <c r="B79" s="737">
        <f>YEAR(Data_NFI_t[[#This Row],[Distribution Date]])</f>
        <v>2017</v>
      </c>
      <c r="C79" s="1013">
        <v>42902</v>
      </c>
      <c r="D79" s="733" t="s">
        <v>270</v>
      </c>
      <c r="E79" s="733" t="s">
        <v>273</v>
      </c>
      <c r="F79" s="733" t="s">
        <v>7</v>
      </c>
      <c r="G79" s="738" t="s">
        <v>17</v>
      </c>
      <c r="H79" s="738" t="s">
        <v>61</v>
      </c>
      <c r="I79" s="739"/>
      <c r="J79" s="833">
        <v>99</v>
      </c>
      <c r="K79" s="831">
        <v>544</v>
      </c>
      <c r="L79" s="740"/>
      <c r="M79" s="740"/>
      <c r="N79" s="741">
        <v>99</v>
      </c>
      <c r="O79" s="741">
        <v>99</v>
      </c>
      <c r="P79" s="741"/>
      <c r="Q79" s="741">
        <v>99</v>
      </c>
      <c r="R79" s="741"/>
      <c r="S79" s="741"/>
      <c r="T79" s="742">
        <v>99</v>
      </c>
      <c r="U79" s="741">
        <v>297</v>
      </c>
      <c r="V79" s="741"/>
      <c r="W79" s="741"/>
      <c r="X79" s="741"/>
      <c r="Y79" s="741"/>
      <c r="Z79" s="741"/>
      <c r="AA79" s="741"/>
      <c r="AB79" s="741"/>
      <c r="AC79" s="734">
        <f>IF(NFI_Expiration=1,IF($A79&lt;VLOOKUP(I$5,NFI,5,0),1,0)*Data_NFI_t[[#This Row],[Hygiene Kit]],0)</f>
        <v>0</v>
      </c>
      <c r="AD79" s="734">
        <f>IF(NFI_Expiration=1,IF($A79&lt;VLOOKUP(L$5,NFI,5,0),1,0)*Data_NFI_t[[#This Row],[NFI Core Kit]],0)</f>
        <v>0</v>
      </c>
      <c r="AE79" s="735">
        <f>IF(NFI_Expiration=1,IF($A79&lt;VLOOKUP(M$5,NFI,5,0),1,0)*Data_NFI_t[[#This Row],[Sanitary Kit]],0)</f>
        <v>0</v>
      </c>
      <c r="AF79" s="735">
        <f>IF(NFI_Expiration=1,IF($A79&lt;VLOOKUP(N$5,NFI,5,0),1,0)*Data_NFI_t[[#This Row],[Mosquito net]],0)</f>
        <v>99</v>
      </c>
      <c r="AG79" s="735">
        <f>IF(NFI_Expiration=1,IF($A79&lt;VLOOKUP(O$5,NFI,5,0),1,0)*Data_NFI_t[[#This Row],[Tarpaulin]],0)</f>
        <v>99</v>
      </c>
      <c r="AH79" s="735">
        <f>IF(NFI_Expiration=1,IF($A79&lt;VLOOKUP(P$5,NFI,5,0),1,0)*Data_NFI_t[[#This Row],[Blanket]],0)</f>
        <v>0</v>
      </c>
      <c r="AI79" s="735">
        <f>IF(NFI_Expiration=1,IF($A79&lt;VLOOKUP(Q$5,NFI,5,0),1,0)*Data_NFI_t[[#This Row],[Kitchen Set]],0)</f>
        <v>99</v>
      </c>
      <c r="AJ79" s="735">
        <f>IF(NFI_Expiration=1,IF($A79&lt;VLOOKUP(R$5,NFI,5,0),1,0)*Data_NFI_t[[#This Row],[Complementary Kit]],0)</f>
        <v>0</v>
      </c>
      <c r="AK79" s="735">
        <f>IF(NFI_Expiration=1,IF($A79&lt;VLOOKUP(S$5,NFI,5,0),1,0)*Data_NFI_t[[#This Row],[Plastic Bucket]],0)</f>
        <v>0</v>
      </c>
      <c r="AL79" s="734">
        <f>IF(NFI_Expiration=1,IF($A79&lt;VLOOKUP(T$5,NFI,5,0),1,0)*Data_NFI_t[[#This Row],[Jerry Can]],0)</f>
        <v>99</v>
      </c>
      <c r="AM79" s="734">
        <f>IF(NFI_Expiration=1,IF($A79&lt;VLOOKUP(U$5,NFI,5,0),1,0)*Data_NFI_t[[#This Row],[Plastic Mat]],0)</f>
        <v>297</v>
      </c>
      <c r="AN79" s="734">
        <f>IF(NFI_Expiration=1,IF($A79&lt;VLOOKUP(V$5,NFI,5,0),1,0)*Data_NFI_t[[#This Row],[Adult Clothes]],0)</f>
        <v>0</v>
      </c>
      <c r="AO79" s="734">
        <f>IF(NFI_Expiration=1,IF($A79&lt;VLOOKUP(W$5,NFI,5,0),1,0)*Data_NFI_t[[#This Row],[Children Clothes]],0)</f>
        <v>0</v>
      </c>
      <c r="AP79" s="734">
        <f>IF(NFI_Expiration=1,IF($A79&lt;VLOOKUP(X$5,NFI,5,0),1,0)*Data_NFI_t[[#This Row],[Sewing Kit]],0)</f>
        <v>0</v>
      </c>
      <c r="AQ79" s="734">
        <f>IF(NFI_Expiration=1,IF($A79&lt;VLOOKUP(X$5,NFI,5,0),1,0)*Data_NFI_t[[#This Row],[Solar Lantern]],0)</f>
        <v>0</v>
      </c>
      <c r="AR79" s="105" t="str">
        <f ca="1">IFERROR(OFFSET(Camp_List[P_Code],MATCH(Data_NFI_t[[#This Row],[Camp Name]],Camp_List[Camp Name],0)-1,0,1,1),"")</f>
        <v>MMR012CMP041</v>
      </c>
      <c r="AS79" s="421" t="str">
        <f ca="1">IFERROR(OFFSET(Camp_List[Status],MATCH(Data_NFI_t[[#This Row],[Camp Name]],Camp_List[Camp Name],0)-1,0,1,1),"")</f>
        <v>Open</v>
      </c>
      <c r="AT79" s="749" t="s">
        <v>1056</v>
      </c>
      <c r="AW79" s="772"/>
    </row>
    <row r="80" spans="1:49" s="770" customFormat="1" ht="16.5" customHeight="1" x14ac:dyDescent="0.25">
      <c r="A80" s="736">
        <f t="shared" si="1"/>
        <v>9.6999999999999993</v>
      </c>
      <c r="B80" s="737">
        <f>YEAR(Data_NFI_t[[#This Row],[Distribution Date]])</f>
        <v>2017</v>
      </c>
      <c r="C80" s="1013">
        <v>42899</v>
      </c>
      <c r="D80" s="777" t="s">
        <v>476</v>
      </c>
      <c r="E80" s="777" t="s">
        <v>476</v>
      </c>
      <c r="F80" s="777" t="s">
        <v>7</v>
      </c>
      <c r="G80" s="738" t="s">
        <v>17</v>
      </c>
      <c r="H80" s="738" t="s">
        <v>62</v>
      </c>
      <c r="I80" s="739"/>
      <c r="J80" s="833">
        <v>99</v>
      </c>
      <c r="K80" s="831">
        <v>544</v>
      </c>
      <c r="L80" s="740"/>
      <c r="M80" s="740"/>
      <c r="N80" s="741"/>
      <c r="O80" s="741"/>
      <c r="P80" s="741"/>
      <c r="Q80" s="741"/>
      <c r="R80" s="741"/>
      <c r="S80" s="741">
        <v>399</v>
      </c>
      <c r="T80" s="742"/>
      <c r="U80" s="741"/>
      <c r="V80" s="741"/>
      <c r="W80" s="741"/>
      <c r="X80" s="741"/>
      <c r="Y80" s="741"/>
      <c r="Z80" s="741"/>
      <c r="AA80" s="741"/>
      <c r="AB80" s="741"/>
      <c r="AC80" s="734">
        <f>IF(NFI_Expiration=1,IF($A80&lt;VLOOKUP(I$5,NFI,5,0),1,0)*Data_NFI_t[[#This Row],[Hygiene Kit]],0)</f>
        <v>0</v>
      </c>
      <c r="AD80" s="734">
        <f>IF(NFI_Expiration=1,IF($A80&lt;VLOOKUP(L$5,NFI,5,0),1,0)*Data_NFI_t[[#This Row],[NFI Core Kit]],0)</f>
        <v>0</v>
      </c>
      <c r="AE80" s="735">
        <f>IF(NFI_Expiration=1,IF($A80&lt;VLOOKUP(M$5,NFI,5,0),1,0)*Data_NFI_t[[#This Row],[Sanitary Kit]],0)</f>
        <v>0</v>
      </c>
      <c r="AF80" s="735">
        <f>IF(NFI_Expiration=1,IF($A80&lt;VLOOKUP(N$5,NFI,5,0),1,0)*Data_NFI_t[[#This Row],[Mosquito net]],0)</f>
        <v>0</v>
      </c>
      <c r="AG80" s="735">
        <f>IF(NFI_Expiration=1,IF($A80&lt;VLOOKUP(O$5,NFI,5,0),1,0)*Data_NFI_t[[#This Row],[Tarpaulin]],0)</f>
        <v>0</v>
      </c>
      <c r="AH80" s="735">
        <f>IF(NFI_Expiration=1,IF($A80&lt;VLOOKUP(P$5,NFI,5,0),1,0)*Data_NFI_t[[#This Row],[Blanket]],0)</f>
        <v>0</v>
      </c>
      <c r="AI80" s="735">
        <f>IF(NFI_Expiration=1,IF($A80&lt;VLOOKUP(Q$5,NFI,5,0),1,0)*Data_NFI_t[[#This Row],[Kitchen Set]],0)</f>
        <v>0</v>
      </c>
      <c r="AJ80" s="735">
        <f>IF(NFI_Expiration=1,IF($A80&lt;VLOOKUP(R$5,NFI,5,0),1,0)*Data_NFI_t[[#This Row],[Complementary Kit]],0)</f>
        <v>0</v>
      </c>
      <c r="AK80" s="735">
        <f>IF(NFI_Expiration=1,IF($A80&lt;VLOOKUP(S$5,NFI,5,0),1,0)*Data_NFI_t[[#This Row],[Plastic Bucket]],0)</f>
        <v>399</v>
      </c>
      <c r="AL80" s="734">
        <f>IF(NFI_Expiration=1,IF($A80&lt;VLOOKUP(T$5,NFI,5,0),1,0)*Data_NFI_t[[#This Row],[Jerry Can]],0)</f>
        <v>0</v>
      </c>
      <c r="AM80" s="734">
        <f>IF(NFI_Expiration=1,IF($A80&lt;VLOOKUP(U$5,NFI,5,0),1,0)*Data_NFI_t[[#This Row],[Plastic Mat]],0)</f>
        <v>0</v>
      </c>
      <c r="AN80" s="734">
        <f>IF(NFI_Expiration=1,IF($A80&lt;VLOOKUP(V$5,NFI,5,0),1,0)*Data_NFI_t[[#This Row],[Adult Clothes]],0)</f>
        <v>0</v>
      </c>
      <c r="AO80" s="734">
        <f>IF(NFI_Expiration=1,IF($A80&lt;VLOOKUP(W$5,NFI,5,0),1,0)*Data_NFI_t[[#This Row],[Children Clothes]],0)</f>
        <v>0</v>
      </c>
      <c r="AP80" s="734">
        <f>IF(NFI_Expiration=1,IF($A80&lt;VLOOKUP(X$5,NFI,5,0),1,0)*Data_NFI_t[[#This Row],[Sewing Kit]],0)</f>
        <v>0</v>
      </c>
      <c r="AQ80" s="734">
        <f>IF(NFI_Expiration=1,IF($A80&lt;VLOOKUP(X$5,NFI,5,0),1,0)*Data_NFI_t[[#This Row],[Solar Lantern]],0)</f>
        <v>0</v>
      </c>
      <c r="AR80" s="105" t="str">
        <f ca="1">IFERROR(OFFSET(Camp_List[P_Code],MATCH(Data_NFI_t[[#This Row],[Camp Name]],Camp_List[Camp Name],0)-1,0,1,1),"")</f>
        <v>MMR012CMP042</v>
      </c>
      <c r="AS80" s="421" t="str">
        <f ca="1">IFERROR(OFFSET(Camp_List[Status],MATCH(Data_NFI_t[[#This Row],[Camp Name]],Camp_List[Camp Name],0)-1,0,1,1),"")</f>
        <v>Open</v>
      </c>
      <c r="AT80" s="105"/>
      <c r="AW80" s="772"/>
    </row>
    <row r="81" spans="1:49" s="770" customFormat="1" ht="16.5" customHeight="1" x14ac:dyDescent="0.25">
      <c r="A81" s="736">
        <f t="shared" si="1"/>
        <v>9.6999999999999993</v>
      </c>
      <c r="B81" s="737">
        <f>YEAR(Data_NFI_t[[#This Row],[Distribution Date]])</f>
        <v>2017</v>
      </c>
      <c r="C81" s="1013">
        <v>42899</v>
      </c>
      <c r="D81" s="733" t="s">
        <v>270</v>
      </c>
      <c r="E81" s="733" t="s">
        <v>575</v>
      </c>
      <c r="F81" s="733" t="s">
        <v>7</v>
      </c>
      <c r="G81" s="738" t="s">
        <v>17</v>
      </c>
      <c r="H81" s="738" t="s">
        <v>66</v>
      </c>
      <c r="I81" s="739"/>
      <c r="J81" s="833">
        <v>490</v>
      </c>
      <c r="K81" s="831">
        <f>J81*5.5</f>
        <v>2695</v>
      </c>
      <c r="L81" s="740"/>
      <c r="M81" s="740"/>
      <c r="N81" s="741">
        <v>490</v>
      </c>
      <c r="O81" s="741">
        <v>371</v>
      </c>
      <c r="P81" s="741"/>
      <c r="Q81" s="741"/>
      <c r="R81" s="741"/>
      <c r="S81" s="741"/>
      <c r="T81" s="742"/>
      <c r="U81" s="741">
        <v>1470</v>
      </c>
      <c r="V81" s="741"/>
      <c r="W81" s="741"/>
      <c r="X81" s="741"/>
      <c r="Y81" s="741"/>
      <c r="Z81" s="741"/>
      <c r="AA81" s="741"/>
      <c r="AB81" s="741"/>
      <c r="AC81" s="734">
        <f>IF(NFI_Expiration=1,IF($A81&lt;VLOOKUP(I$5,NFI,5,0),1,0)*Data_NFI_t[[#This Row],[Hygiene Kit]],0)</f>
        <v>0</v>
      </c>
      <c r="AD81" s="734">
        <f>IF(NFI_Expiration=1,IF($A81&lt;VLOOKUP(L$5,NFI,5,0),1,0)*Data_NFI_t[[#This Row],[NFI Core Kit]],0)</f>
        <v>0</v>
      </c>
      <c r="AE81" s="735">
        <f>IF(NFI_Expiration=1,IF($A81&lt;VLOOKUP(M$5,NFI,5,0),1,0)*Data_NFI_t[[#This Row],[Sanitary Kit]],0)</f>
        <v>0</v>
      </c>
      <c r="AF81" s="735">
        <f>IF(NFI_Expiration=1,IF($A81&lt;VLOOKUP(N$5,NFI,5,0),1,0)*Data_NFI_t[[#This Row],[Mosquito net]],0)</f>
        <v>490</v>
      </c>
      <c r="AG81" s="735">
        <f>IF(NFI_Expiration=1,IF($A81&lt;VLOOKUP(O$5,NFI,5,0),1,0)*Data_NFI_t[[#This Row],[Tarpaulin]],0)</f>
        <v>371</v>
      </c>
      <c r="AH81" s="735">
        <f>IF(NFI_Expiration=1,IF($A81&lt;VLOOKUP(P$5,NFI,5,0),1,0)*Data_NFI_t[[#This Row],[Blanket]],0)</f>
        <v>0</v>
      </c>
      <c r="AI81" s="735">
        <f>IF(NFI_Expiration=1,IF($A81&lt;VLOOKUP(Q$5,NFI,5,0),1,0)*Data_NFI_t[[#This Row],[Kitchen Set]],0)</f>
        <v>0</v>
      </c>
      <c r="AJ81" s="735">
        <f>IF(NFI_Expiration=1,IF($A81&lt;VLOOKUP(R$5,NFI,5,0),1,0)*Data_NFI_t[[#This Row],[Complementary Kit]],0)</f>
        <v>0</v>
      </c>
      <c r="AK81" s="735">
        <f>IF(NFI_Expiration=1,IF($A81&lt;VLOOKUP(S$5,NFI,5,0),1,0)*Data_NFI_t[[#This Row],[Plastic Bucket]],0)</f>
        <v>0</v>
      </c>
      <c r="AL81" s="734">
        <f>IF(NFI_Expiration=1,IF($A81&lt;VLOOKUP(T$5,NFI,5,0),1,0)*Data_NFI_t[[#This Row],[Jerry Can]],0)</f>
        <v>0</v>
      </c>
      <c r="AM81" s="734">
        <f>IF(NFI_Expiration=1,IF($A81&lt;VLOOKUP(U$5,NFI,5,0),1,0)*Data_NFI_t[[#This Row],[Plastic Mat]],0)</f>
        <v>1470</v>
      </c>
      <c r="AN81" s="734">
        <f>IF(NFI_Expiration=1,IF($A81&lt;VLOOKUP(V$5,NFI,5,0),1,0)*Data_NFI_t[[#This Row],[Adult Clothes]],0)</f>
        <v>0</v>
      </c>
      <c r="AO81" s="734">
        <f>IF(NFI_Expiration=1,IF($A81&lt;VLOOKUP(W$5,NFI,5,0),1,0)*Data_NFI_t[[#This Row],[Children Clothes]],0)</f>
        <v>0</v>
      </c>
      <c r="AP81" s="734">
        <f>IF(NFI_Expiration=1,IF($A81&lt;VLOOKUP(X$5,NFI,5,0),1,0)*Data_NFI_t[[#This Row],[Sewing Kit]],0)</f>
        <v>0</v>
      </c>
      <c r="AQ81" s="734">
        <f>IF(NFI_Expiration=1,IF($A81&lt;VLOOKUP(X$5,NFI,5,0),1,0)*Data_NFI_t[[#This Row],[Solar Lantern]],0)</f>
        <v>0</v>
      </c>
      <c r="AR81" s="105" t="str">
        <f ca="1">IFERROR(OFFSET(Camp_List[P_Code],MATCH(Data_NFI_t[[#This Row],[Camp Name]],Camp_List[Camp Name],0)-1,0,1,1),"")</f>
        <v>MMR012CMP046</v>
      </c>
      <c r="AS81" s="421" t="str">
        <f ca="1">IFERROR(OFFSET(Camp_List[Status],MATCH(Data_NFI_t[[#This Row],[Camp Name]],Camp_List[Camp Name],0)-1,0,1,1),"")</f>
        <v>Open</v>
      </c>
      <c r="AT81" s="749" t="s">
        <v>1056</v>
      </c>
      <c r="AW81" s="772"/>
    </row>
    <row r="82" spans="1:49" s="770" customFormat="1" ht="16.5" customHeight="1" x14ac:dyDescent="0.25">
      <c r="A82" s="736">
        <f t="shared" si="1"/>
        <v>9.8333333333333339</v>
      </c>
      <c r="B82" s="737">
        <f>YEAR(Data_NFI_t[[#This Row],[Distribution Date]])</f>
        <v>2017</v>
      </c>
      <c r="C82" s="1013">
        <v>42895</v>
      </c>
      <c r="D82" s="733" t="s">
        <v>270</v>
      </c>
      <c r="E82" s="733" t="s">
        <v>575</v>
      </c>
      <c r="F82" s="733" t="s">
        <v>7</v>
      </c>
      <c r="G82" s="738" t="s">
        <v>17</v>
      </c>
      <c r="H82" s="738" t="s">
        <v>62</v>
      </c>
      <c r="I82" s="739"/>
      <c r="J82" s="833">
        <v>40</v>
      </c>
      <c r="K82" s="831">
        <f>J82*5.5</f>
        <v>220</v>
      </c>
      <c r="L82" s="740"/>
      <c r="M82" s="740"/>
      <c r="N82" s="741">
        <v>40</v>
      </c>
      <c r="O82" s="741">
        <v>40</v>
      </c>
      <c r="P82" s="741"/>
      <c r="Q82" s="741"/>
      <c r="R82" s="741"/>
      <c r="S82" s="741"/>
      <c r="T82" s="742"/>
      <c r="U82" s="741">
        <v>120</v>
      </c>
      <c r="V82" s="741"/>
      <c r="W82" s="741"/>
      <c r="X82" s="741"/>
      <c r="Y82" s="741"/>
      <c r="Z82" s="741"/>
      <c r="AA82" s="741"/>
      <c r="AB82" s="741"/>
      <c r="AC82" s="734">
        <f>IF(NFI_Expiration=1,IF($A82&lt;VLOOKUP(I$5,NFI,5,0),1,0)*Data_NFI_t[[#This Row],[Hygiene Kit]],0)</f>
        <v>0</v>
      </c>
      <c r="AD82" s="734">
        <f>IF(NFI_Expiration=1,IF($A82&lt;VLOOKUP(L$5,NFI,5,0),1,0)*Data_NFI_t[[#This Row],[NFI Core Kit]],0)</f>
        <v>0</v>
      </c>
      <c r="AE82" s="735">
        <f>IF(NFI_Expiration=1,IF($A82&lt;VLOOKUP(M$5,NFI,5,0),1,0)*Data_NFI_t[[#This Row],[Sanitary Kit]],0)</f>
        <v>0</v>
      </c>
      <c r="AF82" s="735">
        <f>IF(NFI_Expiration=1,IF($A82&lt;VLOOKUP(N$5,NFI,5,0),1,0)*Data_NFI_t[[#This Row],[Mosquito net]],0)</f>
        <v>40</v>
      </c>
      <c r="AG82" s="735">
        <f>IF(NFI_Expiration=1,IF($A82&lt;VLOOKUP(O$5,NFI,5,0),1,0)*Data_NFI_t[[#This Row],[Tarpaulin]],0)</f>
        <v>40</v>
      </c>
      <c r="AH82" s="735">
        <f>IF(NFI_Expiration=1,IF($A82&lt;VLOOKUP(P$5,NFI,5,0),1,0)*Data_NFI_t[[#This Row],[Blanket]],0)</f>
        <v>0</v>
      </c>
      <c r="AI82" s="735">
        <f>IF(NFI_Expiration=1,IF($A82&lt;VLOOKUP(Q$5,NFI,5,0),1,0)*Data_NFI_t[[#This Row],[Kitchen Set]],0)</f>
        <v>0</v>
      </c>
      <c r="AJ82" s="735">
        <f>IF(NFI_Expiration=1,IF($A82&lt;VLOOKUP(R$5,NFI,5,0),1,0)*Data_NFI_t[[#This Row],[Complementary Kit]],0)</f>
        <v>0</v>
      </c>
      <c r="AK82" s="735">
        <f>IF(NFI_Expiration=1,IF($A82&lt;VLOOKUP(S$5,NFI,5,0),1,0)*Data_NFI_t[[#This Row],[Plastic Bucket]],0)</f>
        <v>0</v>
      </c>
      <c r="AL82" s="734">
        <f>IF(NFI_Expiration=1,IF($A82&lt;VLOOKUP(T$5,NFI,5,0),1,0)*Data_NFI_t[[#This Row],[Jerry Can]],0)</f>
        <v>0</v>
      </c>
      <c r="AM82" s="734">
        <f>IF(NFI_Expiration=1,IF($A82&lt;VLOOKUP(U$5,NFI,5,0),1,0)*Data_NFI_t[[#This Row],[Plastic Mat]],0)</f>
        <v>120</v>
      </c>
      <c r="AN82" s="734">
        <f>IF(NFI_Expiration=1,IF($A82&lt;VLOOKUP(V$5,NFI,5,0),1,0)*Data_NFI_t[[#This Row],[Adult Clothes]],0)</f>
        <v>0</v>
      </c>
      <c r="AO82" s="734">
        <f>IF(NFI_Expiration=1,IF($A82&lt;VLOOKUP(W$5,NFI,5,0),1,0)*Data_NFI_t[[#This Row],[Children Clothes]],0)</f>
        <v>0</v>
      </c>
      <c r="AP82" s="734">
        <f>IF(NFI_Expiration=1,IF($A82&lt;VLOOKUP(X$5,NFI,5,0),1,0)*Data_NFI_t[[#This Row],[Sewing Kit]],0)</f>
        <v>0</v>
      </c>
      <c r="AQ82" s="734">
        <f>IF(NFI_Expiration=1,IF($A82&lt;VLOOKUP(X$5,NFI,5,0),1,0)*Data_NFI_t[[#This Row],[Solar Lantern]],0)</f>
        <v>0</v>
      </c>
      <c r="AR82" s="105" t="str">
        <f ca="1">IFERROR(OFFSET(Camp_List[P_Code],MATCH(Data_NFI_t[[#This Row],[Camp Name]],Camp_List[Camp Name],0)-1,0,1,1),"")</f>
        <v>MMR012CMP042</v>
      </c>
      <c r="AS82" s="421" t="str">
        <f ca="1">IFERROR(OFFSET(Camp_List[Status],MATCH(Data_NFI_t[[#This Row],[Camp Name]],Camp_List[Camp Name],0)-1,0,1,1),"")</f>
        <v>Open</v>
      </c>
      <c r="AT82" s="749" t="s">
        <v>1056</v>
      </c>
      <c r="AW82" s="772"/>
    </row>
    <row r="83" spans="1:49" s="770" customFormat="1" ht="16.5" customHeight="1" x14ac:dyDescent="0.25">
      <c r="A83" s="736">
        <f t="shared" si="1"/>
        <v>9.8666666666666671</v>
      </c>
      <c r="B83" s="737">
        <f>YEAR(Data_NFI_t[[#This Row],[Distribution Date]])</f>
        <v>2017</v>
      </c>
      <c r="C83" s="1013">
        <v>42894</v>
      </c>
      <c r="D83" s="733" t="s">
        <v>913</v>
      </c>
      <c r="E83" s="733" t="s">
        <v>913</v>
      </c>
      <c r="F83" s="733" t="s">
        <v>7</v>
      </c>
      <c r="G83" s="738" t="s">
        <v>17</v>
      </c>
      <c r="H83" s="738" t="s">
        <v>580</v>
      </c>
      <c r="I83" s="739"/>
      <c r="J83" s="833">
        <v>371</v>
      </c>
      <c r="K83" s="831">
        <v>2226</v>
      </c>
      <c r="L83" s="740"/>
      <c r="M83" s="740"/>
      <c r="N83" s="741"/>
      <c r="O83" s="741">
        <v>371</v>
      </c>
      <c r="P83" s="741"/>
      <c r="Q83" s="741"/>
      <c r="R83" s="741"/>
      <c r="S83" s="741"/>
      <c r="T83" s="742"/>
      <c r="U83" s="741"/>
      <c r="V83" s="741"/>
      <c r="W83" s="741"/>
      <c r="X83" s="741"/>
      <c r="Y83" s="741"/>
      <c r="Z83" s="741"/>
      <c r="AA83" s="741"/>
      <c r="AB83" s="741"/>
      <c r="AC83" s="734">
        <f>IF(NFI_Expiration=1,IF($A83&lt;VLOOKUP(I$5,NFI,5,0),1,0)*Data_NFI_t[[#This Row],[Hygiene Kit]],0)</f>
        <v>0</v>
      </c>
      <c r="AD83" s="734">
        <f>IF(NFI_Expiration=1,IF($A83&lt;VLOOKUP(L$5,NFI,5,0),1,0)*Data_NFI_t[[#This Row],[NFI Core Kit]],0)</f>
        <v>0</v>
      </c>
      <c r="AE83" s="735">
        <f>IF(NFI_Expiration=1,IF($A83&lt;VLOOKUP(M$5,NFI,5,0),1,0)*Data_NFI_t[[#This Row],[Sanitary Kit]],0)</f>
        <v>0</v>
      </c>
      <c r="AF83" s="735">
        <f>IF(NFI_Expiration=1,IF($A83&lt;VLOOKUP(N$5,NFI,5,0),1,0)*Data_NFI_t[[#This Row],[Mosquito net]],0)</f>
        <v>0</v>
      </c>
      <c r="AG83" s="735">
        <f>IF(NFI_Expiration=1,IF($A83&lt;VLOOKUP(O$5,NFI,5,0),1,0)*Data_NFI_t[[#This Row],[Tarpaulin]],0)</f>
        <v>371</v>
      </c>
      <c r="AH83" s="735">
        <f>IF(NFI_Expiration=1,IF($A83&lt;VLOOKUP(P$5,NFI,5,0),1,0)*Data_NFI_t[[#This Row],[Blanket]],0)</f>
        <v>0</v>
      </c>
      <c r="AI83" s="735">
        <f>IF(NFI_Expiration=1,IF($A83&lt;VLOOKUP(Q$5,NFI,5,0),1,0)*Data_NFI_t[[#This Row],[Kitchen Set]],0)</f>
        <v>0</v>
      </c>
      <c r="AJ83" s="735">
        <f>IF(NFI_Expiration=1,IF($A83&lt;VLOOKUP(R$5,NFI,5,0),1,0)*Data_NFI_t[[#This Row],[Complementary Kit]],0)</f>
        <v>0</v>
      </c>
      <c r="AK83" s="735">
        <f>IF(NFI_Expiration=1,IF($A83&lt;VLOOKUP(S$5,NFI,5,0),1,0)*Data_NFI_t[[#This Row],[Plastic Bucket]],0)</f>
        <v>0</v>
      </c>
      <c r="AL83" s="734">
        <f>IF(NFI_Expiration=1,IF($A83&lt;VLOOKUP(T$5,NFI,5,0),1,0)*Data_NFI_t[[#This Row],[Jerry Can]],0)</f>
        <v>0</v>
      </c>
      <c r="AM83" s="734">
        <f>IF(NFI_Expiration=1,IF($A83&lt;VLOOKUP(U$5,NFI,5,0),1,0)*Data_NFI_t[[#This Row],[Plastic Mat]],0)</f>
        <v>0</v>
      </c>
      <c r="AN83" s="734">
        <f>IF(NFI_Expiration=1,IF($A83&lt;VLOOKUP(V$5,NFI,5,0),1,0)*Data_NFI_t[[#This Row],[Adult Clothes]],0)</f>
        <v>0</v>
      </c>
      <c r="AO83" s="734">
        <f>IF(NFI_Expiration=1,IF($A83&lt;VLOOKUP(W$5,NFI,5,0),1,0)*Data_NFI_t[[#This Row],[Children Clothes]],0)</f>
        <v>0</v>
      </c>
      <c r="AP83" s="734">
        <f>IF(NFI_Expiration=1,IF($A83&lt;VLOOKUP(X$5,NFI,5,0),1,0)*Data_NFI_t[[#This Row],[Sewing Kit]],0)</f>
        <v>0</v>
      </c>
      <c r="AQ83" s="734">
        <f>IF(NFI_Expiration=1,IF($A83&lt;VLOOKUP(X$5,NFI,5,0),1,0)*Data_NFI_t[[#This Row],[Solar Lantern]],0)</f>
        <v>0</v>
      </c>
      <c r="AR83" s="105" t="str">
        <f ca="1">IFERROR(OFFSET(Camp_List[P_Code],MATCH(Data_NFI_t[[#This Row],[Camp Name]],Camp_List[Camp Name],0)-1,0,1,1),"")</f>
        <v>MMR012CMP092</v>
      </c>
      <c r="AS83" s="421" t="str">
        <f ca="1">IFERROR(OFFSET(Camp_List[Status],MATCH(Data_NFI_t[[#This Row],[Camp Name]],Camp_List[Camp Name],0)-1,0,1,1),"")</f>
        <v>Open</v>
      </c>
      <c r="AT83" s="105"/>
      <c r="AW83" s="772"/>
    </row>
    <row r="84" spans="1:49" s="770" customFormat="1" ht="16.5" customHeight="1" x14ac:dyDescent="0.25">
      <c r="A84" s="736">
        <f t="shared" si="1"/>
        <v>9.9</v>
      </c>
      <c r="B84" s="737">
        <f>YEAR(Data_NFI_t[[#This Row],[Distribution Date]])</f>
        <v>2017</v>
      </c>
      <c r="C84" s="1013">
        <v>42893</v>
      </c>
      <c r="D84" s="733" t="s">
        <v>913</v>
      </c>
      <c r="E84" s="733" t="s">
        <v>913</v>
      </c>
      <c r="F84" s="733" t="s">
        <v>7</v>
      </c>
      <c r="G84" s="738" t="s">
        <v>17</v>
      </c>
      <c r="H84" s="738" t="s">
        <v>580</v>
      </c>
      <c r="I84" s="739"/>
      <c r="J84" s="833">
        <v>351</v>
      </c>
      <c r="K84" s="831">
        <v>2154</v>
      </c>
      <c r="L84" s="740"/>
      <c r="M84" s="740"/>
      <c r="N84" s="741"/>
      <c r="O84" s="741">
        <v>351</v>
      </c>
      <c r="P84" s="741"/>
      <c r="Q84" s="741"/>
      <c r="R84" s="741"/>
      <c r="S84" s="741"/>
      <c r="T84" s="742"/>
      <c r="U84" s="741"/>
      <c r="V84" s="741"/>
      <c r="W84" s="741"/>
      <c r="X84" s="741"/>
      <c r="Y84" s="741"/>
      <c r="Z84" s="741"/>
      <c r="AA84" s="741"/>
      <c r="AB84" s="741"/>
      <c r="AC84" s="734">
        <f>IF(NFI_Expiration=1,IF($A84&lt;VLOOKUP(I$5,NFI,5,0),1,0)*Data_NFI_t[[#This Row],[Hygiene Kit]],0)</f>
        <v>0</v>
      </c>
      <c r="AD84" s="734">
        <f>IF(NFI_Expiration=1,IF($A84&lt;VLOOKUP(L$5,NFI,5,0),1,0)*Data_NFI_t[[#This Row],[NFI Core Kit]],0)</f>
        <v>0</v>
      </c>
      <c r="AE84" s="735">
        <f>IF(NFI_Expiration=1,IF($A84&lt;VLOOKUP(M$5,NFI,5,0),1,0)*Data_NFI_t[[#This Row],[Sanitary Kit]],0)</f>
        <v>0</v>
      </c>
      <c r="AF84" s="735">
        <f>IF(NFI_Expiration=1,IF($A84&lt;VLOOKUP(N$5,NFI,5,0),1,0)*Data_NFI_t[[#This Row],[Mosquito net]],0)</f>
        <v>0</v>
      </c>
      <c r="AG84" s="735">
        <f>IF(NFI_Expiration=1,IF($A84&lt;VLOOKUP(O$5,NFI,5,0),1,0)*Data_NFI_t[[#This Row],[Tarpaulin]],0)</f>
        <v>351</v>
      </c>
      <c r="AH84" s="735">
        <f>IF(NFI_Expiration=1,IF($A84&lt;VLOOKUP(P$5,NFI,5,0),1,0)*Data_NFI_t[[#This Row],[Blanket]],0)</f>
        <v>0</v>
      </c>
      <c r="AI84" s="735">
        <f>IF(NFI_Expiration=1,IF($A84&lt;VLOOKUP(Q$5,NFI,5,0),1,0)*Data_NFI_t[[#This Row],[Kitchen Set]],0)</f>
        <v>0</v>
      </c>
      <c r="AJ84" s="735">
        <f>IF(NFI_Expiration=1,IF($A84&lt;VLOOKUP(R$5,NFI,5,0),1,0)*Data_NFI_t[[#This Row],[Complementary Kit]],0)</f>
        <v>0</v>
      </c>
      <c r="AK84" s="735">
        <f>IF(NFI_Expiration=1,IF($A84&lt;VLOOKUP(S$5,NFI,5,0),1,0)*Data_NFI_t[[#This Row],[Plastic Bucket]],0)</f>
        <v>0</v>
      </c>
      <c r="AL84" s="734">
        <f>IF(NFI_Expiration=1,IF($A84&lt;VLOOKUP(T$5,NFI,5,0),1,0)*Data_NFI_t[[#This Row],[Jerry Can]],0)</f>
        <v>0</v>
      </c>
      <c r="AM84" s="734">
        <f>IF(NFI_Expiration=1,IF($A84&lt;VLOOKUP(U$5,NFI,5,0),1,0)*Data_NFI_t[[#This Row],[Plastic Mat]],0)</f>
        <v>0</v>
      </c>
      <c r="AN84" s="734">
        <f>IF(NFI_Expiration=1,IF($A84&lt;VLOOKUP(V$5,NFI,5,0),1,0)*Data_NFI_t[[#This Row],[Adult Clothes]],0)</f>
        <v>0</v>
      </c>
      <c r="AO84" s="734">
        <f>IF(NFI_Expiration=1,IF($A84&lt;VLOOKUP(W$5,NFI,5,0),1,0)*Data_NFI_t[[#This Row],[Children Clothes]],0)</f>
        <v>0</v>
      </c>
      <c r="AP84" s="734">
        <f>IF(NFI_Expiration=1,IF($A84&lt;VLOOKUP(X$5,NFI,5,0),1,0)*Data_NFI_t[[#This Row],[Sewing Kit]],0)</f>
        <v>0</v>
      </c>
      <c r="AQ84" s="734">
        <f>IF(NFI_Expiration=1,IF($A84&lt;VLOOKUP(X$5,NFI,5,0),1,0)*Data_NFI_t[[#This Row],[Solar Lantern]],0)</f>
        <v>0</v>
      </c>
      <c r="AR84" s="105" t="str">
        <f ca="1">IFERROR(OFFSET(Camp_List[P_Code],MATCH(Data_NFI_t[[#This Row],[Camp Name]],Camp_List[Camp Name],0)-1,0,1,1),"")</f>
        <v>MMR012CMP092</v>
      </c>
      <c r="AS84" s="421" t="str">
        <f ca="1">IFERROR(OFFSET(Camp_List[Status],MATCH(Data_NFI_t[[#This Row],[Camp Name]],Camp_List[Camp Name],0)-1,0,1,1),"")</f>
        <v>Open</v>
      </c>
      <c r="AT84" s="105"/>
      <c r="AW84" s="772"/>
    </row>
    <row r="85" spans="1:49" s="770" customFormat="1" ht="16.5" customHeight="1" x14ac:dyDescent="0.25">
      <c r="A85" s="736">
        <f t="shared" si="1"/>
        <v>9.9</v>
      </c>
      <c r="B85" s="737">
        <f>YEAR(Data_NFI_t[[#This Row],[Distribution Date]])</f>
        <v>2017</v>
      </c>
      <c r="C85" s="1013">
        <v>42893</v>
      </c>
      <c r="D85" s="733" t="s">
        <v>270</v>
      </c>
      <c r="E85" s="733" t="s">
        <v>913</v>
      </c>
      <c r="F85" s="733" t="s">
        <v>7</v>
      </c>
      <c r="G85" s="738" t="s">
        <v>17</v>
      </c>
      <c r="H85" s="738" t="s">
        <v>580</v>
      </c>
      <c r="I85" s="739"/>
      <c r="J85" s="833">
        <v>96</v>
      </c>
      <c r="K85" s="831">
        <f>J85*5.5</f>
        <v>528</v>
      </c>
      <c r="L85" s="740"/>
      <c r="M85" s="740"/>
      <c r="N85" s="741"/>
      <c r="O85" s="741">
        <v>96</v>
      </c>
      <c r="P85" s="741"/>
      <c r="Q85" s="741"/>
      <c r="R85" s="741"/>
      <c r="S85" s="741"/>
      <c r="T85" s="742"/>
      <c r="U85" s="741"/>
      <c r="V85" s="741"/>
      <c r="W85" s="741"/>
      <c r="X85" s="741"/>
      <c r="Y85" s="741"/>
      <c r="Z85" s="741"/>
      <c r="AA85" s="741"/>
      <c r="AB85" s="741"/>
      <c r="AC85" s="734">
        <f>IF(NFI_Expiration=1,IF($A85&lt;VLOOKUP(I$5,NFI,5,0),1,0)*Data_NFI_t[[#This Row],[Hygiene Kit]],0)</f>
        <v>0</v>
      </c>
      <c r="AD85" s="734">
        <f>IF(NFI_Expiration=1,IF($A85&lt;VLOOKUP(L$5,NFI,5,0),1,0)*Data_NFI_t[[#This Row],[NFI Core Kit]],0)</f>
        <v>0</v>
      </c>
      <c r="AE85" s="735">
        <f>IF(NFI_Expiration=1,IF($A85&lt;VLOOKUP(M$5,NFI,5,0),1,0)*Data_NFI_t[[#This Row],[Sanitary Kit]],0)</f>
        <v>0</v>
      </c>
      <c r="AF85" s="735">
        <f>IF(NFI_Expiration=1,IF($A85&lt;VLOOKUP(N$5,NFI,5,0),1,0)*Data_NFI_t[[#This Row],[Mosquito net]],0)</f>
        <v>0</v>
      </c>
      <c r="AG85" s="735">
        <f>IF(NFI_Expiration=1,IF($A85&lt;VLOOKUP(O$5,NFI,5,0),1,0)*Data_NFI_t[[#This Row],[Tarpaulin]],0)</f>
        <v>96</v>
      </c>
      <c r="AH85" s="735">
        <f>IF(NFI_Expiration=1,IF($A85&lt;VLOOKUP(P$5,NFI,5,0),1,0)*Data_NFI_t[[#This Row],[Blanket]],0)</f>
        <v>0</v>
      </c>
      <c r="AI85" s="735">
        <f>IF(NFI_Expiration=1,IF($A85&lt;VLOOKUP(Q$5,NFI,5,0),1,0)*Data_NFI_t[[#This Row],[Kitchen Set]],0)</f>
        <v>0</v>
      </c>
      <c r="AJ85" s="735">
        <f>IF(NFI_Expiration=1,IF($A85&lt;VLOOKUP(R$5,NFI,5,0),1,0)*Data_NFI_t[[#This Row],[Complementary Kit]],0)</f>
        <v>0</v>
      </c>
      <c r="AK85" s="735">
        <f>IF(NFI_Expiration=1,IF($A85&lt;VLOOKUP(S$5,NFI,5,0),1,0)*Data_NFI_t[[#This Row],[Plastic Bucket]],0)</f>
        <v>0</v>
      </c>
      <c r="AL85" s="734">
        <f>IF(NFI_Expiration=1,IF($A85&lt;VLOOKUP(T$5,NFI,5,0),1,0)*Data_NFI_t[[#This Row],[Jerry Can]],0)</f>
        <v>0</v>
      </c>
      <c r="AM85" s="734">
        <f>IF(NFI_Expiration=1,IF($A85&lt;VLOOKUP(U$5,NFI,5,0),1,0)*Data_NFI_t[[#This Row],[Plastic Mat]],0)</f>
        <v>0</v>
      </c>
      <c r="AN85" s="734">
        <f>IF(NFI_Expiration=1,IF($A85&lt;VLOOKUP(V$5,NFI,5,0),1,0)*Data_NFI_t[[#This Row],[Adult Clothes]],0)</f>
        <v>0</v>
      </c>
      <c r="AO85" s="734">
        <f>IF(NFI_Expiration=1,IF($A85&lt;VLOOKUP(W$5,NFI,5,0),1,0)*Data_NFI_t[[#This Row],[Children Clothes]],0)</f>
        <v>0</v>
      </c>
      <c r="AP85" s="734">
        <f>IF(NFI_Expiration=1,IF($A85&lt;VLOOKUP(X$5,NFI,5,0),1,0)*Data_NFI_t[[#This Row],[Sewing Kit]],0)</f>
        <v>0</v>
      </c>
      <c r="AQ85" s="734">
        <f>IF(NFI_Expiration=1,IF($A85&lt;VLOOKUP(X$5,NFI,5,0),1,0)*Data_NFI_t[[#This Row],[Solar Lantern]],0)</f>
        <v>0</v>
      </c>
      <c r="AR85" s="105" t="str">
        <f ca="1">IFERROR(OFFSET(Camp_List[P_Code],MATCH(Data_NFI_t[[#This Row],[Camp Name]],Camp_List[Camp Name],0)-1,0,1,1),"")</f>
        <v>MMR012CMP092</v>
      </c>
      <c r="AS85" s="421" t="str">
        <f ca="1">IFERROR(OFFSET(Camp_List[Status],MATCH(Data_NFI_t[[#This Row],[Camp Name]],Camp_List[Camp Name],0)-1,0,1,1),"")</f>
        <v>Open</v>
      </c>
      <c r="AT85" s="749" t="s">
        <v>1056</v>
      </c>
      <c r="AW85" s="772"/>
    </row>
    <row r="86" spans="1:49" s="770" customFormat="1" ht="21" customHeight="1" x14ac:dyDescent="0.25">
      <c r="A86" s="736">
        <f t="shared" si="1"/>
        <v>10.066666666666666</v>
      </c>
      <c r="B86" s="737">
        <f>YEAR(Data_NFI_t[[#This Row],[Distribution Date]])</f>
        <v>2017</v>
      </c>
      <c r="C86" s="1013">
        <v>42888</v>
      </c>
      <c r="D86" s="733" t="s">
        <v>270</v>
      </c>
      <c r="E86" s="733" t="s">
        <v>575</v>
      </c>
      <c r="F86" s="733" t="s">
        <v>7</v>
      </c>
      <c r="G86" s="738" t="s">
        <v>17</v>
      </c>
      <c r="H86" s="738" t="s">
        <v>66</v>
      </c>
      <c r="I86" s="739"/>
      <c r="J86" s="834">
        <v>49</v>
      </c>
      <c r="K86" s="832">
        <v>269</v>
      </c>
      <c r="L86" s="740"/>
      <c r="M86" s="740"/>
      <c r="N86" s="741"/>
      <c r="O86" s="741">
        <v>62</v>
      </c>
      <c r="P86" s="741"/>
      <c r="Q86" s="741"/>
      <c r="R86" s="741"/>
      <c r="S86" s="741"/>
      <c r="T86" s="742"/>
      <c r="U86" s="741"/>
      <c r="V86" s="741"/>
      <c r="W86" s="741"/>
      <c r="X86" s="741"/>
      <c r="Y86" s="741"/>
      <c r="Z86" s="741"/>
      <c r="AA86" s="741"/>
      <c r="AB86" s="741"/>
      <c r="AC86" s="734">
        <f>IF(NFI_Expiration=1,IF($A86&lt;VLOOKUP(I$5,NFI,5,0),1,0)*Data_NFI_t[[#This Row],[Hygiene Kit]],0)</f>
        <v>0</v>
      </c>
      <c r="AD86" s="734">
        <f>IF(NFI_Expiration=1,IF($A86&lt;VLOOKUP(L$5,NFI,5,0),1,0)*Data_NFI_t[[#This Row],[NFI Core Kit]],0)</f>
        <v>0</v>
      </c>
      <c r="AE86" s="735">
        <f>IF(NFI_Expiration=1,IF($A86&lt;VLOOKUP(M$5,NFI,5,0),1,0)*Data_NFI_t[[#This Row],[Sanitary Kit]],0)</f>
        <v>0</v>
      </c>
      <c r="AF86" s="735">
        <f>IF(NFI_Expiration=1,IF($A86&lt;VLOOKUP(N$5,NFI,5,0),1,0)*Data_NFI_t[[#This Row],[Mosquito net]],0)</f>
        <v>0</v>
      </c>
      <c r="AG86" s="735">
        <f>IF(NFI_Expiration=1,IF($A86&lt;VLOOKUP(O$5,NFI,5,0),1,0)*Data_NFI_t[[#This Row],[Tarpaulin]],0)</f>
        <v>62</v>
      </c>
      <c r="AH86" s="735">
        <f>IF(NFI_Expiration=1,IF($A86&lt;VLOOKUP(P$5,NFI,5,0),1,0)*Data_NFI_t[[#This Row],[Blanket]],0)</f>
        <v>0</v>
      </c>
      <c r="AI86" s="735">
        <f>IF(NFI_Expiration=1,IF($A86&lt;VLOOKUP(Q$5,NFI,5,0),1,0)*Data_NFI_t[[#This Row],[Kitchen Set]],0)</f>
        <v>0</v>
      </c>
      <c r="AJ86" s="735">
        <f>IF(NFI_Expiration=1,IF($A86&lt;VLOOKUP(R$5,NFI,5,0),1,0)*Data_NFI_t[[#This Row],[Complementary Kit]],0)</f>
        <v>0</v>
      </c>
      <c r="AK86" s="735">
        <f>IF(NFI_Expiration=1,IF($A86&lt;VLOOKUP(S$5,NFI,5,0),1,0)*Data_NFI_t[[#This Row],[Plastic Bucket]],0)</f>
        <v>0</v>
      </c>
      <c r="AL86" s="734">
        <f>IF(NFI_Expiration=1,IF($A86&lt;VLOOKUP(T$5,NFI,5,0),1,0)*Data_NFI_t[[#This Row],[Jerry Can]],0)</f>
        <v>0</v>
      </c>
      <c r="AM86" s="734">
        <f>IF(NFI_Expiration=1,IF($A86&lt;VLOOKUP(U$5,NFI,5,0),1,0)*Data_NFI_t[[#This Row],[Plastic Mat]],0)</f>
        <v>0</v>
      </c>
      <c r="AN86" s="734">
        <f>IF(NFI_Expiration=1,IF($A86&lt;VLOOKUP(V$5,NFI,5,0),1,0)*Data_NFI_t[[#This Row],[Adult Clothes]],0)</f>
        <v>0</v>
      </c>
      <c r="AO86" s="734">
        <f>IF(NFI_Expiration=1,IF($A86&lt;VLOOKUP(W$5,NFI,5,0),1,0)*Data_NFI_t[[#This Row],[Children Clothes]],0)</f>
        <v>0</v>
      </c>
      <c r="AP86" s="734">
        <f>IF(NFI_Expiration=1,IF($A86&lt;VLOOKUP(X$5,NFI,5,0),1,0)*Data_NFI_t[[#This Row],[Sewing Kit]],0)</f>
        <v>0</v>
      </c>
      <c r="AQ86" s="734">
        <f>IF(NFI_Expiration=1,IF($A86&lt;VLOOKUP(X$5,NFI,5,0),1,0)*Data_NFI_t[[#This Row],[Solar Lantern]],0)</f>
        <v>0</v>
      </c>
      <c r="AR86" s="105" t="str">
        <f ca="1">IFERROR(OFFSET(Camp_List[P_Code],MATCH(Data_NFI_t[[#This Row],[Camp Name]],Camp_List[Camp Name],0)-1,0,1,1),"")</f>
        <v>MMR012CMP046</v>
      </c>
      <c r="AS86" s="421" t="str">
        <f ca="1">IFERROR(OFFSET(Camp_List[Status],MATCH(Data_NFI_t[[#This Row],[Camp Name]],Camp_List[Camp Name],0)-1,0,1,1),"")</f>
        <v>Open</v>
      </c>
      <c r="AT86" s="749" t="s">
        <v>1057</v>
      </c>
      <c r="AW86" s="772"/>
    </row>
    <row r="87" spans="1:49" s="770" customFormat="1" ht="21" customHeight="1" x14ac:dyDescent="0.25">
      <c r="A87" s="736">
        <f t="shared" si="1"/>
        <v>10.1</v>
      </c>
      <c r="B87" s="737">
        <f>YEAR(Data_NFI_t[[#This Row],[Distribution Date]])</f>
        <v>2017</v>
      </c>
      <c r="C87" s="1013">
        <v>42887</v>
      </c>
      <c r="D87" s="733" t="s">
        <v>270</v>
      </c>
      <c r="E87" s="733" t="s">
        <v>270</v>
      </c>
      <c r="F87" s="733" t="s">
        <v>7</v>
      </c>
      <c r="G87" s="738" t="s">
        <v>15</v>
      </c>
      <c r="H87" s="738" t="s">
        <v>55</v>
      </c>
      <c r="I87" s="739"/>
      <c r="J87" s="835">
        <v>251</v>
      </c>
      <c r="K87" s="836">
        <v>1380</v>
      </c>
      <c r="L87" s="740"/>
      <c r="M87" s="740"/>
      <c r="N87" s="741"/>
      <c r="O87" s="741">
        <v>502</v>
      </c>
      <c r="P87" s="741"/>
      <c r="Q87" s="741"/>
      <c r="R87" s="741"/>
      <c r="S87" s="741"/>
      <c r="T87" s="742"/>
      <c r="U87" s="741"/>
      <c r="V87" s="741"/>
      <c r="W87" s="741"/>
      <c r="X87" s="741"/>
      <c r="Y87" s="741"/>
      <c r="Z87" s="741"/>
      <c r="AA87" s="741"/>
      <c r="AB87" s="741"/>
      <c r="AC87" s="734">
        <f>IF(NFI_Expiration=1,IF($A87&lt;VLOOKUP(I$5,NFI,5,0),1,0)*Data_NFI_t[[#This Row],[Hygiene Kit]],0)</f>
        <v>0</v>
      </c>
      <c r="AD87" s="734">
        <f>IF(NFI_Expiration=1,IF($A87&lt;VLOOKUP(L$5,NFI,5,0),1,0)*Data_NFI_t[[#This Row],[NFI Core Kit]],0)</f>
        <v>0</v>
      </c>
      <c r="AE87" s="735">
        <f>IF(NFI_Expiration=1,IF($A87&lt;VLOOKUP(M$5,NFI,5,0),1,0)*Data_NFI_t[[#This Row],[Sanitary Kit]],0)</f>
        <v>0</v>
      </c>
      <c r="AF87" s="735">
        <f>IF(NFI_Expiration=1,IF($A87&lt;VLOOKUP(N$5,NFI,5,0),1,0)*Data_NFI_t[[#This Row],[Mosquito net]],0)</f>
        <v>0</v>
      </c>
      <c r="AG87" s="735">
        <f>IF(NFI_Expiration=1,IF($A87&lt;VLOOKUP(O$5,NFI,5,0),1,0)*Data_NFI_t[[#This Row],[Tarpaulin]],0)</f>
        <v>502</v>
      </c>
      <c r="AH87" s="735">
        <f>IF(NFI_Expiration=1,IF($A87&lt;VLOOKUP(P$5,NFI,5,0),1,0)*Data_NFI_t[[#This Row],[Blanket]],0)</f>
        <v>0</v>
      </c>
      <c r="AI87" s="735">
        <f>IF(NFI_Expiration=1,IF($A87&lt;VLOOKUP(Q$5,NFI,5,0),1,0)*Data_NFI_t[[#This Row],[Kitchen Set]],0)</f>
        <v>0</v>
      </c>
      <c r="AJ87" s="735">
        <f>IF(NFI_Expiration=1,IF($A87&lt;VLOOKUP(R$5,NFI,5,0),1,0)*Data_NFI_t[[#This Row],[Complementary Kit]],0)</f>
        <v>0</v>
      </c>
      <c r="AK87" s="735">
        <f>IF(NFI_Expiration=1,IF($A87&lt;VLOOKUP(S$5,NFI,5,0),1,0)*Data_NFI_t[[#This Row],[Plastic Bucket]],0)</f>
        <v>0</v>
      </c>
      <c r="AL87" s="734">
        <f>IF(NFI_Expiration=1,IF($A87&lt;VLOOKUP(T$5,NFI,5,0),1,0)*Data_NFI_t[[#This Row],[Jerry Can]],0)</f>
        <v>0</v>
      </c>
      <c r="AM87" s="734">
        <f>IF(NFI_Expiration=1,IF($A87&lt;VLOOKUP(U$5,NFI,5,0),1,0)*Data_NFI_t[[#This Row],[Plastic Mat]],0)</f>
        <v>0</v>
      </c>
      <c r="AN87" s="734">
        <f>IF(NFI_Expiration=1,IF($A87&lt;VLOOKUP(V$5,NFI,5,0),1,0)*Data_NFI_t[[#This Row],[Adult Clothes]],0)</f>
        <v>0</v>
      </c>
      <c r="AO87" s="734">
        <f>IF(NFI_Expiration=1,IF($A87&lt;VLOOKUP(W$5,NFI,5,0),1,0)*Data_NFI_t[[#This Row],[Children Clothes]],0)</f>
        <v>0</v>
      </c>
      <c r="AP87" s="734">
        <f>IF(NFI_Expiration=1,IF($A87&lt;VLOOKUP(X$5,NFI,5,0),1,0)*Data_NFI_t[[#This Row],[Sewing Kit]],0)</f>
        <v>0</v>
      </c>
      <c r="AQ87" s="734">
        <f>IF(NFI_Expiration=1,IF($A87&lt;VLOOKUP(X$5,NFI,5,0),1,0)*Data_NFI_t[[#This Row],[Solar Lantern]],0)</f>
        <v>0</v>
      </c>
      <c r="AR87" s="105" t="str">
        <f ca="1">IFERROR(OFFSET(Camp_List[P_Code],MATCH(Data_NFI_t[[#This Row],[Camp Name]],Camp_List[Camp Name],0)-1,0,1,1),"")</f>
        <v/>
      </c>
      <c r="AS87" s="421" t="str">
        <f ca="1">IFERROR(OFFSET(Camp_List[Status],MATCH(Data_NFI_t[[#This Row],[Camp Name]],Camp_List[Camp Name],0)-1,0,1,1),"")</f>
        <v/>
      </c>
      <c r="AT87" s="749" t="s">
        <v>1056</v>
      </c>
      <c r="AW87" s="772"/>
    </row>
    <row r="88" spans="1:49" s="770" customFormat="1" ht="21" customHeight="1" x14ac:dyDescent="0.25">
      <c r="A88" s="736">
        <f t="shared" si="1"/>
        <v>10.3</v>
      </c>
      <c r="B88" s="737">
        <f>YEAR(Data_NFI_t[[#This Row],[Distribution Date]])</f>
        <v>2017</v>
      </c>
      <c r="C88" s="1013">
        <v>42881</v>
      </c>
      <c r="D88" s="733" t="s">
        <v>1025</v>
      </c>
      <c r="E88" s="733" t="s">
        <v>1025</v>
      </c>
      <c r="F88" s="733" t="s">
        <v>7</v>
      </c>
      <c r="G88" s="738" t="s">
        <v>17</v>
      </c>
      <c r="H88" s="738" t="s">
        <v>62</v>
      </c>
      <c r="I88" s="739"/>
      <c r="J88" s="835">
        <v>400</v>
      </c>
      <c r="K88" s="836">
        <f>400*5.5</f>
        <v>2200</v>
      </c>
      <c r="L88" s="740"/>
      <c r="M88" s="740">
        <v>400</v>
      </c>
      <c r="N88" s="741"/>
      <c r="O88" s="741"/>
      <c r="P88" s="741"/>
      <c r="Q88" s="741"/>
      <c r="R88" s="741"/>
      <c r="S88" s="741"/>
      <c r="T88" s="742"/>
      <c r="U88" s="741"/>
      <c r="V88" s="741"/>
      <c r="W88" s="741"/>
      <c r="X88" s="741"/>
      <c r="Y88" s="741"/>
      <c r="Z88" s="741"/>
      <c r="AA88" s="741"/>
      <c r="AB88" s="741"/>
      <c r="AC88" s="734">
        <f>IF(NFI_Expiration=1,IF($A88&lt;VLOOKUP(I$5,NFI,5,0),1,0)*Data_NFI_t[[#This Row],[Hygiene Kit]],0)</f>
        <v>0</v>
      </c>
      <c r="AD88" s="734">
        <f>IF(NFI_Expiration=1,IF($A88&lt;VLOOKUP(L$5,NFI,5,0),1,0)*Data_NFI_t[[#This Row],[NFI Core Kit]],0)</f>
        <v>0</v>
      </c>
      <c r="AE88" s="735">
        <f>IF(NFI_Expiration=1,IF($A88&lt;VLOOKUP(M$5,NFI,5,0),1,0)*Data_NFI_t[[#This Row],[Sanitary Kit]],0)</f>
        <v>400</v>
      </c>
      <c r="AF88" s="735">
        <f>IF(NFI_Expiration=1,IF($A88&lt;VLOOKUP(N$5,NFI,5,0),1,0)*Data_NFI_t[[#This Row],[Mosquito net]],0)</f>
        <v>0</v>
      </c>
      <c r="AG88" s="735">
        <f>IF(NFI_Expiration=1,IF($A88&lt;VLOOKUP(O$5,NFI,5,0),1,0)*Data_NFI_t[[#This Row],[Tarpaulin]],0)</f>
        <v>0</v>
      </c>
      <c r="AH88" s="735">
        <f>IF(NFI_Expiration=1,IF($A88&lt;VLOOKUP(P$5,NFI,5,0),1,0)*Data_NFI_t[[#This Row],[Blanket]],0)</f>
        <v>0</v>
      </c>
      <c r="AI88" s="735">
        <f>IF(NFI_Expiration=1,IF($A88&lt;VLOOKUP(Q$5,NFI,5,0),1,0)*Data_NFI_t[[#This Row],[Kitchen Set]],0)</f>
        <v>0</v>
      </c>
      <c r="AJ88" s="735">
        <f>IF(NFI_Expiration=1,IF($A88&lt;VLOOKUP(R$5,NFI,5,0),1,0)*Data_NFI_t[[#This Row],[Complementary Kit]],0)</f>
        <v>0</v>
      </c>
      <c r="AK88" s="735">
        <f>IF(NFI_Expiration=1,IF($A88&lt;VLOOKUP(S$5,NFI,5,0),1,0)*Data_NFI_t[[#This Row],[Plastic Bucket]],0)</f>
        <v>0</v>
      </c>
      <c r="AL88" s="734">
        <f>IF(NFI_Expiration=1,IF($A88&lt;VLOOKUP(T$5,NFI,5,0),1,0)*Data_NFI_t[[#This Row],[Jerry Can]],0)</f>
        <v>0</v>
      </c>
      <c r="AM88" s="734">
        <f>IF(NFI_Expiration=1,IF($A88&lt;VLOOKUP(U$5,NFI,5,0),1,0)*Data_NFI_t[[#This Row],[Plastic Mat]],0)</f>
        <v>0</v>
      </c>
      <c r="AN88" s="734">
        <f>IF(NFI_Expiration=1,IF($A88&lt;VLOOKUP(V$5,NFI,5,0),1,0)*Data_NFI_t[[#This Row],[Adult Clothes]],0)</f>
        <v>0</v>
      </c>
      <c r="AO88" s="734">
        <f>IF(NFI_Expiration=1,IF($A88&lt;VLOOKUP(W$5,NFI,5,0),1,0)*Data_NFI_t[[#This Row],[Children Clothes]],0)</f>
        <v>0</v>
      </c>
      <c r="AP88" s="734">
        <f>IF(NFI_Expiration=1,IF($A88&lt;VLOOKUP(X$5,NFI,5,0),1,0)*Data_NFI_t[[#This Row],[Sewing Kit]],0)</f>
        <v>0</v>
      </c>
      <c r="AQ88" s="734">
        <f>IF(NFI_Expiration=1,IF($A88&lt;VLOOKUP(X$5,NFI,5,0),1,0)*Data_NFI_t[[#This Row],[Solar Lantern]],0)</f>
        <v>0</v>
      </c>
      <c r="AR88" s="105" t="str">
        <f ca="1">IFERROR(OFFSET(Camp_List[P_Code],MATCH(Data_NFI_t[[#This Row],[Camp Name]],Camp_List[Camp Name],0)-1,0,1,1),"")</f>
        <v>MMR012CMP042</v>
      </c>
      <c r="AS88" s="421" t="str">
        <f ca="1">IFERROR(OFFSET(Camp_List[Status],MATCH(Data_NFI_t[[#This Row],[Camp Name]],Camp_List[Camp Name],0)-1,0,1,1),"")</f>
        <v>Open</v>
      </c>
      <c r="AT88" s="105"/>
      <c r="AW88" s="772"/>
    </row>
    <row r="89" spans="1:49" s="770" customFormat="1" ht="21" customHeight="1" x14ac:dyDescent="0.25">
      <c r="A89" s="736">
        <f t="shared" si="1"/>
        <v>10.3</v>
      </c>
      <c r="B89" s="737">
        <f>YEAR(Data_NFI_t[[#This Row],[Distribution Date]])</f>
        <v>2017</v>
      </c>
      <c r="C89" s="1013">
        <v>42881</v>
      </c>
      <c r="D89" s="733" t="s">
        <v>270</v>
      </c>
      <c r="E89" s="733" t="s">
        <v>575</v>
      </c>
      <c r="F89" s="733" t="s">
        <v>7</v>
      </c>
      <c r="G89" s="738" t="s">
        <v>17</v>
      </c>
      <c r="H89" s="738" t="s">
        <v>62</v>
      </c>
      <c r="I89" s="739"/>
      <c r="J89" s="831">
        <v>112</v>
      </c>
      <c r="K89" s="831">
        <f>J89*5.5</f>
        <v>616</v>
      </c>
      <c r="L89" s="740"/>
      <c r="M89" s="740"/>
      <c r="N89" s="741"/>
      <c r="O89" s="741">
        <v>112</v>
      </c>
      <c r="P89" s="741"/>
      <c r="Q89" s="741"/>
      <c r="R89" s="741"/>
      <c r="S89" s="741"/>
      <c r="T89" s="742"/>
      <c r="U89" s="741"/>
      <c r="V89" s="741"/>
      <c r="W89" s="741"/>
      <c r="X89" s="741"/>
      <c r="Y89" s="741"/>
      <c r="Z89" s="741"/>
      <c r="AA89" s="741"/>
      <c r="AB89" s="741"/>
      <c r="AC89" s="734">
        <f>IF(NFI_Expiration=1,IF($A89&lt;VLOOKUP(I$5,NFI,5,0),1,0)*Data_NFI_t[[#This Row],[Hygiene Kit]],0)</f>
        <v>0</v>
      </c>
      <c r="AD89" s="734">
        <f>IF(NFI_Expiration=1,IF($A89&lt;VLOOKUP(L$5,NFI,5,0),1,0)*Data_NFI_t[[#This Row],[NFI Core Kit]],0)</f>
        <v>0</v>
      </c>
      <c r="AE89" s="735">
        <f>IF(NFI_Expiration=1,IF($A89&lt;VLOOKUP(M$5,NFI,5,0),1,0)*Data_NFI_t[[#This Row],[Sanitary Kit]],0)</f>
        <v>0</v>
      </c>
      <c r="AF89" s="735">
        <f>IF(NFI_Expiration=1,IF($A89&lt;VLOOKUP(N$5,NFI,5,0),1,0)*Data_NFI_t[[#This Row],[Mosquito net]],0)</f>
        <v>0</v>
      </c>
      <c r="AG89" s="735">
        <f>IF(NFI_Expiration=1,IF($A89&lt;VLOOKUP(O$5,NFI,5,0),1,0)*Data_NFI_t[[#This Row],[Tarpaulin]],0)</f>
        <v>112</v>
      </c>
      <c r="AH89" s="735">
        <f>IF(NFI_Expiration=1,IF($A89&lt;VLOOKUP(P$5,NFI,5,0),1,0)*Data_NFI_t[[#This Row],[Blanket]],0)</f>
        <v>0</v>
      </c>
      <c r="AI89" s="735">
        <f>IF(NFI_Expiration=1,IF($A89&lt;VLOOKUP(Q$5,NFI,5,0),1,0)*Data_NFI_t[[#This Row],[Kitchen Set]],0)</f>
        <v>0</v>
      </c>
      <c r="AJ89" s="735">
        <f>IF(NFI_Expiration=1,IF($A89&lt;VLOOKUP(R$5,NFI,5,0),1,0)*Data_NFI_t[[#This Row],[Complementary Kit]],0)</f>
        <v>0</v>
      </c>
      <c r="AK89" s="735">
        <f>IF(NFI_Expiration=1,IF($A89&lt;VLOOKUP(S$5,NFI,5,0),1,0)*Data_NFI_t[[#This Row],[Plastic Bucket]],0)</f>
        <v>0</v>
      </c>
      <c r="AL89" s="734">
        <f>IF(NFI_Expiration=1,IF($A89&lt;VLOOKUP(T$5,NFI,5,0),1,0)*Data_NFI_t[[#This Row],[Jerry Can]],0)</f>
        <v>0</v>
      </c>
      <c r="AM89" s="734">
        <f>IF(NFI_Expiration=1,IF($A89&lt;VLOOKUP(U$5,NFI,5,0),1,0)*Data_NFI_t[[#This Row],[Plastic Mat]],0)</f>
        <v>0</v>
      </c>
      <c r="AN89" s="734">
        <f>IF(NFI_Expiration=1,IF($A89&lt;VLOOKUP(V$5,NFI,5,0),1,0)*Data_NFI_t[[#This Row],[Adult Clothes]],0)</f>
        <v>0</v>
      </c>
      <c r="AO89" s="734">
        <f>IF(NFI_Expiration=1,IF($A89&lt;VLOOKUP(W$5,NFI,5,0),1,0)*Data_NFI_t[[#This Row],[Children Clothes]],0)</f>
        <v>0</v>
      </c>
      <c r="AP89" s="734">
        <f>IF(NFI_Expiration=1,IF($A89&lt;VLOOKUP(X$5,NFI,5,0),1,0)*Data_NFI_t[[#This Row],[Sewing Kit]],0)</f>
        <v>0</v>
      </c>
      <c r="AQ89" s="734">
        <f>IF(NFI_Expiration=1,IF($A89&lt;VLOOKUP(X$5,NFI,5,0),1,0)*Data_NFI_t[[#This Row],[Solar Lantern]],0)</f>
        <v>0</v>
      </c>
      <c r="AR89" s="105" t="str">
        <f ca="1">IFERROR(OFFSET(Camp_List[P_Code],MATCH(Data_NFI_t[[#This Row],[Camp Name]],Camp_List[Camp Name],0)-1,0,1,1),"")</f>
        <v>MMR012CMP042</v>
      </c>
      <c r="AS89" s="421" t="str">
        <f ca="1">IFERROR(OFFSET(Camp_List[Status],MATCH(Data_NFI_t[[#This Row],[Camp Name]],Camp_List[Camp Name],0)-1,0,1,1),"")</f>
        <v>Open</v>
      </c>
      <c r="AT89" s="105"/>
      <c r="AW89" s="772"/>
    </row>
    <row r="90" spans="1:49" s="770" customFormat="1" ht="21" customHeight="1" x14ac:dyDescent="0.25">
      <c r="A90" s="736">
        <f t="shared" si="1"/>
        <v>10.333333333333334</v>
      </c>
      <c r="B90" s="737">
        <f>YEAR(Data_NFI_t[[#This Row],[Distribution Date]])</f>
        <v>2017</v>
      </c>
      <c r="C90" s="1013">
        <v>42880</v>
      </c>
      <c r="D90" s="733" t="s">
        <v>476</v>
      </c>
      <c r="E90" s="733" t="s">
        <v>476</v>
      </c>
      <c r="F90" s="733" t="s">
        <v>7</v>
      </c>
      <c r="G90" s="738" t="s">
        <v>17</v>
      </c>
      <c r="H90" s="738" t="s">
        <v>585</v>
      </c>
      <c r="I90" s="739"/>
      <c r="J90" s="850">
        <v>635</v>
      </c>
      <c r="K90" s="852">
        <f>635*5.5</f>
        <v>3492.5</v>
      </c>
      <c r="L90" s="740"/>
      <c r="M90" s="740"/>
      <c r="N90" s="741"/>
      <c r="O90" s="741"/>
      <c r="P90" s="741"/>
      <c r="Q90" s="741"/>
      <c r="R90" s="741"/>
      <c r="S90" s="741">
        <v>635</v>
      </c>
      <c r="T90" s="742"/>
      <c r="U90" s="741"/>
      <c r="V90" s="741"/>
      <c r="W90" s="741"/>
      <c r="X90" s="741"/>
      <c r="Y90" s="741"/>
      <c r="Z90" s="741"/>
      <c r="AA90" s="741"/>
      <c r="AB90" s="741"/>
      <c r="AC90" s="734">
        <f>IF(NFI_Expiration=1,IF($A90&lt;VLOOKUP(I$5,NFI,5,0),1,0)*Data_NFI_t[[#This Row],[Hygiene Kit]],0)</f>
        <v>0</v>
      </c>
      <c r="AD90" s="734">
        <f>IF(NFI_Expiration=1,IF($A90&lt;VLOOKUP(L$5,NFI,5,0),1,0)*Data_NFI_t[[#This Row],[NFI Core Kit]],0)</f>
        <v>0</v>
      </c>
      <c r="AE90" s="735">
        <f>IF(NFI_Expiration=1,IF($A90&lt;VLOOKUP(M$5,NFI,5,0),1,0)*Data_NFI_t[[#This Row],[Sanitary Kit]],0)</f>
        <v>0</v>
      </c>
      <c r="AF90" s="735">
        <f>IF(NFI_Expiration=1,IF($A90&lt;VLOOKUP(N$5,NFI,5,0),1,0)*Data_NFI_t[[#This Row],[Mosquito net]],0)</f>
        <v>0</v>
      </c>
      <c r="AG90" s="735">
        <f>IF(NFI_Expiration=1,IF($A90&lt;VLOOKUP(O$5,NFI,5,0),1,0)*Data_NFI_t[[#This Row],[Tarpaulin]],0)</f>
        <v>0</v>
      </c>
      <c r="AH90" s="735">
        <f>IF(NFI_Expiration=1,IF($A90&lt;VLOOKUP(P$5,NFI,5,0),1,0)*Data_NFI_t[[#This Row],[Blanket]],0)</f>
        <v>0</v>
      </c>
      <c r="AI90" s="735">
        <f>IF(NFI_Expiration=1,IF($A90&lt;VLOOKUP(Q$5,NFI,5,0),1,0)*Data_NFI_t[[#This Row],[Kitchen Set]],0)</f>
        <v>0</v>
      </c>
      <c r="AJ90" s="735">
        <f>IF(NFI_Expiration=1,IF($A90&lt;VLOOKUP(R$5,NFI,5,0),1,0)*Data_NFI_t[[#This Row],[Complementary Kit]],0)</f>
        <v>0</v>
      </c>
      <c r="AK90" s="735">
        <f>IF(NFI_Expiration=1,IF($A90&lt;VLOOKUP(S$5,NFI,5,0),1,0)*Data_NFI_t[[#This Row],[Plastic Bucket]],0)</f>
        <v>635</v>
      </c>
      <c r="AL90" s="734">
        <f>IF(NFI_Expiration=1,IF($A90&lt;VLOOKUP(T$5,NFI,5,0),1,0)*Data_NFI_t[[#This Row],[Jerry Can]],0)</f>
        <v>0</v>
      </c>
      <c r="AM90" s="734">
        <f>IF(NFI_Expiration=1,IF($A90&lt;VLOOKUP(U$5,NFI,5,0),1,0)*Data_NFI_t[[#This Row],[Plastic Mat]],0)</f>
        <v>0</v>
      </c>
      <c r="AN90" s="734">
        <f>IF(NFI_Expiration=1,IF($A90&lt;VLOOKUP(V$5,NFI,5,0),1,0)*Data_NFI_t[[#This Row],[Adult Clothes]],0)</f>
        <v>0</v>
      </c>
      <c r="AO90" s="734">
        <f>IF(NFI_Expiration=1,IF($A90&lt;VLOOKUP(W$5,NFI,5,0),1,0)*Data_NFI_t[[#This Row],[Children Clothes]],0)</f>
        <v>0</v>
      </c>
      <c r="AP90" s="734">
        <f>IF(NFI_Expiration=1,IF($A90&lt;VLOOKUP(X$5,NFI,5,0),1,0)*Data_NFI_t[[#This Row],[Sewing Kit]],0)</f>
        <v>0</v>
      </c>
      <c r="AQ90" s="734">
        <f>IF(NFI_Expiration=1,IF($A90&lt;VLOOKUP(X$5,NFI,5,0),1,0)*Data_NFI_t[[#This Row],[Solar Lantern]],0)</f>
        <v>0</v>
      </c>
      <c r="AR90" s="105" t="str">
        <f ca="1">IFERROR(OFFSET(Camp_List[P_Code],MATCH(Data_NFI_t[[#This Row],[Camp Name]],Camp_List[Camp Name],0)-1,0,1,1),"")</f>
        <v>MMR012CMP098</v>
      </c>
      <c r="AS90" s="421" t="str">
        <f ca="1">IFERROR(OFFSET(Camp_List[Status],MATCH(Data_NFI_t[[#This Row],[Camp Name]],Camp_List[Camp Name],0)-1,0,1,1),"")</f>
        <v>Open</v>
      </c>
      <c r="AT90" s="105"/>
      <c r="AW90" s="772"/>
    </row>
    <row r="91" spans="1:49" s="770" customFormat="1" ht="21" customHeight="1" x14ac:dyDescent="0.25">
      <c r="A91" s="736">
        <f t="shared" si="1"/>
        <v>10.4</v>
      </c>
      <c r="B91" s="737">
        <f>YEAR(Data_NFI_t[[#This Row],[Distribution Date]])</f>
        <v>2017</v>
      </c>
      <c r="C91" s="1013">
        <v>42878</v>
      </c>
      <c r="D91" s="733" t="s">
        <v>1044</v>
      </c>
      <c r="E91" s="733" t="s">
        <v>1044</v>
      </c>
      <c r="F91" s="733" t="s">
        <v>7</v>
      </c>
      <c r="G91" s="738" t="s">
        <v>17</v>
      </c>
      <c r="H91" s="738" t="s">
        <v>59</v>
      </c>
      <c r="I91" s="739"/>
      <c r="J91" s="850">
        <v>397</v>
      </c>
      <c r="K91" s="852">
        <f>Data_NFI_t[[#This Row],[Household Coverage]]*5.5</f>
        <v>2183.5</v>
      </c>
      <c r="L91" s="740"/>
      <c r="M91" s="740">
        <v>397</v>
      </c>
      <c r="N91" s="741"/>
      <c r="O91" s="741"/>
      <c r="P91" s="741"/>
      <c r="Q91" s="741"/>
      <c r="R91" s="741"/>
      <c r="S91" s="741"/>
      <c r="T91" s="742"/>
      <c r="U91" s="741"/>
      <c r="V91" s="741"/>
      <c r="W91" s="741"/>
      <c r="X91" s="741"/>
      <c r="Y91" s="741"/>
      <c r="Z91" s="741"/>
      <c r="AA91" s="741"/>
      <c r="AB91" s="741"/>
      <c r="AC91" s="734">
        <f>IF(NFI_Expiration=1,IF($A91&lt;VLOOKUP(I$5,NFI,5,0),1,0)*Data_NFI_t[[#This Row],[Hygiene Kit]],0)</f>
        <v>0</v>
      </c>
      <c r="AD91" s="734">
        <f>IF(NFI_Expiration=1,IF($A91&lt;VLOOKUP(L$5,NFI,5,0),1,0)*Data_NFI_t[[#This Row],[NFI Core Kit]],0)</f>
        <v>0</v>
      </c>
      <c r="AE91" s="735">
        <f>IF(NFI_Expiration=1,IF($A91&lt;VLOOKUP(M$5,NFI,5,0),1,0)*Data_NFI_t[[#This Row],[Sanitary Kit]],0)</f>
        <v>397</v>
      </c>
      <c r="AF91" s="735">
        <f>IF(NFI_Expiration=1,IF($A91&lt;VLOOKUP(N$5,NFI,5,0),1,0)*Data_NFI_t[[#This Row],[Mosquito net]],0)</f>
        <v>0</v>
      </c>
      <c r="AG91" s="735">
        <f>IF(NFI_Expiration=1,IF($A91&lt;VLOOKUP(O$5,NFI,5,0),1,0)*Data_NFI_t[[#This Row],[Tarpaulin]],0)</f>
        <v>0</v>
      </c>
      <c r="AH91" s="735">
        <f>IF(NFI_Expiration=1,IF($A91&lt;VLOOKUP(P$5,NFI,5,0),1,0)*Data_NFI_t[[#This Row],[Blanket]],0)</f>
        <v>0</v>
      </c>
      <c r="AI91" s="735">
        <f>IF(NFI_Expiration=1,IF($A91&lt;VLOOKUP(Q$5,NFI,5,0),1,0)*Data_NFI_t[[#This Row],[Kitchen Set]],0)</f>
        <v>0</v>
      </c>
      <c r="AJ91" s="735">
        <f>IF(NFI_Expiration=1,IF($A91&lt;VLOOKUP(R$5,NFI,5,0),1,0)*Data_NFI_t[[#This Row],[Complementary Kit]],0)</f>
        <v>0</v>
      </c>
      <c r="AK91" s="735">
        <f>IF(NFI_Expiration=1,IF($A91&lt;VLOOKUP(S$5,NFI,5,0),1,0)*Data_NFI_t[[#This Row],[Plastic Bucket]],0)</f>
        <v>0</v>
      </c>
      <c r="AL91" s="734">
        <f>IF(NFI_Expiration=1,IF($A91&lt;VLOOKUP(T$5,NFI,5,0),1,0)*Data_NFI_t[[#This Row],[Jerry Can]],0)</f>
        <v>0</v>
      </c>
      <c r="AM91" s="734">
        <f>IF(NFI_Expiration=1,IF($A91&lt;VLOOKUP(U$5,NFI,5,0),1,0)*Data_NFI_t[[#This Row],[Plastic Mat]],0)</f>
        <v>0</v>
      </c>
      <c r="AN91" s="734">
        <f>IF(NFI_Expiration=1,IF($A91&lt;VLOOKUP(V$5,NFI,5,0),1,0)*Data_NFI_t[[#This Row],[Adult Clothes]],0)</f>
        <v>0</v>
      </c>
      <c r="AO91" s="734">
        <f>IF(NFI_Expiration=1,IF($A91&lt;VLOOKUP(W$5,NFI,5,0),1,0)*Data_NFI_t[[#This Row],[Children Clothes]],0)</f>
        <v>0</v>
      </c>
      <c r="AP91" s="734">
        <f>IF(NFI_Expiration=1,IF($A91&lt;VLOOKUP(X$5,NFI,5,0),1,0)*Data_NFI_t[[#This Row],[Sewing Kit]],0)</f>
        <v>0</v>
      </c>
      <c r="AQ91" s="734">
        <f>IF(NFI_Expiration=1,IF($A91&lt;VLOOKUP(X$5,NFI,5,0),1,0)*Data_NFI_t[[#This Row],[Solar Lantern]],0)</f>
        <v>0</v>
      </c>
      <c r="AR91" s="105" t="str">
        <f ca="1">IFERROR(OFFSET(Camp_List[P_Code],MATCH(Data_NFI_t[[#This Row],[Camp Name]],Camp_List[Camp Name],0)-1,0,1,1),"")</f>
        <v>MMR012CMP039</v>
      </c>
      <c r="AS91" s="421" t="str">
        <f ca="1">IFERROR(OFFSET(Camp_List[Status],MATCH(Data_NFI_t[[#This Row],[Camp Name]],Camp_List[Camp Name],0)-1,0,1,1),"")</f>
        <v>Open</v>
      </c>
      <c r="AT91" s="105"/>
      <c r="AW91" s="772"/>
    </row>
    <row r="92" spans="1:49" s="770" customFormat="1" ht="21" customHeight="1" x14ac:dyDescent="0.25">
      <c r="A92" s="736">
        <f t="shared" si="1"/>
        <v>10.433333333333334</v>
      </c>
      <c r="B92" s="737">
        <f>YEAR(Data_NFI_t[[#This Row],[Distribution Date]])</f>
        <v>2017</v>
      </c>
      <c r="C92" s="1013">
        <v>42877</v>
      </c>
      <c r="D92" s="733" t="s">
        <v>913</v>
      </c>
      <c r="E92" s="733" t="s">
        <v>913</v>
      </c>
      <c r="F92" s="733" t="s">
        <v>7</v>
      </c>
      <c r="G92" s="738" t="s">
        <v>17</v>
      </c>
      <c r="H92" s="738" t="s">
        <v>68</v>
      </c>
      <c r="I92" s="739"/>
      <c r="J92" s="850">
        <v>30</v>
      </c>
      <c r="K92" s="850">
        <f>30*5.5</f>
        <v>165</v>
      </c>
      <c r="L92" s="740">
        <v>30</v>
      </c>
      <c r="M92" s="740"/>
      <c r="N92" s="741"/>
      <c r="O92" s="741"/>
      <c r="P92" s="741"/>
      <c r="Q92" s="741"/>
      <c r="R92" s="741"/>
      <c r="S92" s="741"/>
      <c r="T92" s="742"/>
      <c r="U92" s="741"/>
      <c r="V92" s="741"/>
      <c r="W92" s="741"/>
      <c r="X92" s="741"/>
      <c r="Y92" s="741"/>
      <c r="Z92" s="741"/>
      <c r="AA92" s="741"/>
      <c r="AB92" s="741"/>
      <c r="AC92" s="734">
        <f>IF(NFI_Expiration=1,IF($A92&lt;VLOOKUP(I$5,NFI,5,0),1,0)*Data_NFI_t[[#This Row],[Hygiene Kit]],0)</f>
        <v>0</v>
      </c>
      <c r="AD92" s="734">
        <f>IF(NFI_Expiration=1,IF($A92&lt;VLOOKUP(L$5,NFI,5,0),1,0)*Data_NFI_t[[#This Row],[NFI Core Kit]],0)</f>
        <v>30</v>
      </c>
      <c r="AE92" s="735">
        <f>IF(NFI_Expiration=1,IF($A92&lt;VLOOKUP(M$5,NFI,5,0),1,0)*Data_NFI_t[[#This Row],[Sanitary Kit]],0)</f>
        <v>0</v>
      </c>
      <c r="AF92" s="735">
        <f>IF(NFI_Expiration=1,IF($A92&lt;VLOOKUP(N$5,NFI,5,0),1,0)*Data_NFI_t[[#This Row],[Mosquito net]],0)</f>
        <v>0</v>
      </c>
      <c r="AG92" s="735">
        <f>IF(NFI_Expiration=1,IF($A92&lt;VLOOKUP(O$5,NFI,5,0),1,0)*Data_NFI_t[[#This Row],[Tarpaulin]],0)</f>
        <v>0</v>
      </c>
      <c r="AH92" s="735">
        <f>IF(NFI_Expiration=1,IF($A92&lt;VLOOKUP(P$5,NFI,5,0),1,0)*Data_NFI_t[[#This Row],[Blanket]],0)</f>
        <v>0</v>
      </c>
      <c r="AI92" s="735">
        <f>IF(NFI_Expiration=1,IF($A92&lt;VLOOKUP(Q$5,NFI,5,0),1,0)*Data_NFI_t[[#This Row],[Kitchen Set]],0)</f>
        <v>0</v>
      </c>
      <c r="AJ92" s="735">
        <f>IF(NFI_Expiration=1,IF($A92&lt;VLOOKUP(R$5,NFI,5,0),1,0)*Data_NFI_t[[#This Row],[Complementary Kit]],0)</f>
        <v>0</v>
      </c>
      <c r="AK92" s="735">
        <f>IF(NFI_Expiration=1,IF($A92&lt;VLOOKUP(S$5,NFI,5,0),1,0)*Data_NFI_t[[#This Row],[Plastic Bucket]],0)</f>
        <v>0</v>
      </c>
      <c r="AL92" s="734">
        <f>IF(NFI_Expiration=1,IF($A92&lt;VLOOKUP(T$5,NFI,5,0),1,0)*Data_NFI_t[[#This Row],[Jerry Can]],0)</f>
        <v>0</v>
      </c>
      <c r="AM92" s="734">
        <f>IF(NFI_Expiration=1,IF($A92&lt;VLOOKUP(U$5,NFI,5,0),1,0)*Data_NFI_t[[#This Row],[Plastic Mat]],0)</f>
        <v>0</v>
      </c>
      <c r="AN92" s="734">
        <f>IF(NFI_Expiration=1,IF($A92&lt;VLOOKUP(V$5,NFI,5,0),1,0)*Data_NFI_t[[#This Row],[Adult Clothes]],0)</f>
        <v>0</v>
      </c>
      <c r="AO92" s="734">
        <f>IF(NFI_Expiration=1,IF($A92&lt;VLOOKUP(W$5,NFI,5,0),1,0)*Data_NFI_t[[#This Row],[Children Clothes]],0)</f>
        <v>0</v>
      </c>
      <c r="AP92" s="734">
        <f>IF(NFI_Expiration=1,IF($A92&lt;VLOOKUP(X$5,NFI,5,0),1,0)*Data_NFI_t[[#This Row],[Sewing Kit]],0)</f>
        <v>0</v>
      </c>
      <c r="AQ92" s="734">
        <f>IF(NFI_Expiration=1,IF($A92&lt;VLOOKUP(X$5,NFI,5,0),1,0)*Data_NFI_t[[#This Row],[Solar Lantern]],0)</f>
        <v>0</v>
      </c>
      <c r="AR92" s="105" t="str">
        <f ca="1">IFERROR(OFFSET(Camp_List[P_Code],MATCH(Data_NFI_t[[#This Row],[Camp Name]],Camp_List[Camp Name],0)-1,0,1,1),"")</f>
        <v>MMR012CMP048</v>
      </c>
      <c r="AS92" s="421" t="str">
        <f ca="1">IFERROR(OFFSET(Camp_List[Status],MATCH(Data_NFI_t[[#This Row],[Camp Name]],Camp_List[Camp Name],0)-1,0,1,1),"")</f>
        <v>Open</v>
      </c>
      <c r="AT92" s="105"/>
      <c r="AW92" s="772"/>
    </row>
    <row r="93" spans="1:49" s="770" customFormat="1" ht="21" customHeight="1" x14ac:dyDescent="0.25">
      <c r="A93" s="736">
        <f t="shared" si="1"/>
        <v>10.666666666666666</v>
      </c>
      <c r="B93" s="737">
        <f>YEAR(Data_NFI_t[[#This Row],[Distribution Date]])</f>
        <v>2017</v>
      </c>
      <c r="C93" s="1013">
        <v>42870</v>
      </c>
      <c r="D93" s="733" t="s">
        <v>1044</v>
      </c>
      <c r="E93" s="733" t="s">
        <v>1044</v>
      </c>
      <c r="F93" s="733" t="s">
        <v>7</v>
      </c>
      <c r="G93" s="738" t="s">
        <v>17</v>
      </c>
      <c r="H93" s="738" t="s">
        <v>580</v>
      </c>
      <c r="I93" s="739"/>
      <c r="J93" s="850">
        <v>656</v>
      </c>
      <c r="K93" s="852">
        <f>Data_NFI_t[[#This Row],[Household Coverage]]*5.5</f>
        <v>3608</v>
      </c>
      <c r="L93" s="740"/>
      <c r="M93" s="740">
        <v>656</v>
      </c>
      <c r="N93" s="741"/>
      <c r="O93" s="741"/>
      <c r="P93" s="741"/>
      <c r="Q93" s="741"/>
      <c r="R93" s="741"/>
      <c r="S93" s="741">
        <v>104</v>
      </c>
      <c r="T93" s="742"/>
      <c r="U93" s="741"/>
      <c r="V93" s="741"/>
      <c r="W93" s="741"/>
      <c r="X93" s="741"/>
      <c r="Y93" s="741"/>
      <c r="Z93" s="741"/>
      <c r="AA93" s="741"/>
      <c r="AB93" s="741"/>
      <c r="AC93" s="734">
        <f>IF(NFI_Expiration=1,IF($A93&lt;VLOOKUP(I$5,NFI,5,0),1,0)*Data_NFI_t[[#This Row],[Hygiene Kit]],0)</f>
        <v>0</v>
      </c>
      <c r="AD93" s="734">
        <f>IF(NFI_Expiration=1,IF($A93&lt;VLOOKUP(L$5,NFI,5,0),1,0)*Data_NFI_t[[#This Row],[NFI Core Kit]],0)</f>
        <v>0</v>
      </c>
      <c r="AE93" s="735">
        <f>IF(NFI_Expiration=1,IF($A93&lt;VLOOKUP(M$5,NFI,5,0),1,0)*Data_NFI_t[[#This Row],[Sanitary Kit]],0)</f>
        <v>656</v>
      </c>
      <c r="AF93" s="735">
        <f>IF(NFI_Expiration=1,IF($A93&lt;VLOOKUP(N$5,NFI,5,0),1,0)*Data_NFI_t[[#This Row],[Mosquito net]],0)</f>
        <v>0</v>
      </c>
      <c r="AG93" s="735">
        <f>IF(NFI_Expiration=1,IF($A93&lt;VLOOKUP(O$5,NFI,5,0),1,0)*Data_NFI_t[[#This Row],[Tarpaulin]],0)</f>
        <v>0</v>
      </c>
      <c r="AH93" s="735">
        <f>IF(NFI_Expiration=1,IF($A93&lt;VLOOKUP(P$5,NFI,5,0),1,0)*Data_NFI_t[[#This Row],[Blanket]],0)</f>
        <v>0</v>
      </c>
      <c r="AI93" s="735">
        <f>IF(NFI_Expiration=1,IF($A93&lt;VLOOKUP(Q$5,NFI,5,0),1,0)*Data_NFI_t[[#This Row],[Kitchen Set]],0)</f>
        <v>0</v>
      </c>
      <c r="AJ93" s="735">
        <f>IF(NFI_Expiration=1,IF($A93&lt;VLOOKUP(R$5,NFI,5,0),1,0)*Data_NFI_t[[#This Row],[Complementary Kit]],0)</f>
        <v>0</v>
      </c>
      <c r="AK93" s="735">
        <f>IF(NFI_Expiration=1,IF($A93&lt;VLOOKUP(S$5,NFI,5,0),1,0)*Data_NFI_t[[#This Row],[Plastic Bucket]],0)</f>
        <v>104</v>
      </c>
      <c r="AL93" s="734">
        <f>IF(NFI_Expiration=1,IF($A93&lt;VLOOKUP(T$5,NFI,5,0),1,0)*Data_NFI_t[[#This Row],[Jerry Can]],0)</f>
        <v>0</v>
      </c>
      <c r="AM93" s="734">
        <f>IF(NFI_Expiration=1,IF($A93&lt;VLOOKUP(U$5,NFI,5,0),1,0)*Data_NFI_t[[#This Row],[Plastic Mat]],0)</f>
        <v>0</v>
      </c>
      <c r="AN93" s="734">
        <f>IF(NFI_Expiration=1,IF($A93&lt;VLOOKUP(V$5,NFI,5,0),1,0)*Data_NFI_t[[#This Row],[Adult Clothes]],0)</f>
        <v>0</v>
      </c>
      <c r="AO93" s="734">
        <f>IF(NFI_Expiration=1,IF($A93&lt;VLOOKUP(W$5,NFI,5,0),1,0)*Data_NFI_t[[#This Row],[Children Clothes]],0)</f>
        <v>0</v>
      </c>
      <c r="AP93" s="734">
        <f>IF(NFI_Expiration=1,IF($A93&lt;VLOOKUP(X$5,NFI,5,0),1,0)*Data_NFI_t[[#This Row],[Sewing Kit]],0)</f>
        <v>0</v>
      </c>
      <c r="AQ93" s="734">
        <f>IF(NFI_Expiration=1,IF($A93&lt;VLOOKUP(X$5,NFI,5,0),1,0)*Data_NFI_t[[#This Row],[Solar Lantern]],0)</f>
        <v>0</v>
      </c>
      <c r="AR93" s="105" t="str">
        <f ca="1">IFERROR(OFFSET(Camp_List[P_Code],MATCH(Data_NFI_t[[#This Row],[Camp Name]],Camp_List[Camp Name],0)-1,0,1,1),"")</f>
        <v>MMR012CMP092</v>
      </c>
      <c r="AS93" s="421" t="str">
        <f ca="1">IFERROR(OFFSET(Camp_List[Status],MATCH(Data_NFI_t[[#This Row],[Camp Name]],Camp_List[Camp Name],0)-1,0,1,1),"")</f>
        <v>Open</v>
      </c>
      <c r="AT93" s="105"/>
      <c r="AW93" s="772"/>
    </row>
    <row r="94" spans="1:49" s="770" customFormat="1" ht="23.25" customHeight="1" x14ac:dyDescent="0.25">
      <c r="A94" s="736">
        <f t="shared" si="1"/>
        <v>10.8</v>
      </c>
      <c r="B94" s="737">
        <f>YEAR(Data_NFI_t[[#This Row],[Distribution Date]])</f>
        <v>2017</v>
      </c>
      <c r="C94" s="1013">
        <v>42866</v>
      </c>
      <c r="D94" s="733" t="s">
        <v>1044</v>
      </c>
      <c r="E94" s="733" t="s">
        <v>1044</v>
      </c>
      <c r="F94" s="733" t="s">
        <v>7</v>
      </c>
      <c r="G94" s="738" t="s">
        <v>17</v>
      </c>
      <c r="H94" s="738" t="s">
        <v>68</v>
      </c>
      <c r="I94" s="739"/>
      <c r="J94" s="846">
        <v>998</v>
      </c>
      <c r="K94" s="847">
        <f>Data_NFI_t[[#This Row],[Household Coverage]]*5.5</f>
        <v>5489</v>
      </c>
      <c r="L94" s="740"/>
      <c r="M94" s="740">
        <v>998</v>
      </c>
      <c r="N94" s="741"/>
      <c r="O94" s="741"/>
      <c r="P94" s="741"/>
      <c r="Q94" s="741"/>
      <c r="R94" s="741"/>
      <c r="S94" s="741"/>
      <c r="T94" s="742"/>
      <c r="U94" s="741"/>
      <c r="V94" s="741"/>
      <c r="W94" s="741"/>
      <c r="X94" s="741"/>
      <c r="Y94" s="741"/>
      <c r="Z94" s="741"/>
      <c r="AA94" s="741"/>
      <c r="AB94" s="741"/>
      <c r="AC94" s="734">
        <f>IF(NFI_Expiration=1,IF($A94&lt;VLOOKUP(I$5,NFI,5,0),1,0)*Data_NFI_t[[#This Row],[Hygiene Kit]],0)</f>
        <v>0</v>
      </c>
      <c r="AD94" s="734">
        <f>IF(NFI_Expiration=1,IF($A94&lt;VLOOKUP(L$5,NFI,5,0),1,0)*Data_NFI_t[[#This Row],[NFI Core Kit]],0)</f>
        <v>0</v>
      </c>
      <c r="AE94" s="735">
        <f>IF(NFI_Expiration=1,IF($A94&lt;VLOOKUP(M$5,NFI,5,0),1,0)*Data_NFI_t[[#This Row],[Sanitary Kit]],0)</f>
        <v>998</v>
      </c>
      <c r="AF94" s="735">
        <f>IF(NFI_Expiration=1,IF($A94&lt;VLOOKUP(N$5,NFI,5,0),1,0)*Data_NFI_t[[#This Row],[Mosquito net]],0)</f>
        <v>0</v>
      </c>
      <c r="AG94" s="735">
        <f>IF(NFI_Expiration=1,IF($A94&lt;VLOOKUP(O$5,NFI,5,0),1,0)*Data_NFI_t[[#This Row],[Tarpaulin]],0)</f>
        <v>0</v>
      </c>
      <c r="AH94" s="735">
        <f>IF(NFI_Expiration=1,IF($A94&lt;VLOOKUP(P$5,NFI,5,0),1,0)*Data_NFI_t[[#This Row],[Blanket]],0)</f>
        <v>0</v>
      </c>
      <c r="AI94" s="735">
        <f>IF(NFI_Expiration=1,IF($A94&lt;VLOOKUP(Q$5,NFI,5,0),1,0)*Data_NFI_t[[#This Row],[Kitchen Set]],0)</f>
        <v>0</v>
      </c>
      <c r="AJ94" s="735">
        <f>IF(NFI_Expiration=1,IF($A94&lt;VLOOKUP(R$5,NFI,5,0),1,0)*Data_NFI_t[[#This Row],[Complementary Kit]],0)</f>
        <v>0</v>
      </c>
      <c r="AK94" s="735">
        <f>IF(NFI_Expiration=1,IF($A94&lt;VLOOKUP(S$5,NFI,5,0),1,0)*Data_NFI_t[[#This Row],[Plastic Bucket]],0)</f>
        <v>0</v>
      </c>
      <c r="AL94" s="734">
        <f>IF(NFI_Expiration=1,IF($A94&lt;VLOOKUP(T$5,NFI,5,0),1,0)*Data_NFI_t[[#This Row],[Jerry Can]],0)</f>
        <v>0</v>
      </c>
      <c r="AM94" s="734">
        <f>IF(NFI_Expiration=1,IF($A94&lt;VLOOKUP(U$5,NFI,5,0),1,0)*Data_NFI_t[[#This Row],[Plastic Mat]],0)</f>
        <v>0</v>
      </c>
      <c r="AN94" s="734">
        <f>IF(NFI_Expiration=1,IF($A94&lt;VLOOKUP(V$5,NFI,5,0),1,0)*Data_NFI_t[[#This Row],[Adult Clothes]],0)</f>
        <v>0</v>
      </c>
      <c r="AO94" s="734">
        <f>IF(NFI_Expiration=1,IF($A94&lt;VLOOKUP(W$5,NFI,5,0),1,0)*Data_NFI_t[[#This Row],[Children Clothes]],0)</f>
        <v>0</v>
      </c>
      <c r="AP94" s="734">
        <f>IF(NFI_Expiration=1,IF($A94&lt;VLOOKUP(X$5,NFI,5,0),1,0)*Data_NFI_t[[#This Row],[Sewing Kit]],0)</f>
        <v>0</v>
      </c>
      <c r="AQ94" s="734">
        <f>IF(NFI_Expiration=1,IF($A94&lt;VLOOKUP(X$5,NFI,5,0),1,0)*Data_NFI_t[[#This Row],[Solar Lantern]],0)</f>
        <v>0</v>
      </c>
      <c r="AR94" s="105" t="str">
        <f ca="1">IFERROR(OFFSET(Camp_List[P_Code],MATCH(Data_NFI_t[[#This Row],[Camp Name]],Camp_List[Camp Name],0)-1,0,1,1),"")</f>
        <v>MMR012CMP048</v>
      </c>
      <c r="AS94" s="421" t="str">
        <f ca="1">IFERROR(OFFSET(Camp_List[Status],MATCH(Data_NFI_t[[#This Row],[Camp Name]],Camp_List[Camp Name],0)-1,0,1,1),"")</f>
        <v>Open</v>
      </c>
      <c r="AT94" s="105"/>
      <c r="AW94" s="772"/>
    </row>
    <row r="95" spans="1:49" s="770" customFormat="1" ht="23.25" customHeight="1" x14ac:dyDescent="0.25">
      <c r="A95" s="736">
        <f t="shared" si="1"/>
        <v>11</v>
      </c>
      <c r="B95" s="737">
        <f>YEAR(Data_NFI_t[[#This Row],[Distribution Date]])</f>
        <v>2017</v>
      </c>
      <c r="C95" s="1013">
        <v>42860</v>
      </c>
      <c r="D95" s="733" t="s">
        <v>270</v>
      </c>
      <c r="E95" s="733" t="s">
        <v>270</v>
      </c>
      <c r="F95" s="733" t="s">
        <v>7</v>
      </c>
      <c r="G95" s="738" t="s">
        <v>14</v>
      </c>
      <c r="H95" s="738" t="s">
        <v>45</v>
      </c>
      <c r="I95" s="739"/>
      <c r="J95" s="835">
        <v>91</v>
      </c>
      <c r="K95" s="835">
        <v>500</v>
      </c>
      <c r="L95" s="740"/>
      <c r="M95" s="740"/>
      <c r="N95" s="741">
        <v>182</v>
      </c>
      <c r="O95" s="741">
        <v>182</v>
      </c>
      <c r="P95" s="741">
        <v>182</v>
      </c>
      <c r="Q95" s="741">
        <v>91</v>
      </c>
      <c r="R95" s="741"/>
      <c r="S95" s="741"/>
      <c r="T95" s="742">
        <v>91</v>
      </c>
      <c r="U95" s="741">
        <v>455</v>
      </c>
      <c r="V95" s="741"/>
      <c r="W95" s="741"/>
      <c r="X95" s="741"/>
      <c r="Y95" s="741"/>
      <c r="Z95" s="741"/>
      <c r="AA95" s="741"/>
      <c r="AB95" s="741"/>
      <c r="AC95" s="734">
        <f>IF(NFI_Expiration=1,IF($A95&lt;VLOOKUP(I$5,NFI,5,0),1,0)*Data_NFI_t[[#This Row],[Hygiene Kit]],0)</f>
        <v>0</v>
      </c>
      <c r="AD95" s="734">
        <f>IF(NFI_Expiration=1,IF($A95&lt;VLOOKUP(L$5,NFI,5,0),1,0)*Data_NFI_t[[#This Row],[NFI Core Kit]],0)</f>
        <v>0</v>
      </c>
      <c r="AE95" s="735">
        <f>IF(NFI_Expiration=1,IF($A95&lt;VLOOKUP(M$5,NFI,5,0),1,0)*Data_NFI_t[[#This Row],[Sanitary Kit]],0)</f>
        <v>0</v>
      </c>
      <c r="AF95" s="735">
        <f>IF(NFI_Expiration=1,IF($A95&lt;VLOOKUP(N$5,NFI,5,0),1,0)*Data_NFI_t[[#This Row],[Mosquito net]],0)</f>
        <v>182</v>
      </c>
      <c r="AG95" s="735">
        <f>IF(NFI_Expiration=1,IF($A95&lt;VLOOKUP(O$5,NFI,5,0),1,0)*Data_NFI_t[[#This Row],[Tarpaulin]],0)</f>
        <v>182</v>
      </c>
      <c r="AH95" s="735">
        <f>IF(NFI_Expiration=1,IF($A95&lt;VLOOKUP(P$5,NFI,5,0),1,0)*Data_NFI_t[[#This Row],[Blanket]],0)</f>
        <v>182</v>
      </c>
      <c r="AI95" s="735">
        <f>IF(NFI_Expiration=1,IF($A95&lt;VLOOKUP(Q$5,NFI,5,0),1,0)*Data_NFI_t[[#This Row],[Kitchen Set]],0)</f>
        <v>91</v>
      </c>
      <c r="AJ95" s="735">
        <f>IF(NFI_Expiration=1,IF($A95&lt;VLOOKUP(R$5,NFI,5,0),1,0)*Data_NFI_t[[#This Row],[Complementary Kit]],0)</f>
        <v>0</v>
      </c>
      <c r="AK95" s="735">
        <f>IF(NFI_Expiration=1,IF($A95&lt;VLOOKUP(S$5,NFI,5,0),1,0)*Data_NFI_t[[#This Row],[Plastic Bucket]],0)</f>
        <v>0</v>
      </c>
      <c r="AL95" s="734">
        <f>IF(NFI_Expiration=1,IF($A95&lt;VLOOKUP(T$5,NFI,5,0),1,0)*Data_NFI_t[[#This Row],[Jerry Can]],0)</f>
        <v>91</v>
      </c>
      <c r="AM95" s="734">
        <f>IF(NFI_Expiration=1,IF($A95&lt;VLOOKUP(U$5,NFI,5,0),1,0)*Data_NFI_t[[#This Row],[Plastic Mat]],0)</f>
        <v>455</v>
      </c>
      <c r="AN95" s="734">
        <f>IF(NFI_Expiration=1,IF($A95&lt;VLOOKUP(V$5,NFI,5,0),1,0)*Data_NFI_t[[#This Row],[Adult Clothes]],0)</f>
        <v>0</v>
      </c>
      <c r="AO95" s="734">
        <f>IF(NFI_Expiration=1,IF($A95&lt;VLOOKUP(W$5,NFI,5,0),1,0)*Data_NFI_t[[#This Row],[Children Clothes]],0)</f>
        <v>0</v>
      </c>
      <c r="AP95" s="734">
        <f>IF(NFI_Expiration=1,IF($A95&lt;VLOOKUP(X$5,NFI,5,0),1,0)*Data_NFI_t[[#This Row],[Sewing Kit]],0)</f>
        <v>0</v>
      </c>
      <c r="AQ95" s="734">
        <f>IF(NFI_Expiration=1,IF($A95&lt;VLOOKUP(X$5,NFI,5,0),1,0)*Data_NFI_t[[#This Row],[Solar Lantern]],0)</f>
        <v>0</v>
      </c>
      <c r="AR95" s="105" t="str">
        <f ca="1">IFERROR(OFFSET(Camp_List[P_Code],MATCH(Data_NFI_t[[#This Row],[Camp Name]],Camp_List[Camp Name],0)-1,0,1,1),"")</f>
        <v>MMR012CMP023</v>
      </c>
      <c r="AS95" s="421" t="str">
        <f ca="1">IFERROR(OFFSET(Camp_List[Status],MATCH(Data_NFI_t[[#This Row],[Camp Name]],Camp_List[Camp Name],0)-1,0,1,1),"")</f>
        <v>Open</v>
      </c>
      <c r="AT95" s="105"/>
      <c r="AW95" s="772"/>
    </row>
    <row r="96" spans="1:49" s="770" customFormat="1" ht="16.5" customHeight="1" x14ac:dyDescent="0.25">
      <c r="A96" s="736">
        <f t="shared" si="1"/>
        <v>11.3</v>
      </c>
      <c r="B96" s="737">
        <f>YEAR(Data_NFI_t[[#This Row],[Distribution Date]])</f>
        <v>2017</v>
      </c>
      <c r="C96" s="1013">
        <v>42851</v>
      </c>
      <c r="D96" s="733" t="s">
        <v>270</v>
      </c>
      <c r="E96" s="733" t="s">
        <v>575</v>
      </c>
      <c r="F96" s="733" t="s">
        <v>7</v>
      </c>
      <c r="G96" s="738" t="s">
        <v>13</v>
      </c>
      <c r="H96" s="738" t="s">
        <v>991</v>
      </c>
      <c r="I96" s="739"/>
      <c r="J96" s="831">
        <v>148</v>
      </c>
      <c r="K96" s="839">
        <f>J96*5.5</f>
        <v>814</v>
      </c>
      <c r="L96" s="740"/>
      <c r="M96" s="740"/>
      <c r="N96" s="741"/>
      <c r="O96" s="741"/>
      <c r="P96" s="741"/>
      <c r="Q96" s="741"/>
      <c r="R96" s="741"/>
      <c r="S96" s="741"/>
      <c r="T96" s="742"/>
      <c r="U96" s="741"/>
      <c r="V96" s="741"/>
      <c r="W96" s="741"/>
      <c r="X96" s="741"/>
      <c r="Y96" s="741">
        <v>148</v>
      </c>
      <c r="Z96" s="741"/>
      <c r="AA96" s="741"/>
      <c r="AB96" s="741"/>
      <c r="AC96" s="734">
        <f>IF(NFI_Expiration=1,IF($A96&lt;VLOOKUP(I$5,NFI,5,0),1,0)*Data_NFI_t[[#This Row],[Hygiene Kit]],0)</f>
        <v>0</v>
      </c>
      <c r="AD96" s="734">
        <f>IF(NFI_Expiration=1,IF($A96&lt;VLOOKUP(L$5,NFI,5,0),1,0)*Data_NFI_t[[#This Row],[NFI Core Kit]],0)</f>
        <v>0</v>
      </c>
      <c r="AE96" s="735">
        <f>IF(NFI_Expiration=1,IF($A96&lt;VLOOKUP(M$5,NFI,5,0),1,0)*Data_NFI_t[[#This Row],[Sanitary Kit]],0)</f>
        <v>0</v>
      </c>
      <c r="AF96" s="735">
        <f>IF(NFI_Expiration=1,IF($A96&lt;VLOOKUP(N$5,NFI,5,0),1,0)*Data_NFI_t[[#This Row],[Mosquito net]],0)</f>
        <v>0</v>
      </c>
      <c r="AG96" s="735">
        <f>IF(NFI_Expiration=1,IF($A96&lt;VLOOKUP(O$5,NFI,5,0),1,0)*Data_NFI_t[[#This Row],[Tarpaulin]],0)</f>
        <v>0</v>
      </c>
      <c r="AH96" s="735">
        <f>IF(NFI_Expiration=1,IF($A96&lt;VLOOKUP(P$5,NFI,5,0),1,0)*Data_NFI_t[[#This Row],[Blanket]],0)</f>
        <v>0</v>
      </c>
      <c r="AI96" s="735">
        <f>IF(NFI_Expiration=1,IF($A96&lt;VLOOKUP(Q$5,NFI,5,0),1,0)*Data_NFI_t[[#This Row],[Kitchen Set]],0)</f>
        <v>0</v>
      </c>
      <c r="AJ96" s="735">
        <f>IF(NFI_Expiration=1,IF($A96&lt;VLOOKUP(R$5,NFI,5,0),1,0)*Data_NFI_t[[#This Row],[Complementary Kit]],0)</f>
        <v>0</v>
      </c>
      <c r="AK96" s="735">
        <f>IF(NFI_Expiration=1,IF($A96&lt;VLOOKUP(S$5,NFI,5,0),1,0)*Data_NFI_t[[#This Row],[Plastic Bucket]],0)</f>
        <v>0</v>
      </c>
      <c r="AL96" s="734">
        <f>IF(NFI_Expiration=1,IF($A96&lt;VLOOKUP(T$5,NFI,5,0),1,0)*Data_NFI_t[[#This Row],[Jerry Can]],0)</f>
        <v>0</v>
      </c>
      <c r="AM96" s="734">
        <f>IF(NFI_Expiration=1,IF($A96&lt;VLOOKUP(U$5,NFI,5,0),1,0)*Data_NFI_t[[#This Row],[Plastic Mat]],0)</f>
        <v>0</v>
      </c>
      <c r="AN96" s="734">
        <f>IF(NFI_Expiration=1,IF($A96&lt;VLOOKUP(V$5,NFI,5,0),1,0)*Data_NFI_t[[#This Row],[Adult Clothes]],0)</f>
        <v>0</v>
      </c>
      <c r="AO96" s="734">
        <f>IF(NFI_Expiration=1,IF($A96&lt;VLOOKUP(W$5,NFI,5,0),1,0)*Data_NFI_t[[#This Row],[Children Clothes]],0)</f>
        <v>0</v>
      </c>
      <c r="AP96" s="734">
        <f>IF(NFI_Expiration=1,IF($A96&lt;VLOOKUP(X$5,NFI,5,0),1,0)*Data_NFI_t[[#This Row],[Sewing Kit]],0)</f>
        <v>0</v>
      </c>
      <c r="AQ96" s="734">
        <f>IF(NFI_Expiration=1,IF($A96&lt;VLOOKUP(X$5,NFI,5,0),1,0)*Data_NFI_t[[#This Row],[Solar Lantern]],0)</f>
        <v>148</v>
      </c>
      <c r="AR96" s="105" t="str">
        <f ca="1">IFERROR(OFFSET(Camp_List[P_Code],MATCH(Data_NFI_t[[#This Row],[Camp Name]],Camp_List[Camp Name],0)-1,0,1,1),"")</f>
        <v>MMR012CMP017</v>
      </c>
      <c r="AS96" s="421" t="str">
        <f ca="1">IFERROR(OFFSET(Camp_List[Status],MATCH(Data_NFI_t[[#This Row],[Camp Name]],Camp_List[Camp Name],0)-1,0,1,1),"")</f>
        <v>Open</v>
      </c>
      <c r="AT96" s="105"/>
      <c r="AW96" s="772"/>
    </row>
    <row r="97" spans="1:49" s="770" customFormat="1" ht="16.5" customHeight="1" x14ac:dyDescent="0.25">
      <c r="A97" s="736">
        <f t="shared" si="1"/>
        <v>11.333333333333334</v>
      </c>
      <c r="B97" s="737">
        <f>YEAR(Data_NFI_t[[#This Row],[Distribution Date]])</f>
        <v>2017</v>
      </c>
      <c r="C97" s="1013">
        <v>42850</v>
      </c>
      <c r="D97" s="733" t="s">
        <v>270</v>
      </c>
      <c r="E97" s="733" t="s">
        <v>575</v>
      </c>
      <c r="F97" s="733" t="s">
        <v>7</v>
      </c>
      <c r="G97" s="738" t="s">
        <v>13</v>
      </c>
      <c r="H97" s="738" t="s">
        <v>38</v>
      </c>
      <c r="I97" s="739"/>
      <c r="J97" s="832">
        <v>241</v>
      </c>
      <c r="K97" s="838">
        <v>1325</v>
      </c>
      <c r="L97" s="740"/>
      <c r="M97" s="740"/>
      <c r="N97" s="741"/>
      <c r="O97" s="741"/>
      <c r="P97" s="741"/>
      <c r="Q97" s="741"/>
      <c r="R97" s="741"/>
      <c r="S97" s="741"/>
      <c r="T97" s="742"/>
      <c r="U97" s="741"/>
      <c r="V97" s="741"/>
      <c r="W97" s="741"/>
      <c r="X97" s="741"/>
      <c r="Y97" s="741">
        <v>241</v>
      </c>
      <c r="Z97" s="741"/>
      <c r="AA97" s="741"/>
      <c r="AB97" s="741"/>
      <c r="AC97" s="734">
        <f>IF(NFI_Expiration=1,IF($A97&lt;VLOOKUP(I$5,NFI,5,0),1,0)*Data_NFI_t[[#This Row],[Hygiene Kit]],0)</f>
        <v>0</v>
      </c>
      <c r="AD97" s="734">
        <f>IF(NFI_Expiration=1,IF($A97&lt;VLOOKUP(L$5,NFI,5,0),1,0)*Data_NFI_t[[#This Row],[NFI Core Kit]],0)</f>
        <v>0</v>
      </c>
      <c r="AE97" s="735">
        <f>IF(NFI_Expiration=1,IF($A97&lt;VLOOKUP(M$5,NFI,5,0),1,0)*Data_NFI_t[[#This Row],[Sanitary Kit]],0)</f>
        <v>0</v>
      </c>
      <c r="AF97" s="735">
        <f>IF(NFI_Expiration=1,IF($A97&lt;VLOOKUP(N$5,NFI,5,0),1,0)*Data_NFI_t[[#This Row],[Mosquito net]],0)</f>
        <v>0</v>
      </c>
      <c r="AG97" s="735">
        <f>IF(NFI_Expiration=1,IF($A97&lt;VLOOKUP(O$5,NFI,5,0),1,0)*Data_NFI_t[[#This Row],[Tarpaulin]],0)</f>
        <v>0</v>
      </c>
      <c r="AH97" s="735">
        <f>IF(NFI_Expiration=1,IF($A97&lt;VLOOKUP(P$5,NFI,5,0),1,0)*Data_NFI_t[[#This Row],[Blanket]],0)</f>
        <v>0</v>
      </c>
      <c r="AI97" s="735">
        <f>IF(NFI_Expiration=1,IF($A97&lt;VLOOKUP(Q$5,NFI,5,0),1,0)*Data_NFI_t[[#This Row],[Kitchen Set]],0)</f>
        <v>0</v>
      </c>
      <c r="AJ97" s="735">
        <f>IF(NFI_Expiration=1,IF($A97&lt;VLOOKUP(R$5,NFI,5,0),1,0)*Data_NFI_t[[#This Row],[Complementary Kit]],0)</f>
        <v>0</v>
      </c>
      <c r="AK97" s="735">
        <f>IF(NFI_Expiration=1,IF($A97&lt;VLOOKUP(S$5,NFI,5,0),1,0)*Data_NFI_t[[#This Row],[Plastic Bucket]],0)</f>
        <v>0</v>
      </c>
      <c r="AL97" s="734">
        <f>IF(NFI_Expiration=1,IF($A97&lt;VLOOKUP(T$5,NFI,5,0),1,0)*Data_NFI_t[[#This Row],[Jerry Can]],0)</f>
        <v>0</v>
      </c>
      <c r="AM97" s="734">
        <f>IF(NFI_Expiration=1,IF($A97&lt;VLOOKUP(U$5,NFI,5,0),1,0)*Data_NFI_t[[#This Row],[Plastic Mat]],0)</f>
        <v>0</v>
      </c>
      <c r="AN97" s="734">
        <f>IF(NFI_Expiration=1,IF($A97&lt;VLOOKUP(V$5,NFI,5,0),1,0)*Data_NFI_t[[#This Row],[Adult Clothes]],0)</f>
        <v>0</v>
      </c>
      <c r="AO97" s="734">
        <f>IF(NFI_Expiration=1,IF($A97&lt;VLOOKUP(W$5,NFI,5,0),1,0)*Data_NFI_t[[#This Row],[Children Clothes]],0)</f>
        <v>0</v>
      </c>
      <c r="AP97" s="734">
        <f>IF(NFI_Expiration=1,IF($A97&lt;VLOOKUP(X$5,NFI,5,0),1,0)*Data_NFI_t[[#This Row],[Sewing Kit]],0)</f>
        <v>0</v>
      </c>
      <c r="AQ97" s="734">
        <f>IF(NFI_Expiration=1,IF($A97&lt;VLOOKUP(X$5,NFI,5,0),1,0)*Data_NFI_t[[#This Row],[Solar Lantern]],0)</f>
        <v>241</v>
      </c>
      <c r="AR97" s="105" t="str">
        <f ca="1">IFERROR(OFFSET(Camp_List[P_Code],MATCH(Data_NFI_t[[#This Row],[Camp Name]],Camp_List[Camp Name],0)-1,0,1,1),"")</f>
        <v>MMR012CMP016</v>
      </c>
      <c r="AS97" s="421" t="str">
        <f ca="1">IFERROR(OFFSET(Camp_List[Status],MATCH(Data_NFI_t[[#This Row],[Camp Name]],Camp_List[Camp Name],0)-1,0,1,1),"")</f>
        <v>Open</v>
      </c>
      <c r="AT97" s="105"/>
      <c r="AW97" s="772"/>
    </row>
    <row r="98" spans="1:49" s="770" customFormat="1" ht="16.5" customHeight="1" x14ac:dyDescent="0.25">
      <c r="A98" s="736">
        <f t="shared" si="1"/>
        <v>11.8</v>
      </c>
      <c r="B98" s="737">
        <f>YEAR(Data_NFI_t[[#This Row],[Distribution Date]])</f>
        <v>2017</v>
      </c>
      <c r="C98" s="1013">
        <v>42836</v>
      </c>
      <c r="D98" s="733" t="s">
        <v>1044</v>
      </c>
      <c r="E98" s="733" t="s">
        <v>1044</v>
      </c>
      <c r="F98" s="733" t="s">
        <v>7</v>
      </c>
      <c r="G98" s="738" t="s">
        <v>17</v>
      </c>
      <c r="H98" s="738" t="s">
        <v>580</v>
      </c>
      <c r="I98" s="739"/>
      <c r="J98" s="846">
        <v>6</v>
      </c>
      <c r="K98" s="846">
        <v>33</v>
      </c>
      <c r="L98" s="740"/>
      <c r="M98" s="740"/>
      <c r="N98" s="741"/>
      <c r="O98" s="741"/>
      <c r="P98" s="741"/>
      <c r="Q98" s="741"/>
      <c r="R98" s="741">
        <v>6</v>
      </c>
      <c r="S98" s="741"/>
      <c r="T98" s="742"/>
      <c r="U98" s="741"/>
      <c r="V98" s="741"/>
      <c r="W98" s="741"/>
      <c r="X98" s="741"/>
      <c r="Y98" s="741"/>
      <c r="Z98" s="741"/>
      <c r="AA98" s="741"/>
      <c r="AB98" s="741"/>
      <c r="AC98" s="734">
        <f>IF(NFI_Expiration=1,IF($A98&lt;VLOOKUP(I$5,NFI,5,0),1,0)*Data_NFI_t[[#This Row],[Hygiene Kit]],0)</f>
        <v>0</v>
      </c>
      <c r="AD98" s="734">
        <f>IF(NFI_Expiration=1,IF($A98&lt;VLOOKUP(L$5,NFI,5,0),1,0)*Data_NFI_t[[#This Row],[NFI Core Kit]],0)</f>
        <v>0</v>
      </c>
      <c r="AE98" s="735">
        <f>IF(NFI_Expiration=1,IF($A98&lt;VLOOKUP(M$5,NFI,5,0),1,0)*Data_NFI_t[[#This Row],[Sanitary Kit]],0)</f>
        <v>0</v>
      </c>
      <c r="AF98" s="735">
        <f>IF(NFI_Expiration=1,IF($A98&lt;VLOOKUP(N$5,NFI,5,0),1,0)*Data_NFI_t[[#This Row],[Mosquito net]],0)</f>
        <v>0</v>
      </c>
      <c r="AG98" s="735">
        <f>IF(NFI_Expiration=1,IF($A98&lt;VLOOKUP(O$5,NFI,5,0),1,0)*Data_NFI_t[[#This Row],[Tarpaulin]],0)</f>
        <v>0</v>
      </c>
      <c r="AH98" s="735">
        <f>IF(NFI_Expiration=1,IF($A98&lt;VLOOKUP(P$5,NFI,5,0),1,0)*Data_NFI_t[[#This Row],[Blanket]],0)</f>
        <v>0</v>
      </c>
      <c r="AI98" s="735">
        <f>IF(NFI_Expiration=1,IF($A98&lt;VLOOKUP(Q$5,NFI,5,0),1,0)*Data_NFI_t[[#This Row],[Kitchen Set]],0)</f>
        <v>0</v>
      </c>
      <c r="AJ98" s="735">
        <f>IF(NFI_Expiration=1,IF($A98&lt;VLOOKUP(R$5,NFI,5,0),1,0)*Data_NFI_t[[#This Row],[Complementary Kit]],0)</f>
        <v>6</v>
      </c>
      <c r="AK98" s="735">
        <f>IF(NFI_Expiration=1,IF($A98&lt;VLOOKUP(S$5,NFI,5,0),1,0)*Data_NFI_t[[#This Row],[Plastic Bucket]],0)</f>
        <v>0</v>
      </c>
      <c r="AL98" s="734">
        <f>IF(NFI_Expiration=1,IF($A98&lt;VLOOKUP(T$5,NFI,5,0),1,0)*Data_NFI_t[[#This Row],[Jerry Can]],0)</f>
        <v>0</v>
      </c>
      <c r="AM98" s="734">
        <f>IF(NFI_Expiration=1,IF($A98&lt;VLOOKUP(U$5,NFI,5,0),1,0)*Data_NFI_t[[#This Row],[Plastic Mat]],0)</f>
        <v>0</v>
      </c>
      <c r="AN98" s="734">
        <f>IF(NFI_Expiration=1,IF($A98&lt;VLOOKUP(V$5,NFI,5,0),1,0)*Data_NFI_t[[#This Row],[Adult Clothes]],0)</f>
        <v>0</v>
      </c>
      <c r="AO98" s="734">
        <f>IF(NFI_Expiration=1,IF($A98&lt;VLOOKUP(W$5,NFI,5,0),1,0)*Data_NFI_t[[#This Row],[Children Clothes]],0)</f>
        <v>0</v>
      </c>
      <c r="AP98" s="734">
        <f>IF(NFI_Expiration=1,IF($A98&lt;VLOOKUP(X$5,NFI,5,0),1,0)*Data_NFI_t[[#This Row],[Sewing Kit]],0)</f>
        <v>0</v>
      </c>
      <c r="AQ98" s="734">
        <f>IF(NFI_Expiration=1,IF($A98&lt;VLOOKUP(X$5,NFI,5,0),1,0)*Data_NFI_t[[#This Row],[Solar Lantern]],0)</f>
        <v>0</v>
      </c>
      <c r="AR98" s="105" t="str">
        <f ca="1">IFERROR(OFFSET(Camp_List[P_Code],MATCH(Data_NFI_t[[#This Row],[Camp Name]],Camp_List[Camp Name],0)-1,0,1,1),"")</f>
        <v>MMR012CMP092</v>
      </c>
      <c r="AS98" s="421" t="str">
        <f ca="1">IFERROR(OFFSET(Camp_List[Status],MATCH(Data_NFI_t[[#This Row],[Camp Name]],Camp_List[Camp Name],0)-1,0,1,1),"")</f>
        <v>Open</v>
      </c>
      <c r="AT98" s="105"/>
      <c r="AW98" s="772"/>
    </row>
    <row r="99" spans="1:49" s="770" customFormat="1" ht="16.5" customHeight="1" x14ac:dyDescent="0.25">
      <c r="A99" s="736">
        <f t="shared" si="1"/>
        <v>11.833333333333334</v>
      </c>
      <c r="B99" s="737">
        <f>YEAR(Data_NFI_t[[#This Row],[Distribution Date]])</f>
        <v>2017</v>
      </c>
      <c r="C99" s="1013">
        <v>42835</v>
      </c>
      <c r="D99" s="733" t="s">
        <v>1044</v>
      </c>
      <c r="E99" s="733" t="s">
        <v>1044</v>
      </c>
      <c r="F99" s="733" t="s">
        <v>7</v>
      </c>
      <c r="G99" s="738" t="s">
        <v>17</v>
      </c>
      <c r="H99" s="738" t="s">
        <v>68</v>
      </c>
      <c r="I99" s="739"/>
      <c r="J99" s="846">
        <v>125</v>
      </c>
      <c r="K99" s="846">
        <v>625</v>
      </c>
      <c r="L99" s="740"/>
      <c r="M99" s="740"/>
      <c r="N99" s="741"/>
      <c r="O99" s="741"/>
      <c r="P99" s="741"/>
      <c r="Q99" s="741"/>
      <c r="R99" s="741"/>
      <c r="S99" s="741"/>
      <c r="T99" s="742">
        <v>125</v>
      </c>
      <c r="U99" s="741"/>
      <c r="V99" s="741"/>
      <c r="W99" s="741"/>
      <c r="X99" s="741"/>
      <c r="Y99" s="741"/>
      <c r="Z99" s="741"/>
      <c r="AA99" s="741"/>
      <c r="AB99" s="741"/>
      <c r="AC99" s="734">
        <f>IF(NFI_Expiration=1,IF($A99&lt;VLOOKUP(I$5,NFI,5,0),1,0)*Data_NFI_t[[#This Row],[Hygiene Kit]],0)</f>
        <v>0</v>
      </c>
      <c r="AD99" s="734">
        <f>IF(NFI_Expiration=1,IF($A99&lt;VLOOKUP(L$5,NFI,5,0),1,0)*Data_NFI_t[[#This Row],[NFI Core Kit]],0)</f>
        <v>0</v>
      </c>
      <c r="AE99" s="735">
        <f>IF(NFI_Expiration=1,IF($A99&lt;VLOOKUP(M$5,NFI,5,0),1,0)*Data_NFI_t[[#This Row],[Sanitary Kit]],0)</f>
        <v>0</v>
      </c>
      <c r="AF99" s="735">
        <f>IF(NFI_Expiration=1,IF($A99&lt;VLOOKUP(N$5,NFI,5,0),1,0)*Data_NFI_t[[#This Row],[Mosquito net]],0)</f>
        <v>0</v>
      </c>
      <c r="AG99" s="735">
        <f>IF(NFI_Expiration=1,IF($A99&lt;VLOOKUP(O$5,NFI,5,0),1,0)*Data_NFI_t[[#This Row],[Tarpaulin]],0)</f>
        <v>0</v>
      </c>
      <c r="AH99" s="735">
        <f>IF(NFI_Expiration=1,IF($A99&lt;VLOOKUP(P$5,NFI,5,0),1,0)*Data_NFI_t[[#This Row],[Blanket]],0)</f>
        <v>0</v>
      </c>
      <c r="AI99" s="735">
        <f>IF(NFI_Expiration=1,IF($A99&lt;VLOOKUP(Q$5,NFI,5,0),1,0)*Data_NFI_t[[#This Row],[Kitchen Set]],0)</f>
        <v>0</v>
      </c>
      <c r="AJ99" s="735">
        <f>IF(NFI_Expiration=1,IF($A99&lt;VLOOKUP(R$5,NFI,5,0),1,0)*Data_NFI_t[[#This Row],[Complementary Kit]],0)</f>
        <v>0</v>
      </c>
      <c r="AK99" s="735">
        <f>IF(NFI_Expiration=1,IF($A99&lt;VLOOKUP(S$5,NFI,5,0),1,0)*Data_NFI_t[[#This Row],[Plastic Bucket]],0)</f>
        <v>0</v>
      </c>
      <c r="AL99" s="734">
        <f>IF(NFI_Expiration=1,IF($A99&lt;VLOOKUP(T$5,NFI,5,0),1,0)*Data_NFI_t[[#This Row],[Jerry Can]],0)</f>
        <v>125</v>
      </c>
      <c r="AM99" s="734">
        <f>IF(NFI_Expiration=1,IF($A99&lt;VLOOKUP(U$5,NFI,5,0),1,0)*Data_NFI_t[[#This Row],[Plastic Mat]],0)</f>
        <v>0</v>
      </c>
      <c r="AN99" s="734">
        <f>IF(NFI_Expiration=1,IF($A99&lt;VLOOKUP(V$5,NFI,5,0),1,0)*Data_NFI_t[[#This Row],[Adult Clothes]],0)</f>
        <v>0</v>
      </c>
      <c r="AO99" s="734">
        <f>IF(NFI_Expiration=1,IF($A99&lt;VLOOKUP(W$5,NFI,5,0),1,0)*Data_NFI_t[[#This Row],[Children Clothes]],0)</f>
        <v>0</v>
      </c>
      <c r="AP99" s="734">
        <f>IF(NFI_Expiration=1,IF($A99&lt;VLOOKUP(X$5,NFI,5,0),1,0)*Data_NFI_t[[#This Row],[Sewing Kit]],0)</f>
        <v>0</v>
      </c>
      <c r="AQ99" s="734">
        <f>IF(NFI_Expiration=1,IF($A99&lt;VLOOKUP(X$5,NFI,5,0),1,0)*Data_NFI_t[[#This Row],[Solar Lantern]],0)</f>
        <v>0</v>
      </c>
      <c r="AR99" s="105" t="str">
        <f ca="1">IFERROR(OFFSET(Camp_List[P_Code],MATCH(Data_NFI_t[[#This Row],[Camp Name]],Camp_List[Camp Name],0)-1,0,1,1),"")</f>
        <v>MMR012CMP048</v>
      </c>
      <c r="AS99" s="421" t="str">
        <f ca="1">IFERROR(OFFSET(Camp_List[Status],MATCH(Data_NFI_t[[#This Row],[Camp Name]],Camp_List[Camp Name],0)-1,0,1,1),"")</f>
        <v>Open</v>
      </c>
      <c r="AT99" s="105"/>
      <c r="AW99" s="772"/>
    </row>
    <row r="100" spans="1:49" s="770" customFormat="1" ht="16.5" customHeight="1" x14ac:dyDescent="0.25">
      <c r="A100" s="736">
        <f t="shared" si="1"/>
        <v>11.933333333333334</v>
      </c>
      <c r="B100" s="737">
        <f>YEAR(Data_NFI_t[[#This Row],[Distribution Date]])</f>
        <v>2017</v>
      </c>
      <c r="C100" s="1013">
        <v>42832</v>
      </c>
      <c r="D100" s="733" t="s">
        <v>1025</v>
      </c>
      <c r="E100" s="733" t="s">
        <v>1025</v>
      </c>
      <c r="F100" s="733" t="s">
        <v>7</v>
      </c>
      <c r="G100" s="738" t="s">
        <v>17</v>
      </c>
      <c r="H100" s="738" t="s">
        <v>66</v>
      </c>
      <c r="I100" s="739"/>
      <c r="J100" s="850">
        <v>1137</v>
      </c>
      <c r="K100" s="850">
        <v>6253</v>
      </c>
      <c r="L100" s="740"/>
      <c r="M100" s="740">
        <v>1137</v>
      </c>
      <c r="N100" s="741"/>
      <c r="O100" s="741"/>
      <c r="P100" s="741"/>
      <c r="Q100" s="741"/>
      <c r="R100" s="741"/>
      <c r="S100" s="741"/>
      <c r="T100" s="742"/>
      <c r="U100" s="741"/>
      <c r="V100" s="741"/>
      <c r="W100" s="741"/>
      <c r="X100" s="741"/>
      <c r="Y100" s="741"/>
      <c r="Z100" s="741"/>
      <c r="AA100" s="741"/>
      <c r="AB100" s="741"/>
      <c r="AC100" s="734">
        <f>IF(NFI_Expiration=1,IF($A100&lt;VLOOKUP(I$5,NFI,5,0),1,0)*Data_NFI_t[[#This Row],[Hygiene Kit]],0)</f>
        <v>0</v>
      </c>
      <c r="AD100" s="734">
        <f>IF(NFI_Expiration=1,IF($A100&lt;VLOOKUP(L$5,NFI,5,0),1,0)*Data_NFI_t[[#This Row],[NFI Core Kit]],0)</f>
        <v>0</v>
      </c>
      <c r="AE100" s="735">
        <f>IF(NFI_Expiration=1,IF($A100&lt;VLOOKUP(M$5,NFI,5,0),1,0)*Data_NFI_t[[#This Row],[Sanitary Kit]],0)</f>
        <v>1137</v>
      </c>
      <c r="AF100" s="735">
        <f>IF(NFI_Expiration=1,IF($A100&lt;VLOOKUP(N$5,NFI,5,0),1,0)*Data_NFI_t[[#This Row],[Mosquito net]],0)</f>
        <v>0</v>
      </c>
      <c r="AG100" s="735">
        <f>IF(NFI_Expiration=1,IF($A100&lt;VLOOKUP(O$5,NFI,5,0),1,0)*Data_NFI_t[[#This Row],[Tarpaulin]],0)</f>
        <v>0</v>
      </c>
      <c r="AH100" s="735">
        <f>IF(NFI_Expiration=1,IF($A100&lt;VLOOKUP(P$5,NFI,5,0),1,0)*Data_NFI_t[[#This Row],[Blanket]],0)</f>
        <v>0</v>
      </c>
      <c r="AI100" s="735">
        <f>IF(NFI_Expiration=1,IF($A100&lt;VLOOKUP(Q$5,NFI,5,0),1,0)*Data_NFI_t[[#This Row],[Kitchen Set]],0)</f>
        <v>0</v>
      </c>
      <c r="AJ100" s="735">
        <f>IF(NFI_Expiration=1,IF($A100&lt;VLOOKUP(R$5,NFI,5,0),1,0)*Data_NFI_t[[#This Row],[Complementary Kit]],0)</f>
        <v>0</v>
      </c>
      <c r="AK100" s="735">
        <f>IF(NFI_Expiration=1,IF($A100&lt;VLOOKUP(S$5,NFI,5,0),1,0)*Data_NFI_t[[#This Row],[Plastic Bucket]],0)</f>
        <v>0</v>
      </c>
      <c r="AL100" s="734">
        <f>IF(NFI_Expiration=1,IF($A100&lt;VLOOKUP(T$5,NFI,5,0),1,0)*Data_NFI_t[[#This Row],[Jerry Can]],0)</f>
        <v>0</v>
      </c>
      <c r="AM100" s="734">
        <f>IF(NFI_Expiration=1,IF($A100&lt;VLOOKUP(U$5,NFI,5,0),1,0)*Data_NFI_t[[#This Row],[Plastic Mat]],0)</f>
        <v>0</v>
      </c>
      <c r="AN100" s="734">
        <f>IF(NFI_Expiration=1,IF($A100&lt;VLOOKUP(V$5,NFI,5,0),1,0)*Data_NFI_t[[#This Row],[Adult Clothes]],0)</f>
        <v>0</v>
      </c>
      <c r="AO100" s="734">
        <f>IF(NFI_Expiration=1,IF($A100&lt;VLOOKUP(W$5,NFI,5,0),1,0)*Data_NFI_t[[#This Row],[Children Clothes]],0)</f>
        <v>0</v>
      </c>
      <c r="AP100" s="734">
        <f>IF(NFI_Expiration=1,IF($A100&lt;VLOOKUP(X$5,NFI,5,0),1,0)*Data_NFI_t[[#This Row],[Sewing Kit]],0)</f>
        <v>0</v>
      </c>
      <c r="AQ100" s="734">
        <f>IF(NFI_Expiration=1,IF($A100&lt;VLOOKUP(X$5,NFI,5,0),1,0)*Data_NFI_t[[#This Row],[Solar Lantern]],0)</f>
        <v>0</v>
      </c>
      <c r="AR100" s="105" t="str">
        <f ca="1">IFERROR(OFFSET(Camp_List[P_Code],MATCH(Data_NFI_t[[#This Row],[Camp Name]],Camp_List[Camp Name],0)-1,0,1,1),"")</f>
        <v>MMR012CMP046</v>
      </c>
      <c r="AS100" s="421" t="str">
        <f ca="1">IFERROR(OFFSET(Camp_List[Status],MATCH(Data_NFI_t[[#This Row],[Camp Name]],Camp_List[Camp Name],0)-1,0,1,1),"")</f>
        <v>Open</v>
      </c>
      <c r="AT100" s="105"/>
      <c r="AW100" s="772"/>
    </row>
    <row r="101" spans="1:49" s="770" customFormat="1" ht="16.5" customHeight="1" x14ac:dyDescent="0.25">
      <c r="A101" s="736">
        <f t="shared" si="1"/>
        <v>11.966666666666667</v>
      </c>
      <c r="B101" s="737">
        <f>YEAR(Data_NFI_t[[#This Row],[Distribution Date]])</f>
        <v>2017</v>
      </c>
      <c r="C101" s="1013">
        <v>42831</v>
      </c>
      <c r="D101" s="733" t="s">
        <v>1025</v>
      </c>
      <c r="E101" s="733" t="s">
        <v>1025</v>
      </c>
      <c r="F101" s="733" t="s">
        <v>7</v>
      </c>
      <c r="G101" s="738" t="s">
        <v>17</v>
      </c>
      <c r="H101" s="738" t="s">
        <v>62</v>
      </c>
      <c r="I101" s="739"/>
      <c r="J101" s="850">
        <v>400</v>
      </c>
      <c r="K101" s="850">
        <v>2200</v>
      </c>
      <c r="L101" s="740"/>
      <c r="M101" s="740">
        <v>400</v>
      </c>
      <c r="N101" s="741"/>
      <c r="O101" s="741"/>
      <c r="P101" s="741"/>
      <c r="Q101" s="741"/>
      <c r="R101" s="741"/>
      <c r="S101" s="741"/>
      <c r="T101" s="742"/>
      <c r="U101" s="741"/>
      <c r="V101" s="741"/>
      <c r="W101" s="741"/>
      <c r="X101" s="741"/>
      <c r="Y101" s="741"/>
      <c r="Z101" s="741"/>
      <c r="AA101" s="741"/>
      <c r="AB101" s="741"/>
      <c r="AC101" s="734">
        <f>IF(NFI_Expiration=1,IF($A101&lt;VLOOKUP(I$5,NFI,5,0),1,0)*Data_NFI_t[[#This Row],[Hygiene Kit]],0)</f>
        <v>0</v>
      </c>
      <c r="AD101" s="734">
        <f>IF(NFI_Expiration=1,IF($A101&lt;VLOOKUP(L$5,NFI,5,0),1,0)*Data_NFI_t[[#This Row],[NFI Core Kit]],0)</f>
        <v>0</v>
      </c>
      <c r="AE101" s="735">
        <f>IF(NFI_Expiration=1,IF($A101&lt;VLOOKUP(M$5,NFI,5,0),1,0)*Data_NFI_t[[#This Row],[Sanitary Kit]],0)</f>
        <v>400</v>
      </c>
      <c r="AF101" s="735">
        <f>IF(NFI_Expiration=1,IF($A101&lt;VLOOKUP(N$5,NFI,5,0),1,0)*Data_NFI_t[[#This Row],[Mosquito net]],0)</f>
        <v>0</v>
      </c>
      <c r="AG101" s="735">
        <f>IF(NFI_Expiration=1,IF($A101&lt;VLOOKUP(O$5,NFI,5,0),1,0)*Data_NFI_t[[#This Row],[Tarpaulin]],0)</f>
        <v>0</v>
      </c>
      <c r="AH101" s="735">
        <f>IF(NFI_Expiration=1,IF($A101&lt;VLOOKUP(P$5,NFI,5,0),1,0)*Data_NFI_t[[#This Row],[Blanket]],0)</f>
        <v>0</v>
      </c>
      <c r="AI101" s="735">
        <f>IF(NFI_Expiration=1,IF($A101&lt;VLOOKUP(Q$5,NFI,5,0),1,0)*Data_NFI_t[[#This Row],[Kitchen Set]],0)</f>
        <v>0</v>
      </c>
      <c r="AJ101" s="735">
        <f>IF(NFI_Expiration=1,IF($A101&lt;VLOOKUP(R$5,NFI,5,0),1,0)*Data_NFI_t[[#This Row],[Complementary Kit]],0)</f>
        <v>0</v>
      </c>
      <c r="AK101" s="735">
        <f>IF(NFI_Expiration=1,IF($A101&lt;VLOOKUP(S$5,NFI,5,0),1,0)*Data_NFI_t[[#This Row],[Plastic Bucket]],0)</f>
        <v>0</v>
      </c>
      <c r="AL101" s="734">
        <f>IF(NFI_Expiration=1,IF($A101&lt;VLOOKUP(T$5,NFI,5,0),1,0)*Data_NFI_t[[#This Row],[Jerry Can]],0)</f>
        <v>0</v>
      </c>
      <c r="AM101" s="734">
        <f>IF(NFI_Expiration=1,IF($A101&lt;VLOOKUP(U$5,NFI,5,0),1,0)*Data_NFI_t[[#This Row],[Plastic Mat]],0)</f>
        <v>0</v>
      </c>
      <c r="AN101" s="734">
        <f>IF(NFI_Expiration=1,IF($A101&lt;VLOOKUP(V$5,NFI,5,0),1,0)*Data_NFI_t[[#This Row],[Adult Clothes]],0)</f>
        <v>0</v>
      </c>
      <c r="AO101" s="734">
        <f>IF(NFI_Expiration=1,IF($A101&lt;VLOOKUP(W$5,NFI,5,0),1,0)*Data_NFI_t[[#This Row],[Children Clothes]],0)</f>
        <v>0</v>
      </c>
      <c r="AP101" s="734">
        <f>IF(NFI_Expiration=1,IF($A101&lt;VLOOKUP(X$5,NFI,5,0),1,0)*Data_NFI_t[[#This Row],[Sewing Kit]],0)</f>
        <v>0</v>
      </c>
      <c r="AQ101" s="734">
        <f>IF(NFI_Expiration=1,IF($A101&lt;VLOOKUP(X$5,NFI,5,0),1,0)*Data_NFI_t[[#This Row],[Solar Lantern]],0)</f>
        <v>0</v>
      </c>
      <c r="AR101" s="105" t="str">
        <f ca="1">IFERROR(OFFSET(Camp_List[P_Code],MATCH(Data_NFI_t[[#This Row],[Camp Name]],Camp_List[Camp Name],0)-1,0,1,1),"")</f>
        <v>MMR012CMP042</v>
      </c>
      <c r="AS101" s="421" t="str">
        <f ca="1">IFERROR(OFFSET(Camp_List[Status],MATCH(Data_NFI_t[[#This Row],[Camp Name]],Camp_List[Camp Name],0)-1,0,1,1),"")</f>
        <v>Open</v>
      </c>
      <c r="AT101" s="105"/>
      <c r="AW101" s="772"/>
    </row>
    <row r="102" spans="1:49" s="770" customFormat="1" ht="16.5" customHeight="1" x14ac:dyDescent="0.25">
      <c r="A102" s="736">
        <f t="shared" si="1"/>
        <v>12</v>
      </c>
      <c r="B102" s="737">
        <f>YEAR(Data_NFI_t[[#This Row],[Distribution Date]])</f>
        <v>2017</v>
      </c>
      <c r="C102" s="1013">
        <v>42830</v>
      </c>
      <c r="D102" s="733" t="s">
        <v>1025</v>
      </c>
      <c r="E102" s="733" t="s">
        <v>1025</v>
      </c>
      <c r="F102" s="733" t="s">
        <v>7</v>
      </c>
      <c r="G102" s="738" t="s">
        <v>17</v>
      </c>
      <c r="H102" s="738" t="s">
        <v>61</v>
      </c>
      <c r="I102" s="739"/>
      <c r="J102" s="850">
        <v>2007</v>
      </c>
      <c r="K102" s="850">
        <v>11038</v>
      </c>
      <c r="L102" s="740"/>
      <c r="M102" s="740">
        <v>2007</v>
      </c>
      <c r="N102" s="741"/>
      <c r="O102" s="741"/>
      <c r="P102" s="741"/>
      <c r="Q102" s="741"/>
      <c r="R102" s="741"/>
      <c r="S102" s="741"/>
      <c r="T102" s="742"/>
      <c r="U102" s="741"/>
      <c r="V102" s="741"/>
      <c r="W102" s="741"/>
      <c r="X102" s="741"/>
      <c r="Y102" s="741"/>
      <c r="Z102" s="741"/>
      <c r="AA102" s="741"/>
      <c r="AB102" s="741"/>
      <c r="AC102" s="734">
        <f>IF(NFI_Expiration=1,IF($A102&lt;VLOOKUP(I$5,NFI,5,0),1,0)*Data_NFI_t[[#This Row],[Hygiene Kit]],0)</f>
        <v>0</v>
      </c>
      <c r="AD102" s="734">
        <f>IF(NFI_Expiration=1,IF($A102&lt;VLOOKUP(L$5,NFI,5,0),1,0)*Data_NFI_t[[#This Row],[NFI Core Kit]],0)</f>
        <v>0</v>
      </c>
      <c r="AE102" s="735">
        <f>IF(NFI_Expiration=1,IF($A102&lt;VLOOKUP(M$5,NFI,5,0),1,0)*Data_NFI_t[[#This Row],[Sanitary Kit]],0)</f>
        <v>0</v>
      </c>
      <c r="AF102" s="735">
        <f>IF(NFI_Expiration=1,IF($A102&lt;VLOOKUP(N$5,NFI,5,0),1,0)*Data_NFI_t[[#This Row],[Mosquito net]],0)</f>
        <v>0</v>
      </c>
      <c r="AG102" s="735">
        <f>IF(NFI_Expiration=1,IF($A102&lt;VLOOKUP(O$5,NFI,5,0),1,0)*Data_NFI_t[[#This Row],[Tarpaulin]],0)</f>
        <v>0</v>
      </c>
      <c r="AH102" s="735">
        <f>IF(NFI_Expiration=1,IF($A102&lt;VLOOKUP(P$5,NFI,5,0),1,0)*Data_NFI_t[[#This Row],[Blanket]],0)</f>
        <v>0</v>
      </c>
      <c r="AI102" s="735">
        <f>IF(NFI_Expiration=1,IF($A102&lt;VLOOKUP(Q$5,NFI,5,0),1,0)*Data_NFI_t[[#This Row],[Kitchen Set]],0)</f>
        <v>0</v>
      </c>
      <c r="AJ102" s="735">
        <f>IF(NFI_Expiration=1,IF($A102&lt;VLOOKUP(R$5,NFI,5,0),1,0)*Data_NFI_t[[#This Row],[Complementary Kit]],0)</f>
        <v>0</v>
      </c>
      <c r="AK102" s="735">
        <f>IF(NFI_Expiration=1,IF($A102&lt;VLOOKUP(S$5,NFI,5,0),1,0)*Data_NFI_t[[#This Row],[Plastic Bucket]],0)</f>
        <v>0</v>
      </c>
      <c r="AL102" s="734">
        <f>IF(NFI_Expiration=1,IF($A102&lt;VLOOKUP(T$5,NFI,5,0),1,0)*Data_NFI_t[[#This Row],[Jerry Can]],0)</f>
        <v>0</v>
      </c>
      <c r="AM102" s="734">
        <f>IF(NFI_Expiration=1,IF($A102&lt;VLOOKUP(U$5,NFI,5,0),1,0)*Data_NFI_t[[#This Row],[Plastic Mat]],0)</f>
        <v>0</v>
      </c>
      <c r="AN102" s="734">
        <f>IF(NFI_Expiration=1,IF($A102&lt;VLOOKUP(V$5,NFI,5,0),1,0)*Data_NFI_t[[#This Row],[Adult Clothes]],0)</f>
        <v>0</v>
      </c>
      <c r="AO102" s="734">
        <f>IF(NFI_Expiration=1,IF($A102&lt;VLOOKUP(W$5,NFI,5,0),1,0)*Data_NFI_t[[#This Row],[Children Clothes]],0)</f>
        <v>0</v>
      </c>
      <c r="AP102" s="734">
        <f>IF(NFI_Expiration=1,IF($A102&lt;VLOOKUP(X$5,NFI,5,0),1,0)*Data_NFI_t[[#This Row],[Sewing Kit]],0)</f>
        <v>0</v>
      </c>
      <c r="AQ102" s="734">
        <f>IF(NFI_Expiration=1,IF($A102&lt;VLOOKUP(X$5,NFI,5,0),1,0)*Data_NFI_t[[#This Row],[Solar Lantern]],0)</f>
        <v>0</v>
      </c>
      <c r="AR102" s="105" t="str">
        <f ca="1">IFERROR(OFFSET(Camp_List[P_Code],MATCH(Data_NFI_t[[#This Row],[Camp Name]],Camp_List[Camp Name],0)-1,0,1,1),"")</f>
        <v>MMR012CMP041</v>
      </c>
      <c r="AS102" s="421" t="str">
        <f ca="1">IFERROR(OFFSET(Camp_List[Status],MATCH(Data_NFI_t[[#This Row],[Camp Name]],Camp_List[Camp Name],0)-1,0,1,1),"")</f>
        <v>Open</v>
      </c>
      <c r="AT102" s="105"/>
      <c r="AW102" s="772"/>
    </row>
    <row r="103" spans="1:49" s="770" customFormat="1" ht="16.5" customHeight="1" x14ac:dyDescent="0.25">
      <c r="A103" s="736">
        <f t="shared" si="1"/>
        <v>12.033333333333333</v>
      </c>
      <c r="B103" s="737">
        <f>YEAR(Data_NFI_t[[#This Row],[Distribution Date]])</f>
        <v>2017</v>
      </c>
      <c r="C103" s="1013">
        <v>42829</v>
      </c>
      <c r="D103" s="733" t="s">
        <v>1025</v>
      </c>
      <c r="E103" s="733" t="s">
        <v>1025</v>
      </c>
      <c r="F103" s="733" t="s">
        <v>7</v>
      </c>
      <c r="G103" s="738" t="s">
        <v>17</v>
      </c>
      <c r="H103" s="738" t="s">
        <v>582</v>
      </c>
      <c r="I103" s="739"/>
      <c r="J103" s="850">
        <v>1236</v>
      </c>
      <c r="K103" s="850">
        <v>6798</v>
      </c>
      <c r="L103" s="740"/>
      <c r="M103" s="740">
        <v>1236</v>
      </c>
      <c r="N103" s="741"/>
      <c r="O103" s="741"/>
      <c r="P103" s="741"/>
      <c r="Q103" s="741"/>
      <c r="R103" s="741"/>
      <c r="S103" s="741"/>
      <c r="T103" s="742"/>
      <c r="U103" s="741"/>
      <c r="V103" s="741"/>
      <c r="W103" s="741"/>
      <c r="X103" s="741"/>
      <c r="Y103" s="741"/>
      <c r="Z103" s="741"/>
      <c r="AA103" s="741"/>
      <c r="AB103" s="741"/>
      <c r="AC103" s="734">
        <f>IF(NFI_Expiration=1,IF($A103&lt;VLOOKUP(I$5,NFI,5,0),1,0)*Data_NFI_t[[#This Row],[Hygiene Kit]],0)</f>
        <v>0</v>
      </c>
      <c r="AD103" s="734">
        <f>IF(NFI_Expiration=1,IF($A103&lt;VLOOKUP(L$5,NFI,5,0),1,0)*Data_NFI_t[[#This Row],[NFI Core Kit]],0)</f>
        <v>0</v>
      </c>
      <c r="AE103" s="735">
        <f>IF(NFI_Expiration=1,IF($A103&lt;VLOOKUP(M$5,NFI,5,0),1,0)*Data_NFI_t[[#This Row],[Sanitary Kit]],0)</f>
        <v>0</v>
      </c>
      <c r="AF103" s="735">
        <f>IF(NFI_Expiration=1,IF($A103&lt;VLOOKUP(N$5,NFI,5,0),1,0)*Data_NFI_t[[#This Row],[Mosquito net]],0)</f>
        <v>0</v>
      </c>
      <c r="AG103" s="735">
        <f>IF(NFI_Expiration=1,IF($A103&lt;VLOOKUP(O$5,NFI,5,0),1,0)*Data_NFI_t[[#This Row],[Tarpaulin]],0)</f>
        <v>0</v>
      </c>
      <c r="AH103" s="735">
        <f>IF(NFI_Expiration=1,IF($A103&lt;VLOOKUP(P$5,NFI,5,0),1,0)*Data_NFI_t[[#This Row],[Blanket]],0)</f>
        <v>0</v>
      </c>
      <c r="AI103" s="735">
        <f>IF(NFI_Expiration=1,IF($A103&lt;VLOOKUP(Q$5,NFI,5,0),1,0)*Data_NFI_t[[#This Row],[Kitchen Set]],0)</f>
        <v>0</v>
      </c>
      <c r="AJ103" s="735">
        <f>IF(NFI_Expiration=1,IF($A103&lt;VLOOKUP(R$5,NFI,5,0),1,0)*Data_NFI_t[[#This Row],[Complementary Kit]],0)</f>
        <v>0</v>
      </c>
      <c r="AK103" s="735">
        <f>IF(NFI_Expiration=1,IF($A103&lt;VLOOKUP(S$5,NFI,5,0),1,0)*Data_NFI_t[[#This Row],[Plastic Bucket]],0)</f>
        <v>0</v>
      </c>
      <c r="AL103" s="734">
        <f>IF(NFI_Expiration=1,IF($A103&lt;VLOOKUP(T$5,NFI,5,0),1,0)*Data_NFI_t[[#This Row],[Jerry Can]],0)</f>
        <v>0</v>
      </c>
      <c r="AM103" s="734">
        <f>IF(NFI_Expiration=1,IF($A103&lt;VLOOKUP(U$5,NFI,5,0),1,0)*Data_NFI_t[[#This Row],[Plastic Mat]],0)</f>
        <v>0</v>
      </c>
      <c r="AN103" s="734">
        <f>IF(NFI_Expiration=1,IF($A103&lt;VLOOKUP(V$5,NFI,5,0),1,0)*Data_NFI_t[[#This Row],[Adult Clothes]],0)</f>
        <v>0</v>
      </c>
      <c r="AO103" s="734">
        <f>IF(NFI_Expiration=1,IF($A103&lt;VLOOKUP(W$5,NFI,5,0),1,0)*Data_NFI_t[[#This Row],[Children Clothes]],0)</f>
        <v>0</v>
      </c>
      <c r="AP103" s="734">
        <f>IF(NFI_Expiration=1,IF($A103&lt;VLOOKUP(X$5,NFI,5,0),1,0)*Data_NFI_t[[#This Row],[Sewing Kit]],0)</f>
        <v>0</v>
      </c>
      <c r="AQ103" s="734">
        <f>IF(NFI_Expiration=1,IF($A103&lt;VLOOKUP(X$5,NFI,5,0),1,0)*Data_NFI_t[[#This Row],[Solar Lantern]],0)</f>
        <v>0</v>
      </c>
      <c r="AR103" s="105" t="str">
        <f ca="1">IFERROR(OFFSET(Camp_List[P_Code],MATCH(Data_NFI_t[[#This Row],[Camp Name]],Camp_List[Camp Name],0)-1,0,1,1),"")</f>
        <v>MMR012CMP114</v>
      </c>
      <c r="AS103" s="421" t="str">
        <f ca="1">IFERROR(OFFSET(Camp_List[Status],MATCH(Data_NFI_t[[#This Row],[Camp Name]],Camp_List[Camp Name],0)-1,0,1,1),"")</f>
        <v>Open</v>
      </c>
      <c r="AT103" s="105"/>
      <c r="AW103" s="772"/>
    </row>
    <row r="104" spans="1:49" s="770" customFormat="1" ht="16.5" customHeight="1" x14ac:dyDescent="0.25">
      <c r="A104" s="736">
        <f t="shared" si="1"/>
        <v>12.066666666666666</v>
      </c>
      <c r="B104" s="737">
        <f>YEAR(Data_NFI_t[[#This Row],[Distribution Date]])</f>
        <v>2017</v>
      </c>
      <c r="C104" s="1013">
        <v>42828</v>
      </c>
      <c r="D104" s="733" t="s">
        <v>1025</v>
      </c>
      <c r="E104" s="733" t="s">
        <v>1025</v>
      </c>
      <c r="F104" s="733" t="s">
        <v>7</v>
      </c>
      <c r="G104" s="738" t="s">
        <v>17</v>
      </c>
      <c r="H104" s="738" t="s">
        <v>581</v>
      </c>
      <c r="I104" s="739"/>
      <c r="J104" s="850">
        <v>1127</v>
      </c>
      <c r="K104" s="850">
        <v>6198</v>
      </c>
      <c r="L104" s="740"/>
      <c r="M104" s="740">
        <v>1127</v>
      </c>
      <c r="N104" s="741"/>
      <c r="O104" s="741"/>
      <c r="P104" s="741"/>
      <c r="Q104" s="741"/>
      <c r="R104" s="741"/>
      <c r="S104" s="741"/>
      <c r="T104" s="742"/>
      <c r="U104" s="741"/>
      <c r="V104" s="741"/>
      <c r="W104" s="741"/>
      <c r="X104" s="741"/>
      <c r="Y104" s="741"/>
      <c r="Z104" s="741"/>
      <c r="AA104" s="741"/>
      <c r="AB104" s="741"/>
      <c r="AC104" s="734">
        <f>IF(NFI_Expiration=1,IF($A104&lt;VLOOKUP(I$5,NFI,5,0),1,0)*Data_NFI_t[[#This Row],[Hygiene Kit]],0)</f>
        <v>0</v>
      </c>
      <c r="AD104" s="734">
        <f>IF(NFI_Expiration=1,IF($A104&lt;VLOOKUP(L$5,NFI,5,0),1,0)*Data_NFI_t[[#This Row],[NFI Core Kit]],0)</f>
        <v>0</v>
      </c>
      <c r="AE104" s="735">
        <f>IF(NFI_Expiration=1,IF($A104&lt;VLOOKUP(M$5,NFI,5,0),1,0)*Data_NFI_t[[#This Row],[Sanitary Kit]],0)</f>
        <v>0</v>
      </c>
      <c r="AF104" s="735">
        <f>IF(NFI_Expiration=1,IF($A104&lt;VLOOKUP(N$5,NFI,5,0),1,0)*Data_NFI_t[[#This Row],[Mosquito net]],0)</f>
        <v>0</v>
      </c>
      <c r="AG104" s="735">
        <f>IF(NFI_Expiration=1,IF($A104&lt;VLOOKUP(O$5,NFI,5,0),1,0)*Data_NFI_t[[#This Row],[Tarpaulin]],0)</f>
        <v>0</v>
      </c>
      <c r="AH104" s="735">
        <f>IF(NFI_Expiration=1,IF($A104&lt;VLOOKUP(P$5,NFI,5,0),1,0)*Data_NFI_t[[#This Row],[Blanket]],0)</f>
        <v>0</v>
      </c>
      <c r="AI104" s="735">
        <f>IF(NFI_Expiration=1,IF($A104&lt;VLOOKUP(Q$5,NFI,5,0),1,0)*Data_NFI_t[[#This Row],[Kitchen Set]],0)</f>
        <v>0</v>
      </c>
      <c r="AJ104" s="735">
        <f>IF(NFI_Expiration=1,IF($A104&lt;VLOOKUP(R$5,NFI,5,0),1,0)*Data_NFI_t[[#This Row],[Complementary Kit]],0)</f>
        <v>0</v>
      </c>
      <c r="AK104" s="735">
        <f>IF(NFI_Expiration=1,IF($A104&lt;VLOOKUP(S$5,NFI,5,0),1,0)*Data_NFI_t[[#This Row],[Plastic Bucket]],0)</f>
        <v>0</v>
      </c>
      <c r="AL104" s="734">
        <f>IF(NFI_Expiration=1,IF($A104&lt;VLOOKUP(T$5,NFI,5,0),1,0)*Data_NFI_t[[#This Row],[Jerry Can]],0)</f>
        <v>0</v>
      </c>
      <c r="AM104" s="734">
        <f>IF(NFI_Expiration=1,IF($A104&lt;VLOOKUP(U$5,NFI,5,0),1,0)*Data_NFI_t[[#This Row],[Plastic Mat]],0)</f>
        <v>0</v>
      </c>
      <c r="AN104" s="734">
        <f>IF(NFI_Expiration=1,IF($A104&lt;VLOOKUP(V$5,NFI,5,0),1,0)*Data_NFI_t[[#This Row],[Adult Clothes]],0)</f>
        <v>0</v>
      </c>
      <c r="AO104" s="734">
        <f>IF(NFI_Expiration=1,IF($A104&lt;VLOOKUP(W$5,NFI,5,0),1,0)*Data_NFI_t[[#This Row],[Children Clothes]],0)</f>
        <v>0</v>
      </c>
      <c r="AP104" s="734">
        <f>IF(NFI_Expiration=1,IF($A104&lt;VLOOKUP(X$5,NFI,5,0),1,0)*Data_NFI_t[[#This Row],[Sewing Kit]],0)</f>
        <v>0</v>
      </c>
      <c r="AQ104" s="734">
        <f>IF(NFI_Expiration=1,IF($A104&lt;VLOOKUP(X$5,NFI,5,0),1,0)*Data_NFI_t[[#This Row],[Solar Lantern]],0)</f>
        <v>0</v>
      </c>
      <c r="AR104" s="105" t="str">
        <f ca="1">IFERROR(OFFSET(Camp_List[P_Code],MATCH(Data_NFI_t[[#This Row],[Camp Name]],Camp_List[Camp Name],0)-1,0,1,1),"")</f>
        <v>MMR012CMP113</v>
      </c>
      <c r="AS104" s="421" t="str">
        <f ca="1">IFERROR(OFFSET(Camp_List[Status],MATCH(Data_NFI_t[[#This Row],[Camp Name]],Camp_List[Camp Name],0)-1,0,1,1),"")</f>
        <v>Open</v>
      </c>
      <c r="AT104" s="105"/>
      <c r="AW104" s="772"/>
    </row>
    <row r="105" spans="1:49" s="43" customFormat="1" ht="16.5" customHeight="1" x14ac:dyDescent="0.25">
      <c r="A105" s="736">
        <f t="shared" si="1"/>
        <v>12.266666666666667</v>
      </c>
      <c r="B105" s="737">
        <f>YEAR(Data_NFI_t[[#This Row],[Distribution Date]])</f>
        <v>2017</v>
      </c>
      <c r="C105" s="1013">
        <v>42822</v>
      </c>
      <c r="D105" s="733" t="s">
        <v>574</v>
      </c>
      <c r="E105" s="733" t="s">
        <v>574</v>
      </c>
      <c r="F105" s="733" t="s">
        <v>7</v>
      </c>
      <c r="G105" s="738" t="s">
        <v>17</v>
      </c>
      <c r="H105" s="738" t="s">
        <v>587</v>
      </c>
      <c r="I105" s="739"/>
      <c r="J105" s="850">
        <v>725</v>
      </c>
      <c r="K105" s="850">
        <v>3987</v>
      </c>
      <c r="L105" s="740"/>
      <c r="M105" s="740"/>
      <c r="N105" s="741">
        <v>1450</v>
      </c>
      <c r="O105" s="741"/>
      <c r="P105" s="741">
        <v>1450</v>
      </c>
      <c r="Q105" s="741"/>
      <c r="R105" s="741"/>
      <c r="S105" s="741">
        <v>1450</v>
      </c>
      <c r="T105" s="742">
        <v>2900</v>
      </c>
      <c r="U105" s="741"/>
      <c r="V105" s="741">
        <v>2175</v>
      </c>
      <c r="W105" s="741">
        <v>725</v>
      </c>
      <c r="X105" s="741"/>
      <c r="Y105" s="741"/>
      <c r="Z105" s="741"/>
      <c r="AA105" s="741"/>
      <c r="AB105" s="741"/>
      <c r="AC105" s="734">
        <f>IF(NFI_Expiration=1,IF($A105&lt;VLOOKUP(I$5,NFI,5,0),1,0)*Data_NFI_t[[#This Row],[Hygiene Kit]],0)</f>
        <v>0</v>
      </c>
      <c r="AD105" s="734">
        <f>IF(NFI_Expiration=1,IF($A105&lt;VLOOKUP(L$5,NFI,5,0),1,0)*Data_NFI_t[[#This Row],[NFI Core Kit]],0)</f>
        <v>0</v>
      </c>
      <c r="AE105" s="735">
        <f>IF(NFI_Expiration=1,IF($A105&lt;VLOOKUP(M$5,NFI,5,0),1,0)*Data_NFI_t[[#This Row],[Sanitary Kit]],0)</f>
        <v>0</v>
      </c>
      <c r="AF105" s="735">
        <f>IF(NFI_Expiration=1,IF($A105&lt;VLOOKUP(N$5,NFI,5,0),1,0)*Data_NFI_t[[#This Row],[Mosquito net]],0)</f>
        <v>0</v>
      </c>
      <c r="AG105" s="735">
        <f>IF(NFI_Expiration=1,IF($A105&lt;VLOOKUP(O$5,NFI,5,0),1,0)*Data_NFI_t[[#This Row],[Tarpaulin]],0)</f>
        <v>0</v>
      </c>
      <c r="AH105" s="735">
        <f>IF(NFI_Expiration=1,IF($A105&lt;VLOOKUP(P$5,NFI,5,0),1,0)*Data_NFI_t[[#This Row],[Blanket]],0)</f>
        <v>0</v>
      </c>
      <c r="AI105" s="735">
        <f>IF(NFI_Expiration=1,IF($A105&lt;VLOOKUP(Q$5,NFI,5,0),1,0)*Data_NFI_t[[#This Row],[Kitchen Set]],0)</f>
        <v>0</v>
      </c>
      <c r="AJ105" s="735">
        <f>IF(NFI_Expiration=1,IF($A105&lt;VLOOKUP(R$5,NFI,5,0),1,0)*Data_NFI_t[[#This Row],[Complementary Kit]],0)</f>
        <v>0</v>
      </c>
      <c r="AK105" s="735">
        <f>IF(NFI_Expiration=1,IF($A105&lt;VLOOKUP(S$5,NFI,5,0),1,0)*Data_NFI_t[[#This Row],[Plastic Bucket]],0)</f>
        <v>0</v>
      </c>
      <c r="AL105" s="734">
        <f>IF(NFI_Expiration=1,IF($A105&lt;VLOOKUP(T$5,NFI,5,0),1,0)*Data_NFI_t[[#This Row],[Jerry Can]],0)</f>
        <v>0</v>
      </c>
      <c r="AM105" s="734">
        <f>IF(NFI_Expiration=1,IF($A105&lt;VLOOKUP(U$5,NFI,5,0),1,0)*Data_NFI_t[[#This Row],[Plastic Mat]],0)</f>
        <v>0</v>
      </c>
      <c r="AN105" s="734">
        <f>IF(NFI_Expiration=1,IF($A105&lt;VLOOKUP(V$5,NFI,5,0),1,0)*Data_NFI_t[[#This Row],[Adult Clothes]],0)</f>
        <v>0</v>
      </c>
      <c r="AO105" s="734">
        <f>IF(NFI_Expiration=1,IF($A105&lt;VLOOKUP(W$5,NFI,5,0),1,0)*Data_NFI_t[[#This Row],[Children Clothes]],0)</f>
        <v>0</v>
      </c>
      <c r="AP105" s="734">
        <f>IF(NFI_Expiration=1,IF($A105&lt;VLOOKUP(X$5,NFI,5,0),1,0)*Data_NFI_t[[#This Row],[Sewing Kit]],0)</f>
        <v>0</v>
      </c>
      <c r="AQ105" s="734">
        <f>IF(NFI_Expiration=1,IF($A105&lt;VLOOKUP(X$5,NFI,5,0),1,0)*Data_NFI_t[[#This Row],[Solar Lantern]],0)</f>
        <v>0</v>
      </c>
      <c r="AR105" s="105" t="str">
        <f ca="1">IFERROR(OFFSET(Camp_List[P_Code],MATCH(Data_NFI_t[[#This Row],[Camp Name]],Camp_List[Camp Name],0)-1,0,1,1),"")</f>
        <v>MMR012CMP116</v>
      </c>
      <c r="AS105" s="421" t="str">
        <f ca="1">IFERROR(OFFSET(Camp_List[Status],MATCH(Data_NFI_t[[#This Row],[Camp Name]],Camp_List[Camp Name],0)-1,0,1,1),"")</f>
        <v>Open</v>
      </c>
      <c r="AT105" s="105"/>
      <c r="AU105" s="770"/>
      <c r="AV105" s="770"/>
      <c r="AW105" s="672"/>
    </row>
    <row r="106" spans="1:49" s="43" customFormat="1" ht="25.5" customHeight="1" x14ac:dyDescent="0.25">
      <c r="A106" s="736">
        <f t="shared" si="1"/>
        <v>12.6</v>
      </c>
      <c r="B106" s="737">
        <f>YEAR(Data_NFI_t[[#This Row],[Distribution Date]])</f>
        <v>2017</v>
      </c>
      <c r="C106" s="1013">
        <v>42812</v>
      </c>
      <c r="D106" s="733" t="s">
        <v>658</v>
      </c>
      <c r="E106" s="733" t="s">
        <v>658</v>
      </c>
      <c r="F106" s="733" t="s">
        <v>7</v>
      </c>
      <c r="G106" s="738" t="s">
        <v>817</v>
      </c>
      <c r="H106" s="738" t="s">
        <v>36</v>
      </c>
      <c r="I106" s="739"/>
      <c r="J106" s="850">
        <v>622</v>
      </c>
      <c r="K106" s="850">
        <v>1771</v>
      </c>
      <c r="L106" s="740"/>
      <c r="M106" s="740">
        <v>622</v>
      </c>
      <c r="N106" s="741"/>
      <c r="O106" s="741"/>
      <c r="P106" s="741"/>
      <c r="Q106" s="741"/>
      <c r="R106" s="741"/>
      <c r="S106" s="741"/>
      <c r="T106" s="742"/>
      <c r="U106" s="741"/>
      <c r="V106" s="741"/>
      <c r="W106" s="741"/>
      <c r="X106" s="741"/>
      <c r="Y106" s="741"/>
      <c r="Z106" s="741"/>
      <c r="AA106" s="741"/>
      <c r="AB106" s="741"/>
      <c r="AC106" s="734">
        <f>IF(NFI_Expiration=1,IF($A106&lt;VLOOKUP(I$5,NFI,5,0),1,0)*Data_NFI_t[[#This Row],[Hygiene Kit]],0)</f>
        <v>0</v>
      </c>
      <c r="AD106" s="734">
        <f>IF(NFI_Expiration=1,IF($A106&lt;VLOOKUP(L$5,NFI,5,0),1,0)*Data_NFI_t[[#This Row],[NFI Core Kit]],0)</f>
        <v>0</v>
      </c>
      <c r="AE106" s="735">
        <f>IF(NFI_Expiration=1,IF($A106&lt;VLOOKUP(M$5,NFI,5,0),1,0)*Data_NFI_t[[#This Row],[Sanitary Kit]],0)</f>
        <v>0</v>
      </c>
      <c r="AF106" s="735">
        <f>IF(NFI_Expiration=1,IF($A106&lt;VLOOKUP(N$5,NFI,5,0),1,0)*Data_NFI_t[[#This Row],[Mosquito net]],0)</f>
        <v>0</v>
      </c>
      <c r="AG106" s="735">
        <f>IF(NFI_Expiration=1,IF($A106&lt;VLOOKUP(O$5,NFI,5,0),1,0)*Data_NFI_t[[#This Row],[Tarpaulin]],0)</f>
        <v>0</v>
      </c>
      <c r="AH106" s="735">
        <f>IF(NFI_Expiration=1,IF($A106&lt;VLOOKUP(P$5,NFI,5,0),1,0)*Data_NFI_t[[#This Row],[Blanket]],0)</f>
        <v>0</v>
      </c>
      <c r="AI106" s="735">
        <f>IF(NFI_Expiration=1,IF($A106&lt;VLOOKUP(Q$5,NFI,5,0),1,0)*Data_NFI_t[[#This Row],[Kitchen Set]],0)</f>
        <v>0</v>
      </c>
      <c r="AJ106" s="735">
        <f>IF(NFI_Expiration=1,IF($A106&lt;VLOOKUP(R$5,NFI,5,0),1,0)*Data_NFI_t[[#This Row],[Complementary Kit]],0)</f>
        <v>0</v>
      </c>
      <c r="AK106" s="735">
        <f>IF(NFI_Expiration=1,IF($A106&lt;VLOOKUP(S$5,NFI,5,0),1,0)*Data_NFI_t[[#This Row],[Plastic Bucket]],0)</f>
        <v>0</v>
      </c>
      <c r="AL106" s="734">
        <f>IF(NFI_Expiration=1,IF($A106&lt;VLOOKUP(T$5,NFI,5,0),1,0)*Data_NFI_t[[#This Row],[Jerry Can]],0)</f>
        <v>0</v>
      </c>
      <c r="AM106" s="734">
        <f>IF(NFI_Expiration=1,IF($A106&lt;VLOOKUP(U$5,NFI,5,0),1,0)*Data_NFI_t[[#This Row],[Plastic Mat]],0)</f>
        <v>0</v>
      </c>
      <c r="AN106" s="734">
        <f>IF(NFI_Expiration=1,IF($A106&lt;VLOOKUP(V$5,NFI,5,0),1,0)*Data_NFI_t[[#This Row],[Adult Clothes]],0)</f>
        <v>0</v>
      </c>
      <c r="AO106" s="734">
        <f>IF(NFI_Expiration=1,IF($A106&lt;VLOOKUP(W$5,NFI,5,0),1,0)*Data_NFI_t[[#This Row],[Children Clothes]],0)</f>
        <v>0</v>
      </c>
      <c r="AP106" s="734">
        <f>IF(NFI_Expiration=1,IF($A106&lt;VLOOKUP(X$5,NFI,5,0),1,0)*Data_NFI_t[[#This Row],[Sewing Kit]],0)</f>
        <v>0</v>
      </c>
      <c r="AQ106" s="734">
        <f>IF(NFI_Expiration=1,IF($A106&lt;VLOOKUP(X$5,NFI,5,0),1,0)*Data_NFI_t[[#This Row],[Solar Lantern]],0)</f>
        <v>0</v>
      </c>
      <c r="AR106" s="105" t="str">
        <f ca="1">IFERROR(OFFSET(Camp_List[P_Code],MATCH(Data_NFI_t[[#This Row],[Camp Name]],Camp_List[Camp Name],0)-1,0,1,1),"")</f>
        <v>MMR012CMP014</v>
      </c>
      <c r="AS106" s="421" t="str">
        <f ca="1">IFERROR(OFFSET(Camp_List[Status],MATCH(Data_NFI_t[[#This Row],[Camp Name]],Camp_List[Camp Name],0)-1,0,1,1),"")</f>
        <v>Open</v>
      </c>
      <c r="AT106" s="105"/>
      <c r="AU106" s="770"/>
      <c r="AV106" s="770"/>
      <c r="AW106" s="672"/>
    </row>
    <row r="107" spans="1:49" s="43" customFormat="1" ht="25.5" customHeight="1" x14ac:dyDescent="0.25">
      <c r="A107" s="736">
        <f t="shared" si="1"/>
        <v>12.633333333333333</v>
      </c>
      <c r="B107" s="737">
        <f>YEAR(Data_NFI_t[[#This Row],[Distribution Date]])</f>
        <v>2017</v>
      </c>
      <c r="C107" s="1013">
        <v>42811</v>
      </c>
      <c r="D107" s="733" t="s">
        <v>270</v>
      </c>
      <c r="E107" s="733" t="s">
        <v>575</v>
      </c>
      <c r="F107" s="733" t="s">
        <v>7</v>
      </c>
      <c r="G107" s="738" t="s">
        <v>17</v>
      </c>
      <c r="H107" s="738" t="s">
        <v>66</v>
      </c>
      <c r="I107" s="739"/>
      <c r="J107" s="832">
        <v>2350</v>
      </c>
      <c r="K107" s="838">
        <f>J107*5.5</f>
        <v>12925</v>
      </c>
      <c r="L107" s="740"/>
      <c r="M107" s="740"/>
      <c r="N107" s="741">
        <v>2380</v>
      </c>
      <c r="O107" s="741"/>
      <c r="P107" s="741">
        <v>4760</v>
      </c>
      <c r="Q107" s="741"/>
      <c r="R107" s="741"/>
      <c r="S107" s="741"/>
      <c r="T107" s="742"/>
      <c r="U107" s="741">
        <v>11900</v>
      </c>
      <c r="V107" s="741"/>
      <c r="W107" s="741"/>
      <c r="X107" s="741"/>
      <c r="Y107" s="741"/>
      <c r="Z107" s="741"/>
      <c r="AA107" s="741"/>
      <c r="AB107" s="741"/>
      <c r="AC107" s="734">
        <f>IF(NFI_Expiration=1,IF($A107&lt;VLOOKUP(I$5,NFI,5,0),1,0)*Data_NFI_t[[#This Row],[Hygiene Kit]],0)</f>
        <v>0</v>
      </c>
      <c r="AD107" s="734">
        <f>IF(NFI_Expiration=1,IF($A107&lt;VLOOKUP(L$5,NFI,5,0),1,0)*Data_NFI_t[[#This Row],[NFI Core Kit]],0)</f>
        <v>0</v>
      </c>
      <c r="AE107" s="735">
        <f>IF(NFI_Expiration=1,IF($A107&lt;VLOOKUP(M$5,NFI,5,0),1,0)*Data_NFI_t[[#This Row],[Sanitary Kit]],0)</f>
        <v>0</v>
      </c>
      <c r="AF107" s="735">
        <f>IF(NFI_Expiration=1,IF($A107&lt;VLOOKUP(N$5,NFI,5,0),1,0)*Data_NFI_t[[#This Row],[Mosquito net]],0)</f>
        <v>0</v>
      </c>
      <c r="AG107" s="735">
        <f>IF(NFI_Expiration=1,IF($A107&lt;VLOOKUP(O$5,NFI,5,0),1,0)*Data_NFI_t[[#This Row],[Tarpaulin]],0)</f>
        <v>0</v>
      </c>
      <c r="AH107" s="735">
        <f>IF(NFI_Expiration=1,IF($A107&lt;VLOOKUP(P$5,NFI,5,0),1,0)*Data_NFI_t[[#This Row],[Blanket]],0)</f>
        <v>0</v>
      </c>
      <c r="AI107" s="735">
        <f>IF(NFI_Expiration=1,IF($A107&lt;VLOOKUP(Q$5,NFI,5,0),1,0)*Data_NFI_t[[#This Row],[Kitchen Set]],0)</f>
        <v>0</v>
      </c>
      <c r="AJ107" s="735">
        <f>IF(NFI_Expiration=1,IF($A107&lt;VLOOKUP(R$5,NFI,5,0),1,0)*Data_NFI_t[[#This Row],[Complementary Kit]],0)</f>
        <v>0</v>
      </c>
      <c r="AK107" s="735">
        <f>IF(NFI_Expiration=1,IF($A107&lt;VLOOKUP(S$5,NFI,5,0),1,0)*Data_NFI_t[[#This Row],[Plastic Bucket]],0)</f>
        <v>0</v>
      </c>
      <c r="AL107" s="734">
        <f>IF(NFI_Expiration=1,IF($A107&lt;VLOOKUP(T$5,NFI,5,0),1,0)*Data_NFI_t[[#This Row],[Jerry Can]],0)</f>
        <v>0</v>
      </c>
      <c r="AM107" s="734">
        <f>IF(NFI_Expiration=1,IF($A107&lt;VLOOKUP(U$5,NFI,5,0),1,0)*Data_NFI_t[[#This Row],[Plastic Mat]],0)</f>
        <v>0</v>
      </c>
      <c r="AN107" s="734">
        <f>IF(NFI_Expiration=1,IF($A107&lt;VLOOKUP(V$5,NFI,5,0),1,0)*Data_NFI_t[[#This Row],[Adult Clothes]],0)</f>
        <v>0</v>
      </c>
      <c r="AO107" s="734">
        <f>IF(NFI_Expiration=1,IF($A107&lt;VLOOKUP(W$5,NFI,5,0),1,0)*Data_NFI_t[[#This Row],[Children Clothes]],0)</f>
        <v>0</v>
      </c>
      <c r="AP107" s="734">
        <f>IF(NFI_Expiration=1,IF($A107&lt;VLOOKUP(X$5,NFI,5,0),1,0)*Data_NFI_t[[#This Row],[Sewing Kit]],0)</f>
        <v>0</v>
      </c>
      <c r="AQ107" s="734">
        <f>IF(NFI_Expiration=1,IF($A107&lt;VLOOKUP(X$5,NFI,5,0),1,0)*Data_NFI_t[[#This Row],[Solar Lantern]],0)</f>
        <v>0</v>
      </c>
      <c r="AR107" s="105" t="str">
        <f ca="1">IFERROR(OFFSET(Camp_List[P_Code],MATCH(Data_NFI_t[[#This Row],[Camp Name]],Camp_List[Camp Name],0)-1,0,1,1),"")</f>
        <v>MMR012CMP046</v>
      </c>
      <c r="AS107" s="421" t="str">
        <f ca="1">IFERROR(OFFSET(Camp_List[Status],MATCH(Data_NFI_t[[#This Row],[Camp Name]],Camp_List[Camp Name],0)-1,0,1,1),"")</f>
        <v>Open</v>
      </c>
      <c r="AT107" s="105"/>
      <c r="AU107" s="770"/>
      <c r="AV107" s="770"/>
      <c r="AW107" s="672"/>
    </row>
    <row r="108" spans="1:49" s="43" customFormat="1" ht="25.5" customHeight="1" x14ac:dyDescent="0.25">
      <c r="A108" s="736">
        <f t="shared" si="1"/>
        <v>12.666666666666666</v>
      </c>
      <c r="B108" s="737">
        <f>YEAR(Data_NFI_t[[#This Row],[Distribution Date]])</f>
        <v>2017</v>
      </c>
      <c r="C108" s="1013">
        <v>42810</v>
      </c>
      <c r="D108" s="733" t="s">
        <v>270</v>
      </c>
      <c r="E108" s="733" t="s">
        <v>575</v>
      </c>
      <c r="F108" s="733" t="s">
        <v>7</v>
      </c>
      <c r="G108" s="738" t="s">
        <v>13</v>
      </c>
      <c r="H108" s="738" t="s">
        <v>991</v>
      </c>
      <c r="I108" s="739"/>
      <c r="J108" s="834">
        <v>856</v>
      </c>
      <c r="K108" s="838">
        <f>J108*5.5</f>
        <v>4708</v>
      </c>
      <c r="L108" s="740"/>
      <c r="M108" s="740"/>
      <c r="N108" s="741">
        <v>856</v>
      </c>
      <c r="O108" s="741"/>
      <c r="P108" s="741"/>
      <c r="Q108" s="741"/>
      <c r="R108" s="741"/>
      <c r="S108" s="741"/>
      <c r="T108" s="742"/>
      <c r="U108" s="741"/>
      <c r="V108" s="741"/>
      <c r="W108" s="741"/>
      <c r="X108" s="741"/>
      <c r="Y108" s="741"/>
      <c r="Z108" s="741"/>
      <c r="AA108" s="741"/>
      <c r="AB108" s="741"/>
      <c r="AC108" s="734">
        <f>IF(NFI_Expiration=1,IF($A108&lt;VLOOKUP(I$5,NFI,5,0),1,0)*Data_NFI_t[[#This Row],[Hygiene Kit]],0)</f>
        <v>0</v>
      </c>
      <c r="AD108" s="734">
        <f>IF(NFI_Expiration=1,IF($A108&lt;VLOOKUP(L$5,NFI,5,0),1,0)*Data_NFI_t[[#This Row],[NFI Core Kit]],0)</f>
        <v>0</v>
      </c>
      <c r="AE108" s="735">
        <f>IF(NFI_Expiration=1,IF($A108&lt;VLOOKUP(M$5,NFI,5,0),1,0)*Data_NFI_t[[#This Row],[Sanitary Kit]],0)</f>
        <v>0</v>
      </c>
      <c r="AF108" s="735">
        <f>IF(NFI_Expiration=1,IF($A108&lt;VLOOKUP(N$5,NFI,5,0),1,0)*Data_NFI_t[[#This Row],[Mosquito net]],0)</f>
        <v>0</v>
      </c>
      <c r="AG108" s="735">
        <f>IF(NFI_Expiration=1,IF($A108&lt;VLOOKUP(O$5,NFI,5,0),1,0)*Data_NFI_t[[#This Row],[Tarpaulin]],0)</f>
        <v>0</v>
      </c>
      <c r="AH108" s="735">
        <f>IF(NFI_Expiration=1,IF($A108&lt;VLOOKUP(P$5,NFI,5,0),1,0)*Data_NFI_t[[#This Row],[Blanket]],0)</f>
        <v>0</v>
      </c>
      <c r="AI108" s="735">
        <f>IF(NFI_Expiration=1,IF($A108&lt;VLOOKUP(Q$5,NFI,5,0),1,0)*Data_NFI_t[[#This Row],[Kitchen Set]],0)</f>
        <v>0</v>
      </c>
      <c r="AJ108" s="735">
        <f>IF(NFI_Expiration=1,IF($A108&lt;VLOOKUP(R$5,NFI,5,0),1,0)*Data_NFI_t[[#This Row],[Complementary Kit]],0)</f>
        <v>0</v>
      </c>
      <c r="AK108" s="735">
        <f>IF(NFI_Expiration=1,IF($A108&lt;VLOOKUP(S$5,NFI,5,0),1,0)*Data_NFI_t[[#This Row],[Plastic Bucket]],0)</f>
        <v>0</v>
      </c>
      <c r="AL108" s="734">
        <f>IF(NFI_Expiration=1,IF($A108&lt;VLOOKUP(T$5,NFI,5,0),1,0)*Data_NFI_t[[#This Row],[Jerry Can]],0)</f>
        <v>0</v>
      </c>
      <c r="AM108" s="734">
        <f>IF(NFI_Expiration=1,IF($A108&lt;VLOOKUP(U$5,NFI,5,0),1,0)*Data_NFI_t[[#This Row],[Plastic Mat]],0)</f>
        <v>0</v>
      </c>
      <c r="AN108" s="734">
        <f>IF(NFI_Expiration=1,IF($A108&lt;VLOOKUP(V$5,NFI,5,0),1,0)*Data_NFI_t[[#This Row],[Adult Clothes]],0)</f>
        <v>0</v>
      </c>
      <c r="AO108" s="734">
        <f>IF(NFI_Expiration=1,IF($A108&lt;VLOOKUP(W$5,NFI,5,0),1,0)*Data_NFI_t[[#This Row],[Children Clothes]],0)</f>
        <v>0</v>
      </c>
      <c r="AP108" s="734">
        <f>IF(NFI_Expiration=1,IF($A108&lt;VLOOKUP(X$5,NFI,5,0),1,0)*Data_NFI_t[[#This Row],[Sewing Kit]],0)</f>
        <v>0</v>
      </c>
      <c r="AQ108" s="734">
        <f>IF(NFI_Expiration=1,IF($A108&lt;VLOOKUP(X$5,NFI,5,0),1,0)*Data_NFI_t[[#This Row],[Solar Lantern]],0)</f>
        <v>0</v>
      </c>
      <c r="AR108" s="105" t="str">
        <f ca="1">IFERROR(OFFSET(Camp_List[P_Code],MATCH(Data_NFI_t[[#This Row],[Camp Name]],Camp_List[Camp Name],0)-1,0,1,1),"")</f>
        <v>MMR012CMP017</v>
      </c>
      <c r="AS108" s="421" t="str">
        <f ca="1">IFERROR(OFFSET(Camp_List[Status],MATCH(Data_NFI_t[[#This Row],[Camp Name]],Camp_List[Camp Name],0)-1,0,1,1),"")</f>
        <v>Open</v>
      </c>
      <c r="AT108" s="105"/>
      <c r="AU108" s="770"/>
      <c r="AV108" s="770"/>
      <c r="AW108" s="672"/>
    </row>
    <row r="109" spans="1:49" s="43" customFormat="1" ht="25.5" customHeight="1" x14ac:dyDescent="0.25">
      <c r="A109" s="736">
        <f t="shared" si="1"/>
        <v>12.666666666666666</v>
      </c>
      <c r="B109" s="737">
        <f>YEAR(Data_NFI_t[[#This Row],[Distribution Date]])</f>
        <v>2017</v>
      </c>
      <c r="C109" s="1013">
        <v>42810</v>
      </c>
      <c r="D109" s="733" t="s">
        <v>270</v>
      </c>
      <c r="E109" s="733" t="s">
        <v>575</v>
      </c>
      <c r="F109" s="733" t="s">
        <v>7</v>
      </c>
      <c r="G109" s="738" t="s">
        <v>13</v>
      </c>
      <c r="H109" s="738" t="s">
        <v>38</v>
      </c>
      <c r="I109" s="739"/>
      <c r="J109" s="834">
        <v>1238</v>
      </c>
      <c r="K109" s="838">
        <f>J109*5.5</f>
        <v>6809</v>
      </c>
      <c r="L109" s="740"/>
      <c r="M109" s="740"/>
      <c r="N109" s="741">
        <v>1238</v>
      </c>
      <c r="O109" s="741"/>
      <c r="P109" s="741"/>
      <c r="Q109" s="741"/>
      <c r="R109" s="741"/>
      <c r="S109" s="741"/>
      <c r="T109" s="742"/>
      <c r="U109" s="741"/>
      <c r="V109" s="741"/>
      <c r="W109" s="741"/>
      <c r="X109" s="741"/>
      <c r="Y109" s="741"/>
      <c r="Z109" s="741"/>
      <c r="AA109" s="741"/>
      <c r="AB109" s="741"/>
      <c r="AC109" s="734">
        <f>IF(NFI_Expiration=1,IF($A109&lt;VLOOKUP(I$5,NFI,5,0),1,0)*Data_NFI_t[[#This Row],[Hygiene Kit]],0)</f>
        <v>0</v>
      </c>
      <c r="AD109" s="734">
        <f>IF(NFI_Expiration=1,IF($A109&lt;VLOOKUP(L$5,NFI,5,0),1,0)*Data_NFI_t[[#This Row],[NFI Core Kit]],0)</f>
        <v>0</v>
      </c>
      <c r="AE109" s="735">
        <f>IF(NFI_Expiration=1,IF($A109&lt;VLOOKUP(M$5,NFI,5,0),1,0)*Data_NFI_t[[#This Row],[Sanitary Kit]],0)</f>
        <v>0</v>
      </c>
      <c r="AF109" s="735">
        <f>IF(NFI_Expiration=1,IF($A109&lt;VLOOKUP(N$5,NFI,5,0),1,0)*Data_NFI_t[[#This Row],[Mosquito net]],0)</f>
        <v>0</v>
      </c>
      <c r="AG109" s="735">
        <f>IF(NFI_Expiration=1,IF($A109&lt;VLOOKUP(O$5,NFI,5,0),1,0)*Data_NFI_t[[#This Row],[Tarpaulin]],0)</f>
        <v>0</v>
      </c>
      <c r="AH109" s="735">
        <f>IF(NFI_Expiration=1,IF($A109&lt;VLOOKUP(P$5,NFI,5,0),1,0)*Data_NFI_t[[#This Row],[Blanket]],0)</f>
        <v>0</v>
      </c>
      <c r="AI109" s="735">
        <f>IF(NFI_Expiration=1,IF($A109&lt;VLOOKUP(Q$5,NFI,5,0),1,0)*Data_NFI_t[[#This Row],[Kitchen Set]],0)</f>
        <v>0</v>
      </c>
      <c r="AJ109" s="735">
        <f>IF(NFI_Expiration=1,IF($A109&lt;VLOOKUP(R$5,NFI,5,0),1,0)*Data_NFI_t[[#This Row],[Complementary Kit]],0)</f>
        <v>0</v>
      </c>
      <c r="AK109" s="735">
        <f>IF(NFI_Expiration=1,IF($A109&lt;VLOOKUP(S$5,NFI,5,0),1,0)*Data_NFI_t[[#This Row],[Plastic Bucket]],0)</f>
        <v>0</v>
      </c>
      <c r="AL109" s="734">
        <f>IF(NFI_Expiration=1,IF($A109&lt;VLOOKUP(T$5,NFI,5,0),1,0)*Data_NFI_t[[#This Row],[Jerry Can]],0)</f>
        <v>0</v>
      </c>
      <c r="AM109" s="734">
        <f>IF(NFI_Expiration=1,IF($A109&lt;VLOOKUP(U$5,NFI,5,0),1,0)*Data_NFI_t[[#This Row],[Plastic Mat]],0)</f>
        <v>0</v>
      </c>
      <c r="AN109" s="734">
        <f>IF(NFI_Expiration=1,IF($A109&lt;VLOOKUP(V$5,NFI,5,0),1,0)*Data_NFI_t[[#This Row],[Adult Clothes]],0)</f>
        <v>0</v>
      </c>
      <c r="AO109" s="734">
        <f>IF(NFI_Expiration=1,IF($A109&lt;VLOOKUP(W$5,NFI,5,0),1,0)*Data_NFI_t[[#This Row],[Children Clothes]],0)</f>
        <v>0</v>
      </c>
      <c r="AP109" s="734">
        <f>IF(NFI_Expiration=1,IF($A109&lt;VLOOKUP(X$5,NFI,5,0),1,0)*Data_NFI_t[[#This Row],[Sewing Kit]],0)</f>
        <v>0</v>
      </c>
      <c r="AQ109" s="734">
        <f>IF(NFI_Expiration=1,IF($A109&lt;VLOOKUP(X$5,NFI,5,0),1,0)*Data_NFI_t[[#This Row],[Solar Lantern]],0)</f>
        <v>0</v>
      </c>
      <c r="AR109" s="105" t="str">
        <f ca="1">IFERROR(OFFSET(Camp_List[P_Code],MATCH(Data_NFI_t[[#This Row],[Camp Name]],Camp_List[Camp Name],0)-1,0,1,1),"")</f>
        <v>MMR012CMP016</v>
      </c>
      <c r="AS109" s="421" t="str">
        <f ca="1">IFERROR(OFFSET(Camp_List[Status],MATCH(Data_NFI_t[[#This Row],[Camp Name]],Camp_List[Camp Name],0)-1,0,1,1),"")</f>
        <v>Open</v>
      </c>
      <c r="AT109" s="105"/>
      <c r="AU109" s="770"/>
      <c r="AV109" s="770"/>
      <c r="AW109" s="672"/>
    </row>
    <row r="110" spans="1:49" s="43" customFormat="1" ht="25.5" customHeight="1" x14ac:dyDescent="0.25">
      <c r="A110" s="736">
        <f t="shared" si="1"/>
        <v>12.733333333333333</v>
      </c>
      <c r="B110" s="737">
        <f>YEAR(Data_NFI_t[[#This Row],[Distribution Date]])</f>
        <v>2017</v>
      </c>
      <c r="C110" s="1013">
        <v>42808</v>
      </c>
      <c r="D110" s="733" t="s">
        <v>270</v>
      </c>
      <c r="E110" s="733" t="s">
        <v>575</v>
      </c>
      <c r="F110" s="733" t="s">
        <v>7</v>
      </c>
      <c r="G110" s="738" t="s">
        <v>17</v>
      </c>
      <c r="H110" s="738" t="s">
        <v>62</v>
      </c>
      <c r="I110" s="739"/>
      <c r="J110" s="834">
        <v>799</v>
      </c>
      <c r="K110" s="838">
        <v>4394</v>
      </c>
      <c r="L110" s="740"/>
      <c r="M110" s="740"/>
      <c r="N110" s="741">
        <v>799</v>
      </c>
      <c r="O110" s="741"/>
      <c r="P110" s="741"/>
      <c r="Q110" s="741">
        <v>799</v>
      </c>
      <c r="R110" s="741"/>
      <c r="S110" s="741"/>
      <c r="T110" s="742"/>
      <c r="U110" s="741"/>
      <c r="V110" s="741"/>
      <c r="W110" s="741"/>
      <c r="X110" s="741"/>
      <c r="Y110" s="741"/>
      <c r="Z110" s="741"/>
      <c r="AA110" s="741"/>
      <c r="AB110" s="741"/>
      <c r="AC110" s="734">
        <f>IF(NFI_Expiration=1,IF($A110&lt;VLOOKUP(I$5,NFI,5,0),1,0)*Data_NFI_t[[#This Row],[Hygiene Kit]],0)</f>
        <v>0</v>
      </c>
      <c r="AD110" s="734">
        <f>IF(NFI_Expiration=1,IF($A110&lt;VLOOKUP(L$5,NFI,5,0),1,0)*Data_NFI_t[[#This Row],[NFI Core Kit]],0)</f>
        <v>0</v>
      </c>
      <c r="AE110" s="735">
        <f>IF(NFI_Expiration=1,IF($A110&lt;VLOOKUP(M$5,NFI,5,0),1,0)*Data_NFI_t[[#This Row],[Sanitary Kit]],0)</f>
        <v>0</v>
      </c>
      <c r="AF110" s="735">
        <f>IF(NFI_Expiration=1,IF($A110&lt;VLOOKUP(N$5,NFI,5,0),1,0)*Data_NFI_t[[#This Row],[Mosquito net]],0)</f>
        <v>0</v>
      </c>
      <c r="AG110" s="735">
        <f>IF(NFI_Expiration=1,IF($A110&lt;VLOOKUP(O$5,NFI,5,0),1,0)*Data_NFI_t[[#This Row],[Tarpaulin]],0)</f>
        <v>0</v>
      </c>
      <c r="AH110" s="735">
        <f>IF(NFI_Expiration=1,IF($A110&lt;VLOOKUP(P$5,NFI,5,0),1,0)*Data_NFI_t[[#This Row],[Blanket]],0)</f>
        <v>0</v>
      </c>
      <c r="AI110" s="735">
        <f>IF(NFI_Expiration=1,IF($A110&lt;VLOOKUP(Q$5,NFI,5,0),1,0)*Data_NFI_t[[#This Row],[Kitchen Set]],0)</f>
        <v>0</v>
      </c>
      <c r="AJ110" s="735">
        <f>IF(NFI_Expiration=1,IF($A110&lt;VLOOKUP(R$5,NFI,5,0),1,0)*Data_NFI_t[[#This Row],[Complementary Kit]],0)</f>
        <v>0</v>
      </c>
      <c r="AK110" s="735">
        <f>IF(NFI_Expiration=1,IF($A110&lt;VLOOKUP(S$5,NFI,5,0),1,0)*Data_NFI_t[[#This Row],[Plastic Bucket]],0)</f>
        <v>0</v>
      </c>
      <c r="AL110" s="734">
        <f>IF(NFI_Expiration=1,IF($A110&lt;VLOOKUP(T$5,NFI,5,0),1,0)*Data_NFI_t[[#This Row],[Jerry Can]],0)</f>
        <v>0</v>
      </c>
      <c r="AM110" s="734">
        <f>IF(NFI_Expiration=1,IF($A110&lt;VLOOKUP(U$5,NFI,5,0),1,0)*Data_NFI_t[[#This Row],[Plastic Mat]],0)</f>
        <v>0</v>
      </c>
      <c r="AN110" s="734">
        <f>IF(NFI_Expiration=1,IF($A110&lt;VLOOKUP(V$5,NFI,5,0),1,0)*Data_NFI_t[[#This Row],[Adult Clothes]],0)</f>
        <v>0</v>
      </c>
      <c r="AO110" s="734">
        <f>IF(NFI_Expiration=1,IF($A110&lt;VLOOKUP(W$5,NFI,5,0),1,0)*Data_NFI_t[[#This Row],[Children Clothes]],0)</f>
        <v>0</v>
      </c>
      <c r="AP110" s="734">
        <f>IF(NFI_Expiration=1,IF($A110&lt;VLOOKUP(X$5,NFI,5,0),1,0)*Data_NFI_t[[#This Row],[Sewing Kit]],0)</f>
        <v>0</v>
      </c>
      <c r="AQ110" s="734">
        <f>IF(NFI_Expiration=1,IF($A110&lt;VLOOKUP(X$5,NFI,5,0),1,0)*Data_NFI_t[[#This Row],[Solar Lantern]],0)</f>
        <v>0</v>
      </c>
      <c r="AR110" s="105" t="str">
        <f ca="1">IFERROR(OFFSET(Camp_List[P_Code],MATCH(Data_NFI_t[[#This Row],[Camp Name]],Camp_List[Camp Name],0)-1,0,1,1),"")</f>
        <v>MMR012CMP042</v>
      </c>
      <c r="AS110" s="421" t="str">
        <f ca="1">IFERROR(OFFSET(Camp_List[Status],MATCH(Data_NFI_t[[#This Row],[Camp Name]],Camp_List[Camp Name],0)-1,0,1,1),"")</f>
        <v>Open</v>
      </c>
      <c r="AT110" s="105"/>
      <c r="AU110" s="770"/>
      <c r="AV110" s="770"/>
      <c r="AW110" s="672"/>
    </row>
    <row r="111" spans="1:49" s="43" customFormat="1" ht="25.5" customHeight="1" x14ac:dyDescent="0.25">
      <c r="A111" s="736">
        <f t="shared" si="1"/>
        <v>12.866666666666667</v>
      </c>
      <c r="B111" s="737">
        <f>YEAR(Data_NFI_t[[#This Row],[Distribution Date]])</f>
        <v>2017</v>
      </c>
      <c r="C111" s="1013">
        <v>42804</v>
      </c>
      <c r="D111" s="733" t="s">
        <v>270</v>
      </c>
      <c r="E111" s="733" t="s">
        <v>575</v>
      </c>
      <c r="F111" s="733" t="s">
        <v>7</v>
      </c>
      <c r="G111" s="738" t="s">
        <v>17</v>
      </c>
      <c r="H111" s="738" t="s">
        <v>59</v>
      </c>
      <c r="I111" s="739"/>
      <c r="J111" s="832">
        <v>397</v>
      </c>
      <c r="K111" s="838">
        <v>2183</v>
      </c>
      <c r="L111" s="740"/>
      <c r="M111" s="740"/>
      <c r="N111" s="741">
        <v>397</v>
      </c>
      <c r="O111" s="741"/>
      <c r="P111" s="741">
        <v>794</v>
      </c>
      <c r="Q111" s="741">
        <v>397</v>
      </c>
      <c r="R111" s="741"/>
      <c r="S111" s="741"/>
      <c r="T111" s="742"/>
      <c r="U111" s="741">
        <v>1859</v>
      </c>
      <c r="V111" s="741"/>
      <c r="W111" s="741"/>
      <c r="X111" s="741"/>
      <c r="Y111" s="741"/>
      <c r="Z111" s="741"/>
      <c r="AA111" s="741"/>
      <c r="AB111" s="741"/>
      <c r="AC111" s="734">
        <f>IF(NFI_Expiration=1,IF($A111&lt;VLOOKUP(I$5,NFI,5,0),1,0)*Data_NFI_t[[#This Row],[Hygiene Kit]],0)</f>
        <v>0</v>
      </c>
      <c r="AD111" s="734">
        <f>IF(NFI_Expiration=1,IF($A111&lt;VLOOKUP(L$5,NFI,5,0),1,0)*Data_NFI_t[[#This Row],[NFI Core Kit]],0)</f>
        <v>0</v>
      </c>
      <c r="AE111" s="735">
        <f>IF(NFI_Expiration=1,IF($A111&lt;VLOOKUP(M$5,NFI,5,0),1,0)*Data_NFI_t[[#This Row],[Sanitary Kit]],0)</f>
        <v>0</v>
      </c>
      <c r="AF111" s="735">
        <f>IF(NFI_Expiration=1,IF($A111&lt;VLOOKUP(N$5,NFI,5,0),1,0)*Data_NFI_t[[#This Row],[Mosquito net]],0)</f>
        <v>0</v>
      </c>
      <c r="AG111" s="735">
        <f>IF(NFI_Expiration=1,IF($A111&lt;VLOOKUP(O$5,NFI,5,0),1,0)*Data_NFI_t[[#This Row],[Tarpaulin]],0)</f>
        <v>0</v>
      </c>
      <c r="AH111" s="735">
        <f>IF(NFI_Expiration=1,IF($A111&lt;VLOOKUP(P$5,NFI,5,0),1,0)*Data_NFI_t[[#This Row],[Blanket]],0)</f>
        <v>0</v>
      </c>
      <c r="AI111" s="735">
        <f>IF(NFI_Expiration=1,IF($A111&lt;VLOOKUP(Q$5,NFI,5,0),1,0)*Data_NFI_t[[#This Row],[Kitchen Set]],0)</f>
        <v>0</v>
      </c>
      <c r="AJ111" s="735">
        <f>IF(NFI_Expiration=1,IF($A111&lt;VLOOKUP(R$5,NFI,5,0),1,0)*Data_NFI_t[[#This Row],[Complementary Kit]],0)</f>
        <v>0</v>
      </c>
      <c r="AK111" s="735">
        <f>IF(NFI_Expiration=1,IF($A111&lt;VLOOKUP(S$5,NFI,5,0),1,0)*Data_NFI_t[[#This Row],[Plastic Bucket]],0)</f>
        <v>0</v>
      </c>
      <c r="AL111" s="734">
        <f>IF(NFI_Expiration=1,IF($A111&lt;VLOOKUP(T$5,NFI,5,0),1,0)*Data_NFI_t[[#This Row],[Jerry Can]],0)</f>
        <v>0</v>
      </c>
      <c r="AM111" s="734">
        <f>IF(NFI_Expiration=1,IF($A111&lt;VLOOKUP(U$5,NFI,5,0),1,0)*Data_NFI_t[[#This Row],[Plastic Mat]],0)</f>
        <v>0</v>
      </c>
      <c r="AN111" s="734">
        <f>IF(NFI_Expiration=1,IF($A111&lt;VLOOKUP(V$5,NFI,5,0),1,0)*Data_NFI_t[[#This Row],[Adult Clothes]],0)</f>
        <v>0</v>
      </c>
      <c r="AO111" s="734">
        <f>IF(NFI_Expiration=1,IF($A111&lt;VLOOKUP(W$5,NFI,5,0),1,0)*Data_NFI_t[[#This Row],[Children Clothes]],0)</f>
        <v>0</v>
      </c>
      <c r="AP111" s="734">
        <f>IF(NFI_Expiration=1,IF($A111&lt;VLOOKUP(X$5,NFI,5,0),1,0)*Data_NFI_t[[#This Row],[Sewing Kit]],0)</f>
        <v>0</v>
      </c>
      <c r="AQ111" s="734">
        <f>IF(NFI_Expiration=1,IF($A111&lt;VLOOKUP(X$5,NFI,5,0),1,0)*Data_NFI_t[[#This Row],[Solar Lantern]],0)</f>
        <v>0</v>
      </c>
      <c r="AR111" s="105" t="str">
        <f ca="1">IFERROR(OFFSET(Camp_List[P_Code],MATCH(Data_NFI_t[[#This Row],[Camp Name]],Camp_List[Camp Name],0)-1,0,1,1),"")</f>
        <v>MMR012CMP039</v>
      </c>
      <c r="AS111" s="421" t="str">
        <f ca="1">IFERROR(OFFSET(Camp_List[Status],MATCH(Data_NFI_t[[#This Row],[Camp Name]],Camp_List[Camp Name],0)-1,0,1,1),"")</f>
        <v>Open</v>
      </c>
      <c r="AT111" s="105"/>
      <c r="AU111" s="770"/>
      <c r="AV111" s="770"/>
      <c r="AW111" s="672"/>
    </row>
    <row r="112" spans="1:49" s="43" customFormat="1" ht="25.5" customHeight="1" x14ac:dyDescent="0.25">
      <c r="A112" s="736">
        <f t="shared" si="1"/>
        <v>13</v>
      </c>
      <c r="B112" s="737">
        <f>YEAR(Data_NFI_t[[#This Row],[Distribution Date]])</f>
        <v>2017</v>
      </c>
      <c r="C112" s="1013">
        <v>42800</v>
      </c>
      <c r="D112" s="733" t="s">
        <v>913</v>
      </c>
      <c r="E112" s="733" t="s">
        <v>913</v>
      </c>
      <c r="F112" s="733" t="s">
        <v>7</v>
      </c>
      <c r="G112" s="738" t="s">
        <v>15</v>
      </c>
      <c r="H112" s="738" t="s">
        <v>55</v>
      </c>
      <c r="I112" s="739"/>
      <c r="J112" s="850">
        <v>270</v>
      </c>
      <c r="K112" s="850">
        <v>1485</v>
      </c>
      <c r="L112" s="740">
        <v>270</v>
      </c>
      <c r="M112" s="740"/>
      <c r="N112" s="741"/>
      <c r="O112" s="741"/>
      <c r="P112" s="741">
        <v>270</v>
      </c>
      <c r="Q112" s="741"/>
      <c r="R112" s="741"/>
      <c r="S112" s="741"/>
      <c r="T112" s="742"/>
      <c r="U112" s="741"/>
      <c r="V112" s="741"/>
      <c r="W112" s="741"/>
      <c r="X112" s="741"/>
      <c r="Y112" s="741"/>
      <c r="Z112" s="741"/>
      <c r="AA112" s="741"/>
      <c r="AB112" s="741"/>
      <c r="AC112" s="734">
        <f>IF(NFI_Expiration=1,IF($A112&lt;VLOOKUP(I$5,NFI,5,0),1,0)*Data_NFI_t[[#This Row],[Hygiene Kit]],0)</f>
        <v>0</v>
      </c>
      <c r="AD112" s="734">
        <f>IF(NFI_Expiration=1,IF($A112&lt;VLOOKUP(L$5,NFI,5,0),1,0)*Data_NFI_t[[#This Row],[NFI Core Kit]],0)</f>
        <v>0</v>
      </c>
      <c r="AE112" s="735">
        <f>IF(NFI_Expiration=1,IF($A112&lt;VLOOKUP(M$5,NFI,5,0),1,0)*Data_NFI_t[[#This Row],[Sanitary Kit]],0)</f>
        <v>0</v>
      </c>
      <c r="AF112" s="735">
        <f>IF(NFI_Expiration=1,IF($A112&lt;VLOOKUP(N$5,NFI,5,0),1,0)*Data_NFI_t[[#This Row],[Mosquito net]],0)</f>
        <v>0</v>
      </c>
      <c r="AG112" s="735">
        <f>IF(NFI_Expiration=1,IF($A112&lt;VLOOKUP(O$5,NFI,5,0),1,0)*Data_NFI_t[[#This Row],[Tarpaulin]],0)</f>
        <v>0</v>
      </c>
      <c r="AH112" s="735">
        <f>IF(NFI_Expiration=1,IF($A112&lt;VLOOKUP(P$5,NFI,5,0),1,0)*Data_NFI_t[[#This Row],[Blanket]],0)</f>
        <v>0</v>
      </c>
      <c r="AI112" s="735">
        <f>IF(NFI_Expiration=1,IF($A112&lt;VLOOKUP(Q$5,NFI,5,0),1,0)*Data_NFI_t[[#This Row],[Kitchen Set]],0)</f>
        <v>0</v>
      </c>
      <c r="AJ112" s="735">
        <f>IF(NFI_Expiration=1,IF($A112&lt;VLOOKUP(R$5,NFI,5,0),1,0)*Data_NFI_t[[#This Row],[Complementary Kit]],0)</f>
        <v>0</v>
      </c>
      <c r="AK112" s="735">
        <f>IF(NFI_Expiration=1,IF($A112&lt;VLOOKUP(S$5,NFI,5,0),1,0)*Data_NFI_t[[#This Row],[Plastic Bucket]],0)</f>
        <v>0</v>
      </c>
      <c r="AL112" s="734">
        <f>IF(NFI_Expiration=1,IF($A112&lt;VLOOKUP(T$5,NFI,5,0),1,0)*Data_NFI_t[[#This Row],[Jerry Can]],0)</f>
        <v>0</v>
      </c>
      <c r="AM112" s="734">
        <f>IF(NFI_Expiration=1,IF($A112&lt;VLOOKUP(U$5,NFI,5,0),1,0)*Data_NFI_t[[#This Row],[Plastic Mat]],0)</f>
        <v>0</v>
      </c>
      <c r="AN112" s="734">
        <f>IF(NFI_Expiration=1,IF($A112&lt;VLOOKUP(V$5,NFI,5,0),1,0)*Data_NFI_t[[#This Row],[Adult Clothes]],0)</f>
        <v>0</v>
      </c>
      <c r="AO112" s="734">
        <f>IF(NFI_Expiration=1,IF($A112&lt;VLOOKUP(W$5,NFI,5,0),1,0)*Data_NFI_t[[#This Row],[Children Clothes]],0)</f>
        <v>0</v>
      </c>
      <c r="AP112" s="734">
        <f>IF(NFI_Expiration=1,IF($A112&lt;VLOOKUP(X$5,NFI,5,0),1,0)*Data_NFI_t[[#This Row],[Sewing Kit]],0)</f>
        <v>0</v>
      </c>
      <c r="AQ112" s="734">
        <f>IF(NFI_Expiration=1,IF($A112&lt;VLOOKUP(X$5,NFI,5,0),1,0)*Data_NFI_t[[#This Row],[Solar Lantern]],0)</f>
        <v>0</v>
      </c>
      <c r="AR112" s="105" t="str">
        <f ca="1">IFERROR(OFFSET(Camp_List[P_Code],MATCH(Data_NFI_t[[#This Row],[Camp Name]],Camp_List[Camp Name],0)-1,0,1,1),"")</f>
        <v/>
      </c>
      <c r="AS112" s="421" t="str">
        <f ca="1">IFERROR(OFFSET(Camp_List[Status],MATCH(Data_NFI_t[[#This Row],[Camp Name]],Camp_List[Camp Name],0)-1,0,1,1),"")</f>
        <v/>
      </c>
      <c r="AT112" s="105"/>
      <c r="AU112" s="770"/>
      <c r="AV112" s="770"/>
      <c r="AW112" s="672"/>
    </row>
    <row r="113" spans="1:49" s="752" customFormat="1" ht="21" customHeight="1" x14ac:dyDescent="0.25">
      <c r="A113" s="755">
        <f t="shared" si="1"/>
        <v>13.233333333333333</v>
      </c>
      <c r="B113" s="756">
        <f>YEAR(Data_NFI_t[[#This Row],[Distribution Date]])</f>
        <v>2017</v>
      </c>
      <c r="C113" s="757">
        <v>42793</v>
      </c>
      <c r="D113" s="758" t="s">
        <v>280</v>
      </c>
      <c r="E113" s="759" t="s">
        <v>280</v>
      </c>
      <c r="F113" s="758" t="s">
        <v>7</v>
      </c>
      <c r="G113" s="753" t="s">
        <v>17</v>
      </c>
      <c r="H113" s="753" t="s">
        <v>587</v>
      </c>
      <c r="I113" s="754"/>
      <c r="J113" s="849" t="s">
        <v>1102</v>
      </c>
      <c r="K113" s="849">
        <v>2009</v>
      </c>
      <c r="L113" s="760"/>
      <c r="M113" s="760"/>
      <c r="N113" s="761"/>
      <c r="O113" s="761"/>
      <c r="P113" s="761"/>
      <c r="Q113" s="761"/>
      <c r="R113" s="761"/>
      <c r="S113" s="761"/>
      <c r="T113" s="762"/>
      <c r="U113" s="761"/>
      <c r="V113" s="761"/>
      <c r="W113" s="761">
        <v>2009</v>
      </c>
      <c r="X113" s="761"/>
      <c r="Y113" s="761"/>
      <c r="Z113" s="761"/>
      <c r="AA113" s="761"/>
      <c r="AB113" s="761"/>
      <c r="AC113" s="763">
        <f>IF(NFI_Expiration=1,IF($A113&lt;VLOOKUP(I$5,NFI,5,0),1,0)*Data_NFI_t[[#This Row],[Hygiene Kit]],0)</f>
        <v>0</v>
      </c>
      <c r="AD113" s="763">
        <f>IF(NFI_Expiration=1,IF($A113&lt;VLOOKUP(L$5,NFI,5,0),1,0)*Data_NFI_t[[#This Row],[NFI Core Kit]],0)</f>
        <v>0</v>
      </c>
      <c r="AE113" s="764">
        <f>IF(NFI_Expiration=1,IF($A113&lt;VLOOKUP(M$5,NFI,5,0),1,0)*Data_NFI_t[[#This Row],[Sanitary Kit]],0)</f>
        <v>0</v>
      </c>
      <c r="AF113" s="764">
        <f>IF(NFI_Expiration=1,IF($A113&lt;VLOOKUP(N$5,NFI,5,0),1,0)*Data_NFI_t[[#This Row],[Mosquito net]],0)</f>
        <v>0</v>
      </c>
      <c r="AG113" s="764">
        <f>IF(NFI_Expiration=1,IF($A113&lt;VLOOKUP(O$5,NFI,5,0),1,0)*Data_NFI_t[[#This Row],[Tarpaulin]],0)</f>
        <v>0</v>
      </c>
      <c r="AH113" s="764">
        <f>IF(NFI_Expiration=1,IF($A113&lt;VLOOKUP(P$5,NFI,5,0),1,0)*Data_NFI_t[[#This Row],[Blanket]],0)</f>
        <v>0</v>
      </c>
      <c r="AI113" s="764">
        <f>IF(NFI_Expiration=1,IF($A113&lt;VLOOKUP(Q$5,NFI,5,0),1,0)*Data_NFI_t[[#This Row],[Kitchen Set]],0)</f>
        <v>0</v>
      </c>
      <c r="AJ113" s="764">
        <f>IF(NFI_Expiration=1,IF($A113&lt;VLOOKUP(R$5,NFI,5,0),1,0)*Data_NFI_t[[#This Row],[Complementary Kit]],0)</f>
        <v>0</v>
      </c>
      <c r="AK113" s="764">
        <f>IF(NFI_Expiration=1,IF($A113&lt;VLOOKUP(S$5,NFI,5,0),1,0)*Data_NFI_t[[#This Row],[Plastic Bucket]],0)</f>
        <v>0</v>
      </c>
      <c r="AL113" s="763">
        <f>IF(NFI_Expiration=1,IF($A113&lt;VLOOKUP(T$5,NFI,5,0),1,0)*Data_NFI_t[[#This Row],[Jerry Can]],0)</f>
        <v>0</v>
      </c>
      <c r="AM113" s="734">
        <f>IF(NFI_Expiration=1,IF($A113&lt;VLOOKUP(U$5,NFI,5,0),1,0)*Data_NFI_t[[#This Row],[Plastic Mat]],0)</f>
        <v>0</v>
      </c>
      <c r="AN113" s="763">
        <f>IF(NFI_Expiration=1,IF($A113&lt;VLOOKUP(V$5,NFI,5,0),1,0)*Data_NFI_t[[#This Row],[Adult Clothes]],0)</f>
        <v>0</v>
      </c>
      <c r="AO113" s="763">
        <f>IF(NFI_Expiration=1,IF($A113&lt;VLOOKUP(W$5,NFI,5,0),1,0)*Data_NFI_t[[#This Row],[Children Clothes]],0)</f>
        <v>0</v>
      </c>
      <c r="AP113" s="763">
        <f>IF(NFI_Expiration=1,IF($A113&lt;VLOOKUP(X$5,NFI,5,0),1,0)*Data_NFI_t[[#This Row],[Sewing Kit]],0)</f>
        <v>0</v>
      </c>
      <c r="AQ113" s="734">
        <f>IF(NFI_Expiration=1,IF($A113&lt;VLOOKUP(X$5,NFI,5,0),1,0)*Data_NFI_t[[#This Row],[Solar Lantern]],0)</f>
        <v>0</v>
      </c>
      <c r="AR113" s="765" t="str">
        <f ca="1">IFERROR(OFFSET(Camp_List[P_Code],MATCH(Data_NFI_t[[#This Row],[Camp Name]],Camp_List[Camp Name],0)-1,0,1,1),"")</f>
        <v>MMR012CMP116</v>
      </c>
      <c r="AS113" s="766" t="str">
        <f ca="1">IFERROR(OFFSET(Camp_List[Status],MATCH(Data_NFI_t[[#This Row],[Camp Name]],Camp_List[Camp Name],0)-1,0,1,1),"")</f>
        <v>Open</v>
      </c>
      <c r="AT113" s="765"/>
    </row>
    <row r="114" spans="1:49" s="752" customFormat="1" ht="21" customHeight="1" x14ac:dyDescent="0.25">
      <c r="A114" s="755">
        <f t="shared" si="1"/>
        <v>13.933333333333334</v>
      </c>
      <c r="B114" s="756">
        <f>YEAR(Data_NFI_t[[#This Row],[Distribution Date]])</f>
        <v>2017</v>
      </c>
      <c r="C114" s="757">
        <v>42772</v>
      </c>
      <c r="D114" s="758" t="s">
        <v>1046</v>
      </c>
      <c r="E114" s="759" t="s">
        <v>575</v>
      </c>
      <c r="F114" s="758" t="s">
        <v>7</v>
      </c>
      <c r="G114" s="753" t="s">
        <v>17</v>
      </c>
      <c r="H114" s="753" t="s">
        <v>66</v>
      </c>
      <c r="I114" s="754"/>
      <c r="J114" s="848"/>
      <c r="K114" s="848"/>
      <c r="L114" s="760"/>
      <c r="M114" s="760"/>
      <c r="N114" s="761"/>
      <c r="O114" s="761"/>
      <c r="P114" s="761"/>
      <c r="Q114" s="761"/>
      <c r="R114" s="761"/>
      <c r="S114" s="761"/>
      <c r="T114" s="762"/>
      <c r="U114" s="761"/>
      <c r="V114" s="844"/>
      <c r="W114" s="845">
        <v>4000</v>
      </c>
      <c r="X114" s="761"/>
      <c r="Y114" s="761"/>
      <c r="Z114" s="761"/>
      <c r="AA114" s="761"/>
      <c r="AB114" s="761"/>
      <c r="AC114" s="763">
        <f>IF(NFI_Expiration=1,IF($A114&lt;VLOOKUP(I$5,NFI,5,0),1,0)*Data_NFI_t[[#This Row],[Hygiene Kit]],0)</f>
        <v>0</v>
      </c>
      <c r="AD114" s="763">
        <f>IF(NFI_Expiration=1,IF($A114&lt;VLOOKUP(L$5,NFI,5,0),1,0)*Data_NFI_t[[#This Row],[NFI Core Kit]],0)</f>
        <v>0</v>
      </c>
      <c r="AE114" s="764">
        <f>IF(NFI_Expiration=1,IF($A114&lt;VLOOKUP(M$5,NFI,5,0),1,0)*Data_NFI_t[[#This Row],[Sanitary Kit]],0)</f>
        <v>0</v>
      </c>
      <c r="AF114" s="764">
        <f>IF(NFI_Expiration=1,IF($A114&lt;VLOOKUP(N$5,NFI,5,0),1,0)*Data_NFI_t[[#This Row],[Mosquito net]],0)</f>
        <v>0</v>
      </c>
      <c r="AG114" s="764">
        <f>IF(NFI_Expiration=1,IF($A114&lt;VLOOKUP(O$5,NFI,5,0),1,0)*Data_NFI_t[[#This Row],[Tarpaulin]],0)</f>
        <v>0</v>
      </c>
      <c r="AH114" s="764">
        <f>IF(NFI_Expiration=1,IF($A114&lt;VLOOKUP(P$5,NFI,5,0),1,0)*Data_NFI_t[[#This Row],[Blanket]],0)</f>
        <v>0</v>
      </c>
      <c r="AI114" s="764">
        <f>IF(NFI_Expiration=1,IF($A114&lt;VLOOKUP(Q$5,NFI,5,0),1,0)*Data_NFI_t[[#This Row],[Kitchen Set]],0)</f>
        <v>0</v>
      </c>
      <c r="AJ114" s="764">
        <f>IF(NFI_Expiration=1,IF($A114&lt;VLOOKUP(R$5,NFI,5,0),1,0)*Data_NFI_t[[#This Row],[Complementary Kit]],0)</f>
        <v>0</v>
      </c>
      <c r="AK114" s="764">
        <f>IF(NFI_Expiration=1,IF($A114&lt;VLOOKUP(S$5,NFI,5,0),1,0)*Data_NFI_t[[#This Row],[Plastic Bucket]],0)</f>
        <v>0</v>
      </c>
      <c r="AL114" s="763">
        <f>IF(NFI_Expiration=1,IF($A114&lt;VLOOKUP(T$5,NFI,5,0),1,0)*Data_NFI_t[[#This Row],[Jerry Can]],0)</f>
        <v>0</v>
      </c>
      <c r="AM114" s="734">
        <f>IF(NFI_Expiration=1,IF($A114&lt;VLOOKUP(U$5,NFI,5,0),1,0)*Data_NFI_t[[#This Row],[Plastic Mat]],0)</f>
        <v>0</v>
      </c>
      <c r="AN114" s="763">
        <f>IF(NFI_Expiration=1,IF($A114&lt;VLOOKUP(V$5,NFI,5,0),1,0)*Data_NFI_t[[#This Row],[Adult Clothes]],0)</f>
        <v>0</v>
      </c>
      <c r="AO114" s="763">
        <f>IF(NFI_Expiration=1,IF($A114&lt;VLOOKUP(W$5,NFI,5,0),1,0)*Data_NFI_t[[#This Row],[Children Clothes]],0)</f>
        <v>0</v>
      </c>
      <c r="AP114" s="763">
        <f>IF(NFI_Expiration=1,IF($A114&lt;VLOOKUP(X$5,NFI,5,0),1,0)*Data_NFI_t[[#This Row],[Sewing Kit]],0)</f>
        <v>0</v>
      </c>
      <c r="AQ114" s="734">
        <f>IF(NFI_Expiration=1,IF($A114&lt;VLOOKUP(X$5,NFI,5,0),1,0)*Data_NFI_t[[#This Row],[Solar Lantern]],0)</f>
        <v>0</v>
      </c>
      <c r="AR114" s="765" t="str">
        <f ca="1">IFERROR(OFFSET(Camp_List[P_Code],MATCH(Data_NFI_t[[#This Row],[Camp Name]],Camp_List[Camp Name],0)-1,0,1,1),"")</f>
        <v>MMR012CMP046</v>
      </c>
      <c r="AS114" s="766" t="str">
        <f ca="1">IFERROR(OFFSET(Camp_List[Status],MATCH(Data_NFI_t[[#This Row],[Camp Name]],Camp_List[Camp Name],0)-1,0,1,1),"")</f>
        <v>Open</v>
      </c>
      <c r="AT114" s="765"/>
    </row>
    <row r="115" spans="1:49" s="752" customFormat="1" ht="21" customHeight="1" x14ac:dyDescent="0.25">
      <c r="A115" s="755">
        <f t="shared" si="1"/>
        <v>13.933333333333334</v>
      </c>
      <c r="B115" s="756">
        <f>YEAR(Data_NFI_t[[#This Row],[Distribution Date]])</f>
        <v>2017</v>
      </c>
      <c r="C115" s="757">
        <v>42772</v>
      </c>
      <c r="D115" s="758" t="s">
        <v>270</v>
      </c>
      <c r="E115" s="759" t="s">
        <v>270</v>
      </c>
      <c r="F115" s="758" t="s">
        <v>7</v>
      </c>
      <c r="G115" s="753" t="s">
        <v>15</v>
      </c>
      <c r="H115" s="753" t="s">
        <v>55</v>
      </c>
      <c r="I115" s="754"/>
      <c r="J115" s="832">
        <v>557</v>
      </c>
      <c r="K115" s="838">
        <v>3063</v>
      </c>
      <c r="L115" s="760"/>
      <c r="M115" s="760"/>
      <c r="N115" s="761"/>
      <c r="O115" s="761"/>
      <c r="P115" s="761">
        <v>1114</v>
      </c>
      <c r="Q115" s="761"/>
      <c r="R115" s="761"/>
      <c r="S115" s="761"/>
      <c r="T115" s="762"/>
      <c r="U115" s="761"/>
      <c r="V115" s="761"/>
      <c r="W115" s="767"/>
      <c r="X115" s="761"/>
      <c r="Y115" s="761"/>
      <c r="Z115" s="761"/>
      <c r="AA115" s="761"/>
      <c r="AB115" s="761"/>
      <c r="AC115" s="763">
        <f>IF(NFI_Expiration=1,IF($A115&lt;VLOOKUP(I$5,NFI,5,0),1,0)*Data_NFI_t[[#This Row],[Hygiene Kit]],0)</f>
        <v>0</v>
      </c>
      <c r="AD115" s="763">
        <f>IF(NFI_Expiration=1,IF($A115&lt;VLOOKUP(L$5,NFI,5,0),1,0)*Data_NFI_t[[#This Row],[NFI Core Kit]],0)</f>
        <v>0</v>
      </c>
      <c r="AE115" s="764">
        <f>IF(NFI_Expiration=1,IF($A115&lt;VLOOKUP(M$5,NFI,5,0),1,0)*Data_NFI_t[[#This Row],[Sanitary Kit]],0)</f>
        <v>0</v>
      </c>
      <c r="AF115" s="764">
        <f>IF(NFI_Expiration=1,IF($A115&lt;VLOOKUP(N$5,NFI,5,0),1,0)*Data_NFI_t[[#This Row],[Mosquito net]],0)</f>
        <v>0</v>
      </c>
      <c r="AG115" s="764">
        <f>IF(NFI_Expiration=1,IF($A115&lt;VLOOKUP(O$5,NFI,5,0),1,0)*Data_NFI_t[[#This Row],[Tarpaulin]],0)</f>
        <v>0</v>
      </c>
      <c r="AH115" s="764">
        <f>IF(NFI_Expiration=1,IF($A115&lt;VLOOKUP(P$5,NFI,5,0),1,0)*Data_NFI_t[[#This Row],[Blanket]],0)</f>
        <v>0</v>
      </c>
      <c r="AI115" s="764">
        <f>IF(NFI_Expiration=1,IF($A115&lt;VLOOKUP(Q$5,NFI,5,0),1,0)*Data_NFI_t[[#This Row],[Kitchen Set]],0)</f>
        <v>0</v>
      </c>
      <c r="AJ115" s="764">
        <f>IF(NFI_Expiration=1,IF($A115&lt;VLOOKUP(R$5,NFI,5,0),1,0)*Data_NFI_t[[#This Row],[Complementary Kit]],0)</f>
        <v>0</v>
      </c>
      <c r="AK115" s="764">
        <f>IF(NFI_Expiration=1,IF($A115&lt;VLOOKUP(S$5,NFI,5,0),1,0)*Data_NFI_t[[#This Row],[Plastic Bucket]],0)</f>
        <v>0</v>
      </c>
      <c r="AL115" s="763">
        <f>IF(NFI_Expiration=1,IF($A115&lt;VLOOKUP(T$5,NFI,5,0),1,0)*Data_NFI_t[[#This Row],[Jerry Can]],0)</f>
        <v>0</v>
      </c>
      <c r="AM115" s="734">
        <f>IF(NFI_Expiration=1,IF($A115&lt;VLOOKUP(U$5,NFI,5,0),1,0)*Data_NFI_t[[#This Row],[Plastic Mat]],0)</f>
        <v>0</v>
      </c>
      <c r="AN115" s="763">
        <f>IF(NFI_Expiration=1,IF($A115&lt;VLOOKUP(V$5,NFI,5,0),1,0)*Data_NFI_t[[#This Row],[Adult Clothes]],0)</f>
        <v>0</v>
      </c>
      <c r="AO115" s="763">
        <f>IF(NFI_Expiration=1,IF($A115&lt;VLOOKUP(W$5,NFI,5,0),1,0)*Data_NFI_t[[#This Row],[Children Clothes]],0)</f>
        <v>0</v>
      </c>
      <c r="AP115" s="763">
        <f>IF(NFI_Expiration=1,IF($A115&lt;VLOOKUP(X$5,NFI,5,0),1,0)*Data_NFI_t[[#This Row],[Sewing Kit]],0)</f>
        <v>0</v>
      </c>
      <c r="AQ115" s="734">
        <f>IF(NFI_Expiration=1,IF($A115&lt;VLOOKUP(X$5,NFI,5,0),1,0)*Data_NFI_t[[#This Row],[Solar Lantern]],0)</f>
        <v>0</v>
      </c>
      <c r="AR115" s="765" t="str">
        <f ca="1">IFERROR(OFFSET(Camp_List[P_Code],MATCH(Data_NFI_t[[#This Row],[Camp Name]],Camp_List[Camp Name],0)-1,0,1,1),"")</f>
        <v/>
      </c>
      <c r="AS115" s="766" t="str">
        <f ca="1">IFERROR(OFFSET(Camp_List[Status],MATCH(Data_NFI_t[[#This Row],[Camp Name]],Camp_List[Camp Name],0)-1,0,1,1),"")</f>
        <v/>
      </c>
      <c r="AT115" s="765"/>
    </row>
    <row r="116" spans="1:49" s="752" customFormat="1" ht="21" customHeight="1" x14ac:dyDescent="0.25">
      <c r="A116" s="755">
        <f t="shared" si="1"/>
        <v>14.133333333333333</v>
      </c>
      <c r="B116" s="756">
        <f>YEAR(Data_NFI_t[[#This Row],[Distribution Date]])</f>
        <v>2017</v>
      </c>
      <c r="C116" s="757">
        <v>42766</v>
      </c>
      <c r="D116" s="758" t="s">
        <v>1044</v>
      </c>
      <c r="E116" s="759" t="s">
        <v>1044</v>
      </c>
      <c r="F116" s="758" t="s">
        <v>7</v>
      </c>
      <c r="G116" s="753" t="s">
        <v>17</v>
      </c>
      <c r="H116" s="753" t="s">
        <v>59</v>
      </c>
      <c r="I116" s="754"/>
      <c r="J116" s="849">
        <v>397</v>
      </c>
      <c r="K116" s="1005">
        <v>2184</v>
      </c>
      <c r="L116" s="760"/>
      <c r="M116" s="760">
        <v>397</v>
      </c>
      <c r="N116" s="761"/>
      <c r="O116" s="761"/>
      <c r="P116" s="761"/>
      <c r="Q116" s="761"/>
      <c r="R116" s="761"/>
      <c r="S116" s="761"/>
      <c r="T116" s="762"/>
      <c r="U116" s="761"/>
      <c r="V116" s="761"/>
      <c r="W116" s="761"/>
      <c r="X116" s="761"/>
      <c r="Y116" s="761"/>
      <c r="Z116" s="761"/>
      <c r="AA116" s="761"/>
      <c r="AB116" s="761"/>
      <c r="AC116" s="763">
        <f>IF(NFI_Expiration=1,IF($A116&lt;VLOOKUP(I$5,NFI,5,0),1,0)*Data_NFI_t[[#This Row],[Hygiene Kit]],0)</f>
        <v>0</v>
      </c>
      <c r="AD116" s="763">
        <f>IF(NFI_Expiration=1,IF($A116&lt;VLOOKUP(L$5,NFI,5,0),1,0)*Data_NFI_t[[#This Row],[NFI Core Kit]],0)</f>
        <v>0</v>
      </c>
      <c r="AE116" s="764">
        <f>IF(NFI_Expiration=1,IF($A116&lt;VLOOKUP(M$5,NFI,5,0),1,0)*Data_NFI_t[[#This Row],[Sanitary Kit]],0)</f>
        <v>0</v>
      </c>
      <c r="AF116" s="764">
        <f>IF(NFI_Expiration=1,IF($A116&lt;VLOOKUP(N$5,NFI,5,0),1,0)*Data_NFI_t[[#This Row],[Mosquito net]],0)</f>
        <v>0</v>
      </c>
      <c r="AG116" s="764">
        <f>IF(NFI_Expiration=1,IF($A116&lt;VLOOKUP(O$5,NFI,5,0),1,0)*Data_NFI_t[[#This Row],[Tarpaulin]],0)</f>
        <v>0</v>
      </c>
      <c r="AH116" s="764">
        <f>IF(NFI_Expiration=1,IF($A116&lt;VLOOKUP(P$5,NFI,5,0),1,0)*Data_NFI_t[[#This Row],[Blanket]],0)</f>
        <v>0</v>
      </c>
      <c r="AI116" s="764">
        <f>IF(NFI_Expiration=1,IF($A116&lt;VLOOKUP(Q$5,NFI,5,0),1,0)*Data_NFI_t[[#This Row],[Kitchen Set]],0)</f>
        <v>0</v>
      </c>
      <c r="AJ116" s="764">
        <f>IF(NFI_Expiration=1,IF($A116&lt;VLOOKUP(R$5,NFI,5,0),1,0)*Data_NFI_t[[#This Row],[Complementary Kit]],0)</f>
        <v>0</v>
      </c>
      <c r="AK116" s="764">
        <f>IF(NFI_Expiration=1,IF($A116&lt;VLOOKUP(S$5,NFI,5,0),1,0)*Data_NFI_t[[#This Row],[Plastic Bucket]],0)</f>
        <v>0</v>
      </c>
      <c r="AL116" s="763">
        <f>IF(NFI_Expiration=1,IF($A116&lt;VLOOKUP(T$5,NFI,5,0),1,0)*Data_NFI_t[[#This Row],[Jerry Can]],0)</f>
        <v>0</v>
      </c>
      <c r="AM116" s="734">
        <f>IF(NFI_Expiration=1,IF($A116&lt;VLOOKUP(U$5,NFI,5,0),1,0)*Data_NFI_t[[#This Row],[Plastic Mat]],0)</f>
        <v>0</v>
      </c>
      <c r="AN116" s="763">
        <f>IF(NFI_Expiration=1,IF($A116&lt;VLOOKUP(V$5,NFI,5,0),1,0)*Data_NFI_t[[#This Row],[Adult Clothes]],0)</f>
        <v>0</v>
      </c>
      <c r="AO116" s="763">
        <f>IF(NFI_Expiration=1,IF($A116&lt;VLOOKUP(W$5,NFI,5,0),1,0)*Data_NFI_t[[#This Row],[Children Clothes]],0)</f>
        <v>0</v>
      </c>
      <c r="AP116" s="763">
        <f>IF(NFI_Expiration=1,IF($A116&lt;VLOOKUP(X$5,NFI,5,0),1,0)*Data_NFI_t[[#This Row],[Sewing Kit]],0)</f>
        <v>0</v>
      </c>
      <c r="AQ116" s="734">
        <f>IF(NFI_Expiration=1,IF($A116&lt;VLOOKUP(X$5,NFI,5,0),1,0)*Data_NFI_t[[#This Row],[Solar Lantern]],0)</f>
        <v>0</v>
      </c>
      <c r="AR116" s="765" t="str">
        <f ca="1">IFERROR(OFFSET(Camp_List[P_Code],MATCH(Data_NFI_t[[#This Row],[Camp Name]],Camp_List[Camp Name],0)-1,0,1,1),"")</f>
        <v>MMR012CMP039</v>
      </c>
      <c r="AS116" s="766" t="str">
        <f ca="1">IFERROR(OFFSET(Camp_List[Status],MATCH(Data_NFI_t[[#This Row],[Camp Name]],Camp_List[Camp Name],0)-1,0,1,1),"")</f>
        <v>Open</v>
      </c>
      <c r="AT116" s="765"/>
    </row>
    <row r="117" spans="1:49" s="43" customFormat="1" ht="17.25" customHeight="1" x14ac:dyDescent="0.25">
      <c r="A117" s="736">
        <f t="shared" si="1"/>
        <v>14.4</v>
      </c>
      <c r="B117" s="737">
        <f>YEAR(Data_NFI_t[[#This Row],[Distribution Date]])</f>
        <v>2017</v>
      </c>
      <c r="C117" s="1013">
        <v>42758</v>
      </c>
      <c r="D117" s="733" t="s">
        <v>1046</v>
      </c>
      <c r="E117" s="733" t="s">
        <v>575</v>
      </c>
      <c r="F117" s="733" t="s">
        <v>7</v>
      </c>
      <c r="G117" s="738" t="s">
        <v>13</v>
      </c>
      <c r="H117" s="738" t="s">
        <v>991</v>
      </c>
      <c r="I117" s="739"/>
      <c r="J117" s="846"/>
      <c r="K117" s="851">
        <v>858</v>
      </c>
      <c r="L117" s="740"/>
      <c r="M117" s="740"/>
      <c r="N117" s="741"/>
      <c r="O117" s="741"/>
      <c r="P117" s="741"/>
      <c r="Q117" s="741"/>
      <c r="R117" s="741"/>
      <c r="S117" s="741"/>
      <c r="T117" s="742"/>
      <c r="U117" s="741"/>
      <c r="V117" s="843">
        <v>858</v>
      </c>
      <c r="W117" s="843"/>
      <c r="X117" s="741"/>
      <c r="Y117" s="741"/>
      <c r="Z117" s="741"/>
      <c r="AA117" s="741"/>
      <c r="AB117" s="741"/>
      <c r="AC117" s="734">
        <f>IF(NFI_Expiration=1,IF($A117&lt;VLOOKUP(I$5,NFI,5,0),1,0)*Data_NFI_t[[#This Row],[Hygiene Kit]],0)</f>
        <v>0</v>
      </c>
      <c r="AD117" s="734">
        <f>IF(NFI_Expiration=1,IF($A117&lt;VLOOKUP(L$5,NFI,5,0),1,0)*Data_NFI_t[[#This Row],[NFI Core Kit]],0)</f>
        <v>0</v>
      </c>
      <c r="AE117" s="735">
        <f>IF(NFI_Expiration=1,IF($A117&lt;VLOOKUP(M$5,NFI,5,0),1,0)*Data_NFI_t[[#This Row],[Sanitary Kit]],0)</f>
        <v>0</v>
      </c>
      <c r="AF117" s="735">
        <f>IF(NFI_Expiration=1,IF($A117&lt;VLOOKUP(N$5,NFI,5,0),1,0)*Data_NFI_t[[#This Row],[Mosquito net]],0)</f>
        <v>0</v>
      </c>
      <c r="AG117" s="735">
        <f>IF(NFI_Expiration=1,IF($A117&lt;VLOOKUP(O$5,NFI,5,0),1,0)*Data_NFI_t[[#This Row],[Tarpaulin]],0)</f>
        <v>0</v>
      </c>
      <c r="AH117" s="735">
        <f>IF(NFI_Expiration=1,IF($A117&lt;VLOOKUP(P$5,NFI,5,0),1,0)*Data_NFI_t[[#This Row],[Blanket]],0)</f>
        <v>0</v>
      </c>
      <c r="AI117" s="735">
        <f>IF(NFI_Expiration=1,IF($A117&lt;VLOOKUP(Q$5,NFI,5,0),1,0)*Data_NFI_t[[#This Row],[Kitchen Set]],0)</f>
        <v>0</v>
      </c>
      <c r="AJ117" s="735">
        <f>IF(NFI_Expiration=1,IF($A117&lt;VLOOKUP(R$5,NFI,5,0),1,0)*Data_NFI_t[[#This Row],[Complementary Kit]],0)</f>
        <v>0</v>
      </c>
      <c r="AK117" s="735">
        <f>IF(NFI_Expiration=1,IF($A117&lt;VLOOKUP(S$5,NFI,5,0),1,0)*Data_NFI_t[[#This Row],[Plastic Bucket]],0)</f>
        <v>0</v>
      </c>
      <c r="AL117" s="734">
        <f>IF(NFI_Expiration=1,IF($A117&lt;VLOOKUP(T$5,NFI,5,0),1,0)*Data_NFI_t[[#This Row],[Jerry Can]],0)</f>
        <v>0</v>
      </c>
      <c r="AM117" s="734">
        <f>IF(NFI_Expiration=1,IF($A117&lt;VLOOKUP(U$5,NFI,5,0),1,0)*Data_NFI_t[[#This Row],[Plastic Mat]],0)</f>
        <v>0</v>
      </c>
      <c r="AN117" s="734">
        <f>IF(NFI_Expiration=1,IF($A117&lt;VLOOKUP(V$5,NFI,5,0),1,0)*Data_NFI_t[[#This Row],[Adult Clothes]],0)</f>
        <v>0</v>
      </c>
      <c r="AO117" s="734">
        <f>IF(NFI_Expiration=1,IF($A117&lt;VLOOKUP(W$5,NFI,5,0),1,0)*Data_NFI_t[[#This Row],[Children Clothes]],0)</f>
        <v>0</v>
      </c>
      <c r="AP117" s="734">
        <f>IF(NFI_Expiration=1,IF($A117&lt;VLOOKUP(X$5,NFI,5,0),1,0)*Data_NFI_t[[#This Row],[Sewing Kit]],0)</f>
        <v>0</v>
      </c>
      <c r="AQ117" s="734">
        <f>IF(NFI_Expiration=1,IF($A117&lt;VLOOKUP(X$5,NFI,5,0),1,0)*Data_NFI_t[[#This Row],[Solar Lantern]],0)</f>
        <v>0</v>
      </c>
      <c r="AR117" s="105" t="str">
        <f ca="1">IFERROR(OFFSET(Camp_List[P_Code],MATCH(Data_NFI_t[[#This Row],[Camp Name]],Camp_List[Camp Name],0)-1,0,1,1),"")</f>
        <v>MMR012CMP017</v>
      </c>
      <c r="AS117" s="421" t="str">
        <f ca="1">IFERROR(OFFSET(Camp_List[Status],MATCH(Data_NFI_t[[#This Row],[Camp Name]],Camp_List[Camp Name],0)-1,0,1,1),"")</f>
        <v>Open</v>
      </c>
      <c r="AT117" s="749" t="s">
        <v>1043</v>
      </c>
      <c r="AW117" s="672"/>
    </row>
    <row r="118" spans="1:49" s="43" customFormat="1" ht="17.25" customHeight="1" x14ac:dyDescent="0.25">
      <c r="A118" s="736">
        <f t="shared" si="1"/>
        <v>14.4</v>
      </c>
      <c r="B118" s="737">
        <f>YEAR(Data_NFI_t[[#This Row],[Distribution Date]])</f>
        <v>2017</v>
      </c>
      <c r="C118" s="1013">
        <v>42758</v>
      </c>
      <c r="D118" s="733" t="s">
        <v>1046</v>
      </c>
      <c r="E118" s="733" t="s">
        <v>575</v>
      </c>
      <c r="F118" s="733" t="s">
        <v>7</v>
      </c>
      <c r="G118" s="738" t="s">
        <v>13</v>
      </c>
      <c r="H118" s="738" t="s">
        <v>38</v>
      </c>
      <c r="I118" s="739"/>
      <c r="J118" s="846"/>
      <c r="K118" s="851">
        <v>1212</v>
      </c>
      <c r="L118" s="740"/>
      <c r="M118" s="740"/>
      <c r="N118" s="741"/>
      <c r="O118" s="741"/>
      <c r="P118" s="741"/>
      <c r="Q118" s="741"/>
      <c r="R118" s="741"/>
      <c r="S118" s="741"/>
      <c r="T118" s="742"/>
      <c r="U118" s="741"/>
      <c r="V118" s="840">
        <v>1224</v>
      </c>
      <c r="W118" s="843"/>
      <c r="X118" s="741"/>
      <c r="Y118" s="741"/>
      <c r="Z118" s="741"/>
      <c r="AA118" s="741"/>
      <c r="AB118" s="741"/>
      <c r="AC118" s="734">
        <f>IF(NFI_Expiration=1,IF($A118&lt;VLOOKUP(I$5,NFI,5,0),1,0)*Data_NFI_t[[#This Row],[Hygiene Kit]],0)</f>
        <v>0</v>
      </c>
      <c r="AD118" s="734">
        <f>IF(NFI_Expiration=1,IF($A118&lt;VLOOKUP(L$5,NFI,5,0),1,0)*Data_NFI_t[[#This Row],[NFI Core Kit]],0)</f>
        <v>0</v>
      </c>
      <c r="AE118" s="735">
        <f>IF(NFI_Expiration=1,IF($A118&lt;VLOOKUP(M$5,NFI,5,0),1,0)*Data_NFI_t[[#This Row],[Sanitary Kit]],0)</f>
        <v>0</v>
      </c>
      <c r="AF118" s="735">
        <f>IF(NFI_Expiration=1,IF($A118&lt;VLOOKUP(N$5,NFI,5,0),1,0)*Data_NFI_t[[#This Row],[Mosquito net]],0)</f>
        <v>0</v>
      </c>
      <c r="AG118" s="735">
        <f>IF(NFI_Expiration=1,IF($A118&lt;VLOOKUP(O$5,NFI,5,0),1,0)*Data_NFI_t[[#This Row],[Tarpaulin]],0)</f>
        <v>0</v>
      </c>
      <c r="AH118" s="735">
        <f>IF(NFI_Expiration=1,IF($A118&lt;VLOOKUP(P$5,NFI,5,0),1,0)*Data_NFI_t[[#This Row],[Blanket]],0)</f>
        <v>0</v>
      </c>
      <c r="AI118" s="735">
        <f>IF(NFI_Expiration=1,IF($A118&lt;VLOOKUP(Q$5,NFI,5,0),1,0)*Data_NFI_t[[#This Row],[Kitchen Set]],0)</f>
        <v>0</v>
      </c>
      <c r="AJ118" s="735">
        <f>IF(NFI_Expiration=1,IF($A118&lt;VLOOKUP(R$5,NFI,5,0),1,0)*Data_NFI_t[[#This Row],[Complementary Kit]],0)</f>
        <v>0</v>
      </c>
      <c r="AK118" s="735">
        <f>IF(NFI_Expiration=1,IF($A118&lt;VLOOKUP(S$5,NFI,5,0),1,0)*Data_NFI_t[[#This Row],[Plastic Bucket]],0)</f>
        <v>0</v>
      </c>
      <c r="AL118" s="734">
        <f>IF(NFI_Expiration=1,IF($A118&lt;VLOOKUP(T$5,NFI,5,0),1,0)*Data_NFI_t[[#This Row],[Jerry Can]],0)</f>
        <v>0</v>
      </c>
      <c r="AM118" s="734">
        <f>IF(NFI_Expiration=1,IF($A118&lt;VLOOKUP(U$5,NFI,5,0),1,0)*Data_NFI_t[[#This Row],[Plastic Mat]],0)</f>
        <v>0</v>
      </c>
      <c r="AN118" s="734">
        <f>IF(NFI_Expiration=1,IF($A118&lt;VLOOKUP(V$5,NFI,5,0),1,0)*Data_NFI_t[[#This Row],[Adult Clothes]],0)</f>
        <v>0</v>
      </c>
      <c r="AO118" s="734">
        <f>IF(NFI_Expiration=1,IF($A118&lt;VLOOKUP(W$5,NFI,5,0),1,0)*Data_NFI_t[[#This Row],[Children Clothes]],0)</f>
        <v>0</v>
      </c>
      <c r="AP118" s="734">
        <f>IF(NFI_Expiration=1,IF($A118&lt;VLOOKUP(X$5,NFI,5,0),1,0)*Data_NFI_t[[#This Row],[Sewing Kit]],0)</f>
        <v>0</v>
      </c>
      <c r="AQ118" s="734">
        <f>IF(NFI_Expiration=1,IF($A118&lt;VLOOKUP(X$5,NFI,5,0),1,0)*Data_NFI_t[[#This Row],[Solar Lantern]],0)</f>
        <v>0</v>
      </c>
      <c r="AR118" s="105" t="str">
        <f ca="1">IFERROR(OFFSET(Camp_List[P_Code],MATCH(Data_NFI_t[[#This Row],[Camp Name]],Camp_List[Camp Name],0)-1,0,1,1),"")</f>
        <v>MMR012CMP016</v>
      </c>
      <c r="AS118" s="421" t="str">
        <f ca="1">IFERROR(OFFSET(Camp_List[Status],MATCH(Data_NFI_t[[#This Row],[Camp Name]],Camp_List[Camp Name],0)-1,0,1,1),"")</f>
        <v>Open</v>
      </c>
      <c r="AT118" s="749" t="s">
        <v>1043</v>
      </c>
      <c r="AW118" s="672"/>
    </row>
    <row r="119" spans="1:49" s="43" customFormat="1" ht="17.25" customHeight="1" x14ac:dyDescent="0.25">
      <c r="A119" s="736">
        <f t="shared" si="1"/>
        <v>14.4</v>
      </c>
      <c r="B119" s="737">
        <f>YEAR(Data_NFI_t[[#This Row],[Distribution Date]])</f>
        <v>2017</v>
      </c>
      <c r="C119" s="1013">
        <v>42758</v>
      </c>
      <c r="D119" s="733" t="s">
        <v>476</v>
      </c>
      <c r="E119" s="733" t="s">
        <v>476</v>
      </c>
      <c r="F119" s="733" t="s">
        <v>7</v>
      </c>
      <c r="G119" s="738" t="s">
        <v>17</v>
      </c>
      <c r="H119" s="738" t="s">
        <v>62</v>
      </c>
      <c r="I119" s="739"/>
      <c r="J119" s="850">
        <v>799</v>
      </c>
      <c r="K119" s="850">
        <v>4395</v>
      </c>
      <c r="L119" s="740"/>
      <c r="M119" s="740">
        <v>799</v>
      </c>
      <c r="N119" s="741"/>
      <c r="O119" s="741"/>
      <c r="P119" s="741"/>
      <c r="Q119" s="741"/>
      <c r="R119" s="741"/>
      <c r="S119" s="741"/>
      <c r="T119" s="742"/>
      <c r="U119" s="741"/>
      <c r="V119" s="741"/>
      <c r="W119" s="741"/>
      <c r="X119" s="741"/>
      <c r="Y119" s="741"/>
      <c r="Z119" s="741"/>
      <c r="AA119" s="741"/>
      <c r="AB119" s="741"/>
      <c r="AC119" s="734">
        <f>IF(NFI_Expiration=1,IF($A119&lt;VLOOKUP(I$5,NFI,5,0),1,0)*Data_NFI_t[[#This Row],[Hygiene Kit]],0)</f>
        <v>0</v>
      </c>
      <c r="AD119" s="734">
        <f>IF(NFI_Expiration=1,IF($A119&lt;VLOOKUP(L$5,NFI,5,0),1,0)*Data_NFI_t[[#This Row],[NFI Core Kit]],0)</f>
        <v>0</v>
      </c>
      <c r="AE119" s="735">
        <f>IF(NFI_Expiration=1,IF($A119&lt;VLOOKUP(M$5,NFI,5,0),1,0)*Data_NFI_t[[#This Row],[Sanitary Kit]],0)</f>
        <v>0</v>
      </c>
      <c r="AF119" s="735">
        <f>IF(NFI_Expiration=1,IF($A119&lt;VLOOKUP(N$5,NFI,5,0),1,0)*Data_NFI_t[[#This Row],[Mosquito net]],0)</f>
        <v>0</v>
      </c>
      <c r="AG119" s="735">
        <f>IF(NFI_Expiration=1,IF($A119&lt;VLOOKUP(O$5,NFI,5,0),1,0)*Data_NFI_t[[#This Row],[Tarpaulin]],0)</f>
        <v>0</v>
      </c>
      <c r="AH119" s="735">
        <f>IF(NFI_Expiration=1,IF($A119&lt;VLOOKUP(P$5,NFI,5,0),1,0)*Data_NFI_t[[#This Row],[Blanket]],0)</f>
        <v>0</v>
      </c>
      <c r="AI119" s="735">
        <f>IF(NFI_Expiration=1,IF($A119&lt;VLOOKUP(Q$5,NFI,5,0),1,0)*Data_NFI_t[[#This Row],[Kitchen Set]],0)</f>
        <v>0</v>
      </c>
      <c r="AJ119" s="735">
        <f>IF(NFI_Expiration=1,IF($A119&lt;VLOOKUP(R$5,NFI,5,0),1,0)*Data_NFI_t[[#This Row],[Complementary Kit]],0)</f>
        <v>0</v>
      </c>
      <c r="AK119" s="735">
        <f>IF(NFI_Expiration=1,IF($A119&lt;VLOOKUP(S$5,NFI,5,0),1,0)*Data_NFI_t[[#This Row],[Plastic Bucket]],0)</f>
        <v>0</v>
      </c>
      <c r="AL119" s="734">
        <f>IF(NFI_Expiration=1,IF($A119&lt;VLOOKUP(T$5,NFI,5,0),1,0)*Data_NFI_t[[#This Row],[Jerry Can]],0)</f>
        <v>0</v>
      </c>
      <c r="AM119" s="734">
        <f>IF(NFI_Expiration=1,IF($A119&lt;VLOOKUP(U$5,NFI,5,0),1,0)*Data_NFI_t[[#This Row],[Plastic Mat]],0)</f>
        <v>0</v>
      </c>
      <c r="AN119" s="734">
        <f>IF(NFI_Expiration=1,IF($A119&lt;VLOOKUP(V$5,NFI,5,0),1,0)*Data_NFI_t[[#This Row],[Adult Clothes]],0)</f>
        <v>0</v>
      </c>
      <c r="AO119" s="734">
        <f>IF(NFI_Expiration=1,IF($A119&lt;VLOOKUP(W$5,NFI,5,0),1,0)*Data_NFI_t[[#This Row],[Children Clothes]],0)</f>
        <v>0</v>
      </c>
      <c r="AP119" s="734">
        <f>IF(NFI_Expiration=1,IF($A119&lt;VLOOKUP(X$5,NFI,5,0),1,0)*Data_NFI_t[[#This Row],[Sewing Kit]],0)</f>
        <v>0</v>
      </c>
      <c r="AQ119" s="734">
        <f>IF(NFI_Expiration=1,IF($A119&lt;VLOOKUP(X$5,NFI,5,0),1,0)*Data_NFI_t[[#This Row],[Solar Lantern]],0)</f>
        <v>0</v>
      </c>
      <c r="AR119" s="105" t="str">
        <f ca="1">IFERROR(OFFSET(Camp_List[P_Code],MATCH(Data_NFI_t[[#This Row],[Camp Name]],Camp_List[Camp Name],0)-1,0,1,1),"")</f>
        <v>MMR012CMP042</v>
      </c>
      <c r="AS119" s="421" t="str">
        <f ca="1">IFERROR(OFFSET(Camp_List[Status],MATCH(Data_NFI_t[[#This Row],[Camp Name]],Camp_List[Camp Name],0)-1,0,1,1),"")</f>
        <v>Open</v>
      </c>
      <c r="AT119" s="749" t="s">
        <v>1043</v>
      </c>
      <c r="AW119" s="672"/>
    </row>
    <row r="120" spans="1:49" s="43" customFormat="1" ht="17.25" customHeight="1" x14ac:dyDescent="0.25">
      <c r="A120" s="736">
        <f t="shared" si="1"/>
        <v>14.4</v>
      </c>
      <c r="B120" s="737">
        <f>YEAR(Data_NFI_t[[#This Row],[Distribution Date]])</f>
        <v>2017</v>
      </c>
      <c r="C120" s="1013">
        <v>42758</v>
      </c>
      <c r="D120" s="733" t="s">
        <v>1036</v>
      </c>
      <c r="E120" s="733" t="s">
        <v>1036</v>
      </c>
      <c r="F120" s="733" t="s">
        <v>7</v>
      </c>
      <c r="G120" s="738" t="s">
        <v>817</v>
      </c>
      <c r="H120" s="738" t="s">
        <v>36</v>
      </c>
      <c r="I120" s="739"/>
      <c r="J120" s="850">
        <v>690</v>
      </c>
      <c r="K120" s="850">
        <v>3795</v>
      </c>
      <c r="L120" s="740"/>
      <c r="M120" s="740"/>
      <c r="N120" s="741">
        <v>690</v>
      </c>
      <c r="O120" s="741"/>
      <c r="P120" s="741"/>
      <c r="Q120" s="741"/>
      <c r="R120" s="741"/>
      <c r="S120" s="741"/>
      <c r="T120" s="742"/>
      <c r="U120" s="741"/>
      <c r="V120" s="741"/>
      <c r="W120" s="741"/>
      <c r="X120" s="741"/>
      <c r="Y120" s="741"/>
      <c r="Z120" s="741"/>
      <c r="AA120" s="741"/>
      <c r="AB120" s="741"/>
      <c r="AC120" s="734">
        <f>IF(NFI_Expiration=1,IF($A120&lt;VLOOKUP(I$5,NFI,5,0),1,0)*Data_NFI_t[[#This Row],[Hygiene Kit]],0)</f>
        <v>0</v>
      </c>
      <c r="AD120" s="734">
        <f>IF(NFI_Expiration=1,IF($A120&lt;VLOOKUP(L$5,NFI,5,0),1,0)*Data_NFI_t[[#This Row],[NFI Core Kit]],0)</f>
        <v>0</v>
      </c>
      <c r="AE120" s="735">
        <f>IF(NFI_Expiration=1,IF($A120&lt;VLOOKUP(M$5,NFI,5,0),1,0)*Data_NFI_t[[#This Row],[Sanitary Kit]],0)</f>
        <v>0</v>
      </c>
      <c r="AF120" s="735">
        <f>IF(NFI_Expiration=1,IF($A120&lt;VLOOKUP(N$5,NFI,5,0),1,0)*Data_NFI_t[[#This Row],[Mosquito net]],0)</f>
        <v>0</v>
      </c>
      <c r="AG120" s="735">
        <f>IF(NFI_Expiration=1,IF($A120&lt;VLOOKUP(O$5,NFI,5,0),1,0)*Data_NFI_t[[#This Row],[Tarpaulin]],0)</f>
        <v>0</v>
      </c>
      <c r="AH120" s="735">
        <f>IF(NFI_Expiration=1,IF($A120&lt;VLOOKUP(P$5,NFI,5,0),1,0)*Data_NFI_t[[#This Row],[Blanket]],0)</f>
        <v>0</v>
      </c>
      <c r="AI120" s="735">
        <f>IF(NFI_Expiration=1,IF($A120&lt;VLOOKUP(Q$5,NFI,5,0),1,0)*Data_NFI_t[[#This Row],[Kitchen Set]],0)</f>
        <v>0</v>
      </c>
      <c r="AJ120" s="735">
        <f>IF(NFI_Expiration=1,IF($A120&lt;VLOOKUP(R$5,NFI,5,0),1,0)*Data_NFI_t[[#This Row],[Complementary Kit]],0)</f>
        <v>0</v>
      </c>
      <c r="AK120" s="735">
        <f>IF(NFI_Expiration=1,IF($A120&lt;VLOOKUP(S$5,NFI,5,0),1,0)*Data_NFI_t[[#This Row],[Plastic Bucket]],0)</f>
        <v>0</v>
      </c>
      <c r="AL120" s="734">
        <f>IF(NFI_Expiration=1,IF($A120&lt;VLOOKUP(T$5,NFI,5,0),1,0)*Data_NFI_t[[#This Row],[Jerry Can]],0)</f>
        <v>0</v>
      </c>
      <c r="AM120" s="734">
        <f>IF(NFI_Expiration=1,IF($A120&lt;VLOOKUP(U$5,NFI,5,0),1,0)*Data_NFI_t[[#This Row],[Plastic Mat]],0)</f>
        <v>0</v>
      </c>
      <c r="AN120" s="734">
        <f>IF(NFI_Expiration=1,IF($A120&lt;VLOOKUP(V$5,NFI,5,0),1,0)*Data_NFI_t[[#This Row],[Adult Clothes]],0)</f>
        <v>0</v>
      </c>
      <c r="AO120" s="734">
        <f>IF(NFI_Expiration=1,IF($A120&lt;VLOOKUP(W$5,NFI,5,0),1,0)*Data_NFI_t[[#This Row],[Children Clothes]],0)</f>
        <v>0</v>
      </c>
      <c r="AP120" s="734">
        <f>IF(NFI_Expiration=1,IF($A120&lt;VLOOKUP(X$5,NFI,5,0),1,0)*Data_NFI_t[[#This Row],[Sewing Kit]],0)</f>
        <v>0</v>
      </c>
      <c r="AQ120" s="734">
        <f>IF(NFI_Expiration=1,IF($A120&lt;VLOOKUP(X$5,NFI,5,0),1,0)*Data_NFI_t[[#This Row],[Solar Lantern]],0)</f>
        <v>0</v>
      </c>
      <c r="AR120" s="105" t="str">
        <f ca="1">IFERROR(OFFSET(Camp_List[P_Code],MATCH(Data_NFI_t[[#This Row],[Camp Name]],Camp_List[Camp Name],0)-1,0,1,1),"")</f>
        <v>MMR012CMP014</v>
      </c>
      <c r="AS120" s="421" t="str">
        <f ca="1">IFERROR(OFFSET(Camp_List[Status],MATCH(Data_NFI_t[[#This Row],[Camp Name]],Camp_List[Camp Name],0)-1,0,1,1),"")</f>
        <v>Open</v>
      </c>
      <c r="AT120" s="749" t="s">
        <v>1042</v>
      </c>
      <c r="AW120" s="672"/>
    </row>
    <row r="121" spans="1:49" s="43" customFormat="1" ht="17.25" customHeight="1" x14ac:dyDescent="0.25">
      <c r="A121" s="736">
        <f t="shared" si="1"/>
        <v>14.533333333333333</v>
      </c>
      <c r="B121" s="737">
        <f>YEAR(Data_NFI_t[[#This Row],[Distribution Date]])</f>
        <v>2017</v>
      </c>
      <c r="C121" s="1013">
        <v>42754</v>
      </c>
      <c r="D121" s="733" t="s">
        <v>1037</v>
      </c>
      <c r="E121" s="733" t="s">
        <v>1037</v>
      </c>
      <c r="F121" s="733" t="s">
        <v>7</v>
      </c>
      <c r="G121" s="738" t="s">
        <v>17</v>
      </c>
      <c r="H121" s="738" t="s">
        <v>587</v>
      </c>
      <c r="I121" s="739"/>
      <c r="J121" s="850">
        <v>350</v>
      </c>
      <c r="K121" s="850">
        <v>1925</v>
      </c>
      <c r="L121" s="740">
        <v>350</v>
      </c>
      <c r="M121" s="740"/>
      <c r="N121" s="741"/>
      <c r="O121" s="741"/>
      <c r="P121" s="741"/>
      <c r="Q121" s="741"/>
      <c r="R121" s="741"/>
      <c r="S121" s="741"/>
      <c r="T121" s="742"/>
      <c r="U121" s="741"/>
      <c r="V121" s="741"/>
      <c r="W121" s="741"/>
      <c r="X121" s="741"/>
      <c r="Y121" s="741"/>
      <c r="Z121" s="741"/>
      <c r="AA121" s="741"/>
      <c r="AB121" s="741"/>
      <c r="AC121" s="734">
        <f>IF(NFI_Expiration=1,IF($A121&lt;VLOOKUP(I$5,NFI,5,0),1,0)*Data_NFI_t[[#This Row],[Hygiene Kit]],0)</f>
        <v>0</v>
      </c>
      <c r="AD121" s="734">
        <f>IF(NFI_Expiration=1,IF($A121&lt;VLOOKUP(L$5,NFI,5,0),1,0)*Data_NFI_t[[#This Row],[NFI Core Kit]],0)</f>
        <v>0</v>
      </c>
      <c r="AE121" s="735">
        <f>IF(NFI_Expiration=1,IF($A121&lt;VLOOKUP(M$5,NFI,5,0),1,0)*Data_NFI_t[[#This Row],[Sanitary Kit]],0)</f>
        <v>0</v>
      </c>
      <c r="AF121" s="735">
        <f>IF(NFI_Expiration=1,IF($A121&lt;VLOOKUP(N$5,NFI,5,0),1,0)*Data_NFI_t[[#This Row],[Mosquito net]],0)</f>
        <v>0</v>
      </c>
      <c r="AG121" s="735">
        <f>IF(NFI_Expiration=1,IF($A121&lt;VLOOKUP(O$5,NFI,5,0),1,0)*Data_NFI_t[[#This Row],[Tarpaulin]],0)</f>
        <v>0</v>
      </c>
      <c r="AH121" s="735">
        <f>IF(NFI_Expiration=1,IF($A121&lt;VLOOKUP(P$5,NFI,5,0),1,0)*Data_NFI_t[[#This Row],[Blanket]],0)</f>
        <v>0</v>
      </c>
      <c r="AI121" s="735">
        <f>IF(NFI_Expiration=1,IF($A121&lt;VLOOKUP(Q$5,NFI,5,0),1,0)*Data_NFI_t[[#This Row],[Kitchen Set]],0)</f>
        <v>0</v>
      </c>
      <c r="AJ121" s="735">
        <f>IF(NFI_Expiration=1,IF($A121&lt;VLOOKUP(R$5,NFI,5,0),1,0)*Data_NFI_t[[#This Row],[Complementary Kit]],0)</f>
        <v>0</v>
      </c>
      <c r="AK121" s="735">
        <f>IF(NFI_Expiration=1,IF($A121&lt;VLOOKUP(S$5,NFI,5,0),1,0)*Data_NFI_t[[#This Row],[Plastic Bucket]],0)</f>
        <v>0</v>
      </c>
      <c r="AL121" s="734">
        <f>IF(NFI_Expiration=1,IF($A121&lt;VLOOKUP(T$5,NFI,5,0),1,0)*Data_NFI_t[[#This Row],[Jerry Can]],0)</f>
        <v>0</v>
      </c>
      <c r="AM121" s="734">
        <f>IF(NFI_Expiration=1,IF($A121&lt;VLOOKUP(U$5,NFI,5,0),1,0)*Data_NFI_t[[#This Row],[Plastic Mat]],0)</f>
        <v>0</v>
      </c>
      <c r="AN121" s="734">
        <f>IF(NFI_Expiration=1,IF($A121&lt;VLOOKUP(V$5,NFI,5,0),1,0)*Data_NFI_t[[#This Row],[Adult Clothes]],0)</f>
        <v>0</v>
      </c>
      <c r="AO121" s="734">
        <f>IF(NFI_Expiration=1,IF($A121&lt;VLOOKUP(W$5,NFI,5,0),1,0)*Data_NFI_t[[#This Row],[Children Clothes]],0)</f>
        <v>0</v>
      </c>
      <c r="AP121" s="734">
        <f>IF(NFI_Expiration=1,IF($A121&lt;VLOOKUP(X$5,NFI,5,0),1,0)*Data_NFI_t[[#This Row],[Sewing Kit]],0)</f>
        <v>0</v>
      </c>
      <c r="AQ121" s="734">
        <f>IF(NFI_Expiration=1,IF($A121&lt;VLOOKUP(X$5,NFI,5,0),1,0)*Data_NFI_t[[#This Row],[Solar Lantern]],0)</f>
        <v>0</v>
      </c>
      <c r="AR121" s="105" t="str">
        <f ca="1">IFERROR(OFFSET(Camp_List[P_Code],MATCH(Data_NFI_t[[#This Row],[Camp Name]],Camp_List[Camp Name],0)-1,0,1,1),"")</f>
        <v>MMR012CMP116</v>
      </c>
      <c r="AS121" s="421" t="str">
        <f ca="1">IFERROR(OFFSET(Camp_List[Status],MATCH(Data_NFI_t[[#This Row],[Camp Name]],Camp_List[Camp Name],0)-1,0,1,1),"")</f>
        <v>Open</v>
      </c>
      <c r="AT121" s="749" t="s">
        <v>1039</v>
      </c>
      <c r="AW121" s="672"/>
    </row>
    <row r="122" spans="1:49" s="43" customFormat="1" ht="17.25" customHeight="1" x14ac:dyDescent="0.25">
      <c r="A122" s="736">
        <f t="shared" si="1"/>
        <v>14.533333333333333</v>
      </c>
      <c r="B122" s="737">
        <f>YEAR(Data_NFI_t[[#This Row],[Distribution Date]])</f>
        <v>2017</v>
      </c>
      <c r="C122" s="1013">
        <v>42754</v>
      </c>
      <c r="D122" s="733" t="s">
        <v>1046</v>
      </c>
      <c r="E122" s="733" t="s">
        <v>575</v>
      </c>
      <c r="F122" s="733" t="s">
        <v>7</v>
      </c>
      <c r="G122" s="738" t="s">
        <v>17</v>
      </c>
      <c r="H122" s="738" t="s">
        <v>587</v>
      </c>
      <c r="I122" s="739"/>
      <c r="J122" s="850"/>
      <c r="K122" s="850">
        <v>2224</v>
      </c>
      <c r="L122" s="740"/>
      <c r="M122" s="740"/>
      <c r="N122" s="741"/>
      <c r="O122" s="741"/>
      <c r="P122" s="741"/>
      <c r="Q122" s="741"/>
      <c r="R122" s="741"/>
      <c r="S122" s="741"/>
      <c r="T122" s="742"/>
      <c r="U122" s="741"/>
      <c r="V122" s="843">
        <v>2237</v>
      </c>
      <c r="W122" s="843"/>
      <c r="X122" s="741"/>
      <c r="Y122" s="741"/>
      <c r="Z122" s="741"/>
      <c r="AA122" s="741"/>
      <c r="AB122" s="741"/>
      <c r="AC122" s="734">
        <f>IF(NFI_Expiration=1,IF($A122&lt;VLOOKUP(I$5,NFI,5,0),1,0)*Data_NFI_t[[#This Row],[Hygiene Kit]],0)</f>
        <v>0</v>
      </c>
      <c r="AD122" s="734">
        <f>IF(NFI_Expiration=1,IF($A122&lt;VLOOKUP(L$5,NFI,5,0),1,0)*Data_NFI_t[[#This Row],[NFI Core Kit]],0)</f>
        <v>0</v>
      </c>
      <c r="AE122" s="735">
        <f>IF(NFI_Expiration=1,IF($A122&lt;VLOOKUP(M$5,NFI,5,0),1,0)*Data_NFI_t[[#This Row],[Sanitary Kit]],0)</f>
        <v>0</v>
      </c>
      <c r="AF122" s="735">
        <f>IF(NFI_Expiration=1,IF($A122&lt;VLOOKUP(N$5,NFI,5,0),1,0)*Data_NFI_t[[#This Row],[Mosquito net]],0)</f>
        <v>0</v>
      </c>
      <c r="AG122" s="735">
        <f>IF(NFI_Expiration=1,IF($A122&lt;VLOOKUP(O$5,NFI,5,0),1,0)*Data_NFI_t[[#This Row],[Tarpaulin]],0)</f>
        <v>0</v>
      </c>
      <c r="AH122" s="735">
        <f>IF(NFI_Expiration=1,IF($A122&lt;VLOOKUP(P$5,NFI,5,0),1,0)*Data_NFI_t[[#This Row],[Blanket]],0)</f>
        <v>0</v>
      </c>
      <c r="AI122" s="735">
        <f>IF(NFI_Expiration=1,IF($A122&lt;VLOOKUP(Q$5,NFI,5,0),1,0)*Data_NFI_t[[#This Row],[Kitchen Set]],0)</f>
        <v>0</v>
      </c>
      <c r="AJ122" s="735">
        <f>IF(NFI_Expiration=1,IF($A122&lt;VLOOKUP(R$5,NFI,5,0),1,0)*Data_NFI_t[[#This Row],[Complementary Kit]],0)</f>
        <v>0</v>
      </c>
      <c r="AK122" s="735">
        <f>IF(NFI_Expiration=1,IF($A122&lt;VLOOKUP(S$5,NFI,5,0),1,0)*Data_NFI_t[[#This Row],[Plastic Bucket]],0)</f>
        <v>0</v>
      </c>
      <c r="AL122" s="734">
        <f>IF(NFI_Expiration=1,IF($A122&lt;VLOOKUP(T$5,NFI,5,0),1,0)*Data_NFI_t[[#This Row],[Jerry Can]],0)</f>
        <v>0</v>
      </c>
      <c r="AM122" s="734">
        <f>IF(NFI_Expiration=1,IF($A122&lt;VLOOKUP(U$5,NFI,5,0),1,0)*Data_NFI_t[[#This Row],[Plastic Mat]],0)</f>
        <v>0</v>
      </c>
      <c r="AN122" s="734">
        <f>IF(NFI_Expiration=1,IF($A122&lt;VLOOKUP(V$5,NFI,5,0),1,0)*Data_NFI_t[[#This Row],[Adult Clothes]],0)</f>
        <v>0</v>
      </c>
      <c r="AO122" s="734">
        <f>IF(NFI_Expiration=1,IF($A122&lt;VLOOKUP(W$5,NFI,5,0),1,0)*Data_NFI_t[[#This Row],[Children Clothes]],0)</f>
        <v>0</v>
      </c>
      <c r="AP122" s="734">
        <f>IF(NFI_Expiration=1,IF($A122&lt;VLOOKUP(X$5,NFI,5,0),1,0)*Data_NFI_t[[#This Row],[Sewing Kit]],0)</f>
        <v>0</v>
      </c>
      <c r="AQ122" s="734">
        <f>IF(NFI_Expiration=1,IF($A122&lt;VLOOKUP(X$5,NFI,5,0),1,0)*Data_NFI_t[[#This Row],[Solar Lantern]],0)</f>
        <v>0</v>
      </c>
      <c r="AR122" s="105" t="str">
        <f ca="1">IFERROR(OFFSET(Camp_List[P_Code],MATCH(Data_NFI_t[[#This Row],[Camp Name]],Camp_List[Camp Name],0)-1,0,1,1),"")</f>
        <v>MMR012CMP116</v>
      </c>
      <c r="AS122" s="421" t="str">
        <f ca="1">IFERROR(OFFSET(Camp_List[Status],MATCH(Data_NFI_t[[#This Row],[Camp Name]],Camp_List[Camp Name],0)-1,0,1,1),"")</f>
        <v>Open</v>
      </c>
      <c r="AT122" s="749" t="s">
        <v>1043</v>
      </c>
      <c r="AW122" s="672"/>
    </row>
    <row r="123" spans="1:49" s="43" customFormat="1" ht="17.25" customHeight="1" x14ac:dyDescent="0.25">
      <c r="A123" s="736">
        <f t="shared" si="1"/>
        <v>14.533333333333333</v>
      </c>
      <c r="B123" s="737">
        <f>YEAR(Data_NFI_t[[#This Row],[Distribution Date]])</f>
        <v>2017</v>
      </c>
      <c r="C123" s="1013">
        <v>42754</v>
      </c>
      <c r="D123" s="733" t="s">
        <v>1046</v>
      </c>
      <c r="E123" s="733" t="s">
        <v>913</v>
      </c>
      <c r="F123" s="733" t="s">
        <v>7</v>
      </c>
      <c r="G123" s="738" t="s">
        <v>17</v>
      </c>
      <c r="H123" s="738" t="s">
        <v>68</v>
      </c>
      <c r="I123" s="739"/>
      <c r="J123" s="850"/>
      <c r="K123" s="850">
        <v>992</v>
      </c>
      <c r="L123" s="740"/>
      <c r="M123" s="740"/>
      <c r="N123" s="741"/>
      <c r="O123" s="741"/>
      <c r="P123" s="741"/>
      <c r="Q123" s="741"/>
      <c r="R123" s="741"/>
      <c r="S123" s="741"/>
      <c r="T123" s="742"/>
      <c r="U123" s="741"/>
      <c r="V123" s="840">
        <v>4150</v>
      </c>
      <c r="W123" s="840">
        <v>1900</v>
      </c>
      <c r="X123" s="741"/>
      <c r="Y123" s="741"/>
      <c r="Z123" s="741"/>
      <c r="AA123" s="741"/>
      <c r="AB123" s="741"/>
      <c r="AC123" s="734">
        <f>IF(NFI_Expiration=1,IF($A123&lt;VLOOKUP(I$5,NFI,5,0),1,0)*Data_NFI_t[[#This Row],[Hygiene Kit]],0)</f>
        <v>0</v>
      </c>
      <c r="AD123" s="734">
        <f>IF(NFI_Expiration=1,IF($A123&lt;VLOOKUP(L$5,NFI,5,0),1,0)*Data_NFI_t[[#This Row],[NFI Core Kit]],0)</f>
        <v>0</v>
      </c>
      <c r="AE123" s="735">
        <f>IF(NFI_Expiration=1,IF($A123&lt;VLOOKUP(M$5,NFI,5,0),1,0)*Data_NFI_t[[#This Row],[Sanitary Kit]],0)</f>
        <v>0</v>
      </c>
      <c r="AF123" s="735">
        <f>IF(NFI_Expiration=1,IF($A123&lt;VLOOKUP(N$5,NFI,5,0),1,0)*Data_NFI_t[[#This Row],[Mosquito net]],0)</f>
        <v>0</v>
      </c>
      <c r="AG123" s="735">
        <f>IF(NFI_Expiration=1,IF($A123&lt;VLOOKUP(O$5,NFI,5,0),1,0)*Data_NFI_t[[#This Row],[Tarpaulin]],0)</f>
        <v>0</v>
      </c>
      <c r="AH123" s="735">
        <f>IF(NFI_Expiration=1,IF($A123&lt;VLOOKUP(P$5,NFI,5,0),1,0)*Data_NFI_t[[#This Row],[Blanket]],0)</f>
        <v>0</v>
      </c>
      <c r="AI123" s="735">
        <f>IF(NFI_Expiration=1,IF($A123&lt;VLOOKUP(Q$5,NFI,5,0),1,0)*Data_NFI_t[[#This Row],[Kitchen Set]],0)</f>
        <v>0</v>
      </c>
      <c r="AJ123" s="735">
        <f>IF(NFI_Expiration=1,IF($A123&lt;VLOOKUP(R$5,NFI,5,0),1,0)*Data_NFI_t[[#This Row],[Complementary Kit]],0)</f>
        <v>0</v>
      </c>
      <c r="AK123" s="735">
        <f>IF(NFI_Expiration=1,IF($A123&lt;VLOOKUP(S$5,NFI,5,0),1,0)*Data_NFI_t[[#This Row],[Plastic Bucket]],0)</f>
        <v>0</v>
      </c>
      <c r="AL123" s="734">
        <f>IF(NFI_Expiration=1,IF($A123&lt;VLOOKUP(T$5,NFI,5,0),1,0)*Data_NFI_t[[#This Row],[Jerry Can]],0)</f>
        <v>0</v>
      </c>
      <c r="AM123" s="734">
        <f>IF(NFI_Expiration=1,IF($A123&lt;VLOOKUP(U$5,NFI,5,0),1,0)*Data_NFI_t[[#This Row],[Plastic Mat]],0)</f>
        <v>0</v>
      </c>
      <c r="AN123" s="734">
        <f>IF(NFI_Expiration=1,IF($A123&lt;VLOOKUP(V$5,NFI,5,0),1,0)*Data_NFI_t[[#This Row],[Adult Clothes]],0)</f>
        <v>0</v>
      </c>
      <c r="AO123" s="734">
        <f>IF(NFI_Expiration=1,IF($A123&lt;VLOOKUP(W$5,NFI,5,0),1,0)*Data_NFI_t[[#This Row],[Children Clothes]],0)</f>
        <v>0</v>
      </c>
      <c r="AP123" s="734">
        <f>IF(NFI_Expiration=1,IF($A123&lt;VLOOKUP(X$5,NFI,5,0),1,0)*Data_NFI_t[[#This Row],[Sewing Kit]],0)</f>
        <v>0</v>
      </c>
      <c r="AQ123" s="734">
        <f>IF(NFI_Expiration=1,IF($A123&lt;VLOOKUP(X$5,NFI,5,0),1,0)*Data_NFI_t[[#This Row],[Solar Lantern]],0)</f>
        <v>0</v>
      </c>
      <c r="AR123" s="105" t="str">
        <f ca="1">IFERROR(OFFSET(Camp_List[P_Code],MATCH(Data_NFI_t[[#This Row],[Camp Name]],Camp_List[Camp Name],0)-1,0,1,1),"")</f>
        <v>MMR012CMP048</v>
      </c>
      <c r="AS123" s="421" t="str">
        <f ca="1">IFERROR(OFFSET(Camp_List[Status],MATCH(Data_NFI_t[[#This Row],[Camp Name]],Camp_List[Camp Name],0)-1,0,1,1),"")</f>
        <v>Open</v>
      </c>
      <c r="AT123" s="749" t="s">
        <v>1043</v>
      </c>
      <c r="AW123" s="672"/>
    </row>
    <row r="124" spans="1:49" s="43" customFormat="1" ht="17.25" customHeight="1" x14ac:dyDescent="0.25">
      <c r="A124" s="736">
        <f t="shared" si="1"/>
        <v>14.566666666666666</v>
      </c>
      <c r="B124" s="737">
        <f>YEAR(Data_NFI_t[[#This Row],[Distribution Date]])</f>
        <v>2017</v>
      </c>
      <c r="C124" s="1013">
        <v>42753</v>
      </c>
      <c r="D124" s="733" t="s">
        <v>1046</v>
      </c>
      <c r="E124" s="733" t="s">
        <v>575</v>
      </c>
      <c r="F124" s="733" t="s">
        <v>7</v>
      </c>
      <c r="G124" s="738" t="s">
        <v>17</v>
      </c>
      <c r="H124" s="738" t="s">
        <v>62</v>
      </c>
      <c r="I124" s="739"/>
      <c r="J124" s="850"/>
      <c r="K124" s="850">
        <v>795</v>
      </c>
      <c r="L124" s="740"/>
      <c r="M124" s="740"/>
      <c r="N124" s="741"/>
      <c r="O124" s="741"/>
      <c r="P124" s="741"/>
      <c r="Q124" s="741"/>
      <c r="R124" s="741"/>
      <c r="S124" s="741"/>
      <c r="T124" s="742"/>
      <c r="U124" s="741"/>
      <c r="V124" s="840">
        <v>1596</v>
      </c>
      <c r="W124" s="843"/>
      <c r="X124" s="741"/>
      <c r="Y124" s="741"/>
      <c r="Z124" s="741"/>
      <c r="AA124" s="741"/>
      <c r="AB124" s="741"/>
      <c r="AC124" s="734">
        <f>IF(NFI_Expiration=1,IF($A124&lt;VLOOKUP(I$5,NFI,5,0),1,0)*Data_NFI_t[[#This Row],[Hygiene Kit]],0)</f>
        <v>0</v>
      </c>
      <c r="AD124" s="734">
        <f>IF(NFI_Expiration=1,IF($A124&lt;VLOOKUP(L$5,NFI,5,0),1,0)*Data_NFI_t[[#This Row],[NFI Core Kit]],0)</f>
        <v>0</v>
      </c>
      <c r="AE124" s="735">
        <f>IF(NFI_Expiration=1,IF($A124&lt;VLOOKUP(M$5,NFI,5,0),1,0)*Data_NFI_t[[#This Row],[Sanitary Kit]],0)</f>
        <v>0</v>
      </c>
      <c r="AF124" s="735">
        <f>IF(NFI_Expiration=1,IF($A124&lt;VLOOKUP(N$5,NFI,5,0),1,0)*Data_NFI_t[[#This Row],[Mosquito net]],0)</f>
        <v>0</v>
      </c>
      <c r="AG124" s="735">
        <f>IF(NFI_Expiration=1,IF($A124&lt;VLOOKUP(O$5,NFI,5,0),1,0)*Data_NFI_t[[#This Row],[Tarpaulin]],0)</f>
        <v>0</v>
      </c>
      <c r="AH124" s="735">
        <f>IF(NFI_Expiration=1,IF($A124&lt;VLOOKUP(P$5,NFI,5,0),1,0)*Data_NFI_t[[#This Row],[Blanket]],0)</f>
        <v>0</v>
      </c>
      <c r="AI124" s="735">
        <f>IF(NFI_Expiration=1,IF($A124&lt;VLOOKUP(Q$5,NFI,5,0),1,0)*Data_NFI_t[[#This Row],[Kitchen Set]],0)</f>
        <v>0</v>
      </c>
      <c r="AJ124" s="735">
        <f>IF(NFI_Expiration=1,IF($A124&lt;VLOOKUP(R$5,NFI,5,0),1,0)*Data_NFI_t[[#This Row],[Complementary Kit]],0)</f>
        <v>0</v>
      </c>
      <c r="AK124" s="735">
        <f>IF(NFI_Expiration=1,IF($A124&lt;VLOOKUP(S$5,NFI,5,0),1,0)*Data_NFI_t[[#This Row],[Plastic Bucket]],0)</f>
        <v>0</v>
      </c>
      <c r="AL124" s="734">
        <f>IF(NFI_Expiration=1,IF($A124&lt;VLOOKUP(T$5,NFI,5,0),1,0)*Data_NFI_t[[#This Row],[Jerry Can]],0)</f>
        <v>0</v>
      </c>
      <c r="AM124" s="734">
        <f>IF(NFI_Expiration=1,IF($A124&lt;VLOOKUP(U$5,NFI,5,0),1,0)*Data_NFI_t[[#This Row],[Plastic Mat]],0)</f>
        <v>0</v>
      </c>
      <c r="AN124" s="734">
        <f>IF(NFI_Expiration=1,IF($A124&lt;VLOOKUP(V$5,NFI,5,0),1,0)*Data_NFI_t[[#This Row],[Adult Clothes]],0)</f>
        <v>0</v>
      </c>
      <c r="AO124" s="734">
        <f>IF(NFI_Expiration=1,IF($A124&lt;VLOOKUP(W$5,NFI,5,0),1,0)*Data_NFI_t[[#This Row],[Children Clothes]],0)</f>
        <v>0</v>
      </c>
      <c r="AP124" s="734">
        <f>IF(NFI_Expiration=1,IF($A124&lt;VLOOKUP(X$5,NFI,5,0),1,0)*Data_NFI_t[[#This Row],[Sewing Kit]],0)</f>
        <v>0</v>
      </c>
      <c r="AQ124" s="734">
        <f>IF(NFI_Expiration=1,IF($A124&lt;VLOOKUP(X$5,NFI,5,0),1,0)*Data_NFI_t[[#This Row],[Solar Lantern]],0)</f>
        <v>0</v>
      </c>
      <c r="AR124" s="105" t="str">
        <f ca="1">IFERROR(OFFSET(Camp_List[P_Code],MATCH(Data_NFI_t[[#This Row],[Camp Name]],Camp_List[Camp Name],0)-1,0,1,1),"")</f>
        <v>MMR012CMP042</v>
      </c>
      <c r="AS124" s="421" t="str">
        <f ca="1">IFERROR(OFFSET(Camp_List[Status],MATCH(Data_NFI_t[[#This Row],[Camp Name]],Camp_List[Camp Name],0)-1,0,1,1),"")</f>
        <v>Open</v>
      </c>
      <c r="AT124" s="749" t="s">
        <v>1043</v>
      </c>
      <c r="AW124" s="672"/>
    </row>
    <row r="125" spans="1:49" s="43" customFormat="1" ht="17.25" customHeight="1" x14ac:dyDescent="0.25">
      <c r="A125" s="736">
        <f t="shared" si="1"/>
        <v>14.566666666666666</v>
      </c>
      <c r="B125" s="737">
        <f>YEAR(Data_NFI_t[[#This Row],[Distribution Date]])</f>
        <v>2017</v>
      </c>
      <c r="C125" s="1013">
        <v>42753</v>
      </c>
      <c r="D125" s="733" t="s">
        <v>1046</v>
      </c>
      <c r="E125" s="733" t="s">
        <v>575</v>
      </c>
      <c r="F125" s="733" t="s">
        <v>7</v>
      </c>
      <c r="G125" s="738" t="s">
        <v>17</v>
      </c>
      <c r="H125" s="738" t="s">
        <v>59</v>
      </c>
      <c r="I125" s="739"/>
      <c r="J125" s="850"/>
      <c r="K125" s="851">
        <v>398</v>
      </c>
      <c r="L125" s="740"/>
      <c r="M125" s="740"/>
      <c r="N125" s="741"/>
      <c r="O125" s="741"/>
      <c r="P125" s="741"/>
      <c r="Q125" s="741"/>
      <c r="R125" s="741"/>
      <c r="S125" s="741"/>
      <c r="T125" s="742"/>
      <c r="U125" s="741"/>
      <c r="V125" s="843">
        <v>397</v>
      </c>
      <c r="W125" s="843"/>
      <c r="X125" s="741"/>
      <c r="Y125" s="741"/>
      <c r="Z125" s="741"/>
      <c r="AA125" s="741"/>
      <c r="AB125" s="741"/>
      <c r="AC125" s="734">
        <f>IF(NFI_Expiration=1,IF($A125&lt;VLOOKUP(I$5,NFI,5,0),1,0)*Data_NFI_t[[#This Row],[Hygiene Kit]],0)</f>
        <v>0</v>
      </c>
      <c r="AD125" s="734">
        <f>IF(NFI_Expiration=1,IF($A125&lt;VLOOKUP(L$5,NFI,5,0),1,0)*Data_NFI_t[[#This Row],[NFI Core Kit]],0)</f>
        <v>0</v>
      </c>
      <c r="AE125" s="735">
        <f>IF(NFI_Expiration=1,IF($A125&lt;VLOOKUP(M$5,NFI,5,0),1,0)*Data_NFI_t[[#This Row],[Sanitary Kit]],0)</f>
        <v>0</v>
      </c>
      <c r="AF125" s="735">
        <f>IF(NFI_Expiration=1,IF($A125&lt;VLOOKUP(N$5,NFI,5,0),1,0)*Data_NFI_t[[#This Row],[Mosquito net]],0)</f>
        <v>0</v>
      </c>
      <c r="AG125" s="735">
        <f>IF(NFI_Expiration=1,IF($A125&lt;VLOOKUP(O$5,NFI,5,0),1,0)*Data_NFI_t[[#This Row],[Tarpaulin]],0)</f>
        <v>0</v>
      </c>
      <c r="AH125" s="735">
        <f>IF(NFI_Expiration=1,IF($A125&lt;VLOOKUP(P$5,NFI,5,0),1,0)*Data_NFI_t[[#This Row],[Blanket]],0)</f>
        <v>0</v>
      </c>
      <c r="AI125" s="735">
        <f>IF(NFI_Expiration=1,IF($A125&lt;VLOOKUP(Q$5,NFI,5,0),1,0)*Data_NFI_t[[#This Row],[Kitchen Set]],0)</f>
        <v>0</v>
      </c>
      <c r="AJ125" s="735">
        <f>IF(NFI_Expiration=1,IF($A125&lt;VLOOKUP(R$5,NFI,5,0),1,0)*Data_NFI_t[[#This Row],[Complementary Kit]],0)</f>
        <v>0</v>
      </c>
      <c r="AK125" s="735">
        <f>IF(NFI_Expiration=1,IF($A125&lt;VLOOKUP(S$5,NFI,5,0),1,0)*Data_NFI_t[[#This Row],[Plastic Bucket]],0)</f>
        <v>0</v>
      </c>
      <c r="AL125" s="734">
        <f>IF(NFI_Expiration=1,IF($A125&lt;VLOOKUP(T$5,NFI,5,0),1,0)*Data_NFI_t[[#This Row],[Jerry Can]],0)</f>
        <v>0</v>
      </c>
      <c r="AM125" s="734">
        <f>IF(NFI_Expiration=1,IF($A125&lt;VLOOKUP(U$5,NFI,5,0),1,0)*Data_NFI_t[[#This Row],[Plastic Mat]],0)</f>
        <v>0</v>
      </c>
      <c r="AN125" s="734">
        <f>IF(NFI_Expiration=1,IF($A125&lt;VLOOKUP(V$5,NFI,5,0),1,0)*Data_NFI_t[[#This Row],[Adult Clothes]],0)</f>
        <v>0</v>
      </c>
      <c r="AO125" s="734">
        <f>IF(NFI_Expiration=1,IF($A125&lt;VLOOKUP(W$5,NFI,5,0),1,0)*Data_NFI_t[[#This Row],[Children Clothes]],0)</f>
        <v>0</v>
      </c>
      <c r="AP125" s="734">
        <f>IF(NFI_Expiration=1,IF($A125&lt;VLOOKUP(X$5,NFI,5,0),1,0)*Data_NFI_t[[#This Row],[Sewing Kit]],0)</f>
        <v>0</v>
      </c>
      <c r="AQ125" s="734">
        <f>IF(NFI_Expiration=1,IF($A125&lt;VLOOKUP(X$5,NFI,5,0),1,0)*Data_NFI_t[[#This Row],[Solar Lantern]],0)</f>
        <v>0</v>
      </c>
      <c r="AR125" s="105" t="str">
        <f ca="1">IFERROR(OFFSET(Camp_List[P_Code],MATCH(Data_NFI_t[[#This Row],[Camp Name]],Camp_List[Camp Name],0)-1,0,1,1),"")</f>
        <v>MMR012CMP039</v>
      </c>
      <c r="AS125" s="421" t="str">
        <f ca="1">IFERROR(OFFSET(Camp_List[Status],MATCH(Data_NFI_t[[#This Row],[Camp Name]],Camp_List[Camp Name],0)-1,0,1,1),"")</f>
        <v>Open</v>
      </c>
      <c r="AT125" s="749" t="s">
        <v>1043</v>
      </c>
      <c r="AW125" s="672"/>
    </row>
    <row r="126" spans="1:49" s="43" customFormat="1" ht="17.25" customHeight="1" x14ac:dyDescent="0.25">
      <c r="A126" s="736">
        <f t="shared" si="1"/>
        <v>14.633333333333333</v>
      </c>
      <c r="B126" s="737">
        <f>YEAR(Data_NFI_t[[#This Row],[Distribution Date]])</f>
        <v>2017</v>
      </c>
      <c r="C126" s="1013">
        <v>42751</v>
      </c>
      <c r="D126" s="733" t="s">
        <v>1046</v>
      </c>
      <c r="E126" s="733" t="s">
        <v>913</v>
      </c>
      <c r="F126" s="733" t="s">
        <v>7</v>
      </c>
      <c r="G126" s="738" t="s">
        <v>17</v>
      </c>
      <c r="H126" s="738" t="s">
        <v>580</v>
      </c>
      <c r="I126" s="739"/>
      <c r="J126" s="850"/>
      <c r="K126" s="850">
        <v>624</v>
      </c>
      <c r="L126" s="740"/>
      <c r="M126" s="740"/>
      <c r="N126" s="741"/>
      <c r="O126" s="741"/>
      <c r="P126" s="741"/>
      <c r="Q126" s="741"/>
      <c r="R126" s="741"/>
      <c r="S126" s="741"/>
      <c r="T126" s="742"/>
      <c r="U126" s="741"/>
      <c r="V126" s="841">
        <v>2960</v>
      </c>
      <c r="W126" s="842">
        <v>1383</v>
      </c>
      <c r="X126" s="741"/>
      <c r="Y126" s="741"/>
      <c r="Z126" s="741"/>
      <c r="AA126" s="741"/>
      <c r="AB126" s="741"/>
      <c r="AC126" s="734">
        <f>IF(NFI_Expiration=1,IF($A126&lt;VLOOKUP(I$5,NFI,5,0),1,0)*Data_NFI_t[[#This Row],[Hygiene Kit]],0)</f>
        <v>0</v>
      </c>
      <c r="AD126" s="734">
        <f>IF(NFI_Expiration=1,IF($A126&lt;VLOOKUP(L$5,NFI,5,0),1,0)*Data_NFI_t[[#This Row],[NFI Core Kit]],0)</f>
        <v>0</v>
      </c>
      <c r="AE126" s="735">
        <f>IF(NFI_Expiration=1,IF($A126&lt;VLOOKUP(M$5,NFI,5,0),1,0)*Data_NFI_t[[#This Row],[Sanitary Kit]],0)</f>
        <v>0</v>
      </c>
      <c r="AF126" s="735">
        <f>IF(NFI_Expiration=1,IF($A126&lt;VLOOKUP(N$5,NFI,5,0),1,0)*Data_NFI_t[[#This Row],[Mosquito net]],0)</f>
        <v>0</v>
      </c>
      <c r="AG126" s="735">
        <f>IF(NFI_Expiration=1,IF($A126&lt;VLOOKUP(O$5,NFI,5,0),1,0)*Data_NFI_t[[#This Row],[Tarpaulin]],0)</f>
        <v>0</v>
      </c>
      <c r="AH126" s="735">
        <f>IF(NFI_Expiration=1,IF($A126&lt;VLOOKUP(P$5,NFI,5,0),1,0)*Data_NFI_t[[#This Row],[Blanket]],0)</f>
        <v>0</v>
      </c>
      <c r="AI126" s="735">
        <f>IF(NFI_Expiration=1,IF($A126&lt;VLOOKUP(Q$5,NFI,5,0),1,0)*Data_NFI_t[[#This Row],[Kitchen Set]],0)</f>
        <v>0</v>
      </c>
      <c r="AJ126" s="735">
        <f>IF(NFI_Expiration=1,IF($A126&lt;VLOOKUP(R$5,NFI,5,0),1,0)*Data_NFI_t[[#This Row],[Complementary Kit]],0)</f>
        <v>0</v>
      </c>
      <c r="AK126" s="735">
        <f>IF(NFI_Expiration=1,IF($A126&lt;VLOOKUP(S$5,NFI,5,0),1,0)*Data_NFI_t[[#This Row],[Plastic Bucket]],0)</f>
        <v>0</v>
      </c>
      <c r="AL126" s="734">
        <f>IF(NFI_Expiration=1,IF($A126&lt;VLOOKUP(T$5,NFI,5,0),1,0)*Data_NFI_t[[#This Row],[Jerry Can]],0)</f>
        <v>0</v>
      </c>
      <c r="AM126" s="734">
        <f>IF(NFI_Expiration=1,IF($A126&lt;VLOOKUP(U$5,NFI,5,0),1,0)*Data_NFI_t[[#This Row],[Plastic Mat]],0)</f>
        <v>0</v>
      </c>
      <c r="AN126" s="734">
        <f>IF(NFI_Expiration=1,IF($A126&lt;VLOOKUP(V$5,NFI,5,0),1,0)*Data_NFI_t[[#This Row],[Adult Clothes]],0)</f>
        <v>0</v>
      </c>
      <c r="AO126" s="734">
        <f>IF(NFI_Expiration=1,IF($A126&lt;VLOOKUP(W$5,NFI,5,0),1,0)*Data_NFI_t[[#This Row],[Children Clothes]],0)</f>
        <v>0</v>
      </c>
      <c r="AP126" s="734">
        <f>IF(NFI_Expiration=1,IF($A126&lt;VLOOKUP(X$5,NFI,5,0),1,0)*Data_NFI_t[[#This Row],[Sewing Kit]],0)</f>
        <v>0</v>
      </c>
      <c r="AQ126" s="734">
        <f>IF(NFI_Expiration=1,IF($A126&lt;VLOOKUP(X$5,NFI,5,0),1,0)*Data_NFI_t[[#This Row],[Solar Lantern]],0)</f>
        <v>0</v>
      </c>
      <c r="AR126" s="105" t="str">
        <f ca="1">IFERROR(OFFSET(Camp_List[P_Code],MATCH(Data_NFI_t[[#This Row],[Camp Name]],Camp_List[Camp Name],0)-1,0,1,1),"")</f>
        <v>MMR012CMP092</v>
      </c>
      <c r="AS126" s="421" t="str">
        <f ca="1">IFERROR(OFFSET(Camp_List[Status],MATCH(Data_NFI_t[[#This Row],[Camp Name]],Camp_List[Camp Name],0)-1,0,1,1),"")</f>
        <v>Open</v>
      </c>
      <c r="AT126" s="749" t="s">
        <v>1043</v>
      </c>
      <c r="AW126" s="672"/>
    </row>
    <row r="127" spans="1:49" s="43" customFormat="1" ht="17.25" customHeight="1" x14ac:dyDescent="0.25">
      <c r="A127" s="736">
        <f t="shared" si="1"/>
        <v>15.033333333333333</v>
      </c>
      <c r="B127" s="737">
        <f>YEAR(Data_NFI_t[[#This Row],[Distribution Date]])</f>
        <v>2017</v>
      </c>
      <c r="C127" s="1013">
        <v>42739</v>
      </c>
      <c r="D127" s="733" t="s">
        <v>658</v>
      </c>
      <c r="E127" s="733" t="s">
        <v>658</v>
      </c>
      <c r="F127" s="733" t="s">
        <v>7</v>
      </c>
      <c r="G127" s="738" t="s">
        <v>817</v>
      </c>
      <c r="H127" s="738" t="s">
        <v>36</v>
      </c>
      <c r="I127" s="739"/>
      <c r="J127" s="850">
        <v>703</v>
      </c>
      <c r="K127" s="850">
        <v>3865</v>
      </c>
      <c r="L127" s="740"/>
      <c r="M127" s="740">
        <v>703</v>
      </c>
      <c r="N127" s="741"/>
      <c r="O127" s="741"/>
      <c r="P127" s="741"/>
      <c r="Q127" s="741"/>
      <c r="R127" s="741"/>
      <c r="S127" s="741"/>
      <c r="T127" s="742"/>
      <c r="U127" s="741"/>
      <c r="V127" s="741"/>
      <c r="W127" s="741"/>
      <c r="X127" s="741"/>
      <c r="Y127" s="741"/>
      <c r="Z127" s="741"/>
      <c r="AA127" s="741"/>
      <c r="AB127" s="741"/>
      <c r="AC127" s="734">
        <f>IF(NFI_Expiration=1,IF($A127&lt;VLOOKUP(I$5,NFI,5,0),1,0)*Data_NFI_t[[#This Row],[Hygiene Kit]],0)</f>
        <v>0</v>
      </c>
      <c r="AD127" s="734">
        <f>IF(NFI_Expiration=1,IF($A127&lt;VLOOKUP(L$5,NFI,5,0),1,0)*Data_NFI_t[[#This Row],[NFI Core Kit]],0)</f>
        <v>0</v>
      </c>
      <c r="AE127" s="735">
        <f>IF(NFI_Expiration=1,IF($A127&lt;VLOOKUP(M$5,NFI,5,0),1,0)*Data_NFI_t[[#This Row],[Sanitary Kit]],0)</f>
        <v>0</v>
      </c>
      <c r="AF127" s="735">
        <f>IF(NFI_Expiration=1,IF($A127&lt;VLOOKUP(N$5,NFI,5,0),1,0)*Data_NFI_t[[#This Row],[Mosquito net]],0)</f>
        <v>0</v>
      </c>
      <c r="AG127" s="735">
        <f>IF(NFI_Expiration=1,IF($A127&lt;VLOOKUP(O$5,NFI,5,0),1,0)*Data_NFI_t[[#This Row],[Tarpaulin]],0)</f>
        <v>0</v>
      </c>
      <c r="AH127" s="735">
        <f>IF(NFI_Expiration=1,IF($A127&lt;VLOOKUP(P$5,NFI,5,0),1,0)*Data_NFI_t[[#This Row],[Blanket]],0)</f>
        <v>0</v>
      </c>
      <c r="AI127" s="735">
        <f>IF(NFI_Expiration=1,IF($A127&lt;VLOOKUP(Q$5,NFI,5,0),1,0)*Data_NFI_t[[#This Row],[Kitchen Set]],0)</f>
        <v>0</v>
      </c>
      <c r="AJ127" s="735">
        <f>IF(NFI_Expiration=1,IF($A127&lt;VLOOKUP(R$5,NFI,5,0),1,0)*Data_NFI_t[[#This Row],[Complementary Kit]],0)</f>
        <v>0</v>
      </c>
      <c r="AK127" s="735">
        <f>IF(NFI_Expiration=1,IF($A127&lt;VLOOKUP(S$5,NFI,5,0),1,0)*Data_NFI_t[[#This Row],[Plastic Bucket]],0)</f>
        <v>0</v>
      </c>
      <c r="AL127" s="734">
        <f>IF(NFI_Expiration=1,IF($A127&lt;VLOOKUP(T$5,NFI,5,0),1,0)*Data_NFI_t[[#This Row],[Jerry Can]],0)</f>
        <v>0</v>
      </c>
      <c r="AM127" s="734">
        <f>IF(NFI_Expiration=1,IF($A127&lt;VLOOKUP(U$5,NFI,5,0),1,0)*Data_NFI_t[[#This Row],[Plastic Mat]],0)</f>
        <v>0</v>
      </c>
      <c r="AN127" s="734">
        <f>IF(NFI_Expiration=1,IF($A127&lt;VLOOKUP(V$5,NFI,5,0),1,0)*Data_NFI_t[[#This Row],[Adult Clothes]],0)</f>
        <v>0</v>
      </c>
      <c r="AO127" s="734">
        <f>IF(NFI_Expiration=1,IF($A127&lt;VLOOKUP(W$5,NFI,5,0),1,0)*Data_NFI_t[[#This Row],[Children Clothes]],0)</f>
        <v>0</v>
      </c>
      <c r="AP127" s="734">
        <f>IF(NFI_Expiration=1,IF($A127&lt;VLOOKUP(X$5,NFI,5,0),1,0)*Data_NFI_t[[#This Row],[Sewing Kit]],0)</f>
        <v>0</v>
      </c>
      <c r="AQ127" s="734">
        <f>IF(NFI_Expiration=1,IF($A127&lt;VLOOKUP(X$5,NFI,5,0),1,0)*Data_NFI_t[[#This Row],[Solar Lantern]],0)</f>
        <v>0</v>
      </c>
      <c r="AR127" s="105" t="str">
        <f ca="1">IFERROR(OFFSET(Camp_List[P_Code],MATCH(Data_NFI_t[[#This Row],[Camp Name]],Camp_List[Camp Name],0)-1,0,1,1),"")</f>
        <v>MMR012CMP014</v>
      </c>
      <c r="AS127" s="421" t="str">
        <f ca="1">IFERROR(OFFSET(Camp_List[Status],MATCH(Data_NFI_t[[#This Row],[Camp Name]],Camp_List[Camp Name],0)-1,0,1,1),"")</f>
        <v>Open</v>
      </c>
      <c r="AT127" s="749" t="s">
        <v>1042</v>
      </c>
      <c r="AW127" s="672"/>
    </row>
    <row r="128" spans="1:49" s="43" customFormat="1" ht="19.5" customHeight="1" x14ac:dyDescent="0.25">
      <c r="A128" s="736">
        <f t="shared" si="1"/>
        <v>15.266666666666667</v>
      </c>
      <c r="B128" s="737">
        <f>YEAR(Data_NFI_t[[#This Row],[Distribution Date]])</f>
        <v>2016</v>
      </c>
      <c r="C128" s="1013">
        <v>42732</v>
      </c>
      <c r="D128" s="733" t="s">
        <v>658</v>
      </c>
      <c r="E128" s="733" t="s">
        <v>658</v>
      </c>
      <c r="F128" s="733" t="s">
        <v>7</v>
      </c>
      <c r="G128" s="738" t="s">
        <v>817</v>
      </c>
      <c r="H128" s="738" t="s">
        <v>36</v>
      </c>
      <c r="I128" s="739"/>
      <c r="J128" s="739"/>
      <c r="K128" s="739"/>
      <c r="L128" s="740"/>
      <c r="M128" s="740"/>
      <c r="N128" s="741"/>
      <c r="O128" s="741"/>
      <c r="P128" s="741"/>
      <c r="Q128" s="741"/>
      <c r="R128" s="741"/>
      <c r="S128" s="741"/>
      <c r="T128" s="742"/>
      <c r="U128" s="741"/>
      <c r="V128" s="741"/>
      <c r="W128" s="741"/>
      <c r="X128" s="741">
        <v>628</v>
      </c>
      <c r="Y128" s="741"/>
      <c r="Z128" s="741"/>
      <c r="AA128" s="741"/>
      <c r="AB128" s="741"/>
      <c r="AC128" s="734">
        <f>IF(NFI_Expiration=1,IF($A128&lt;VLOOKUP(I$5,NFI,5,0),1,0)*Data_NFI_t[[#This Row],[Hygiene Kit]],0)</f>
        <v>0</v>
      </c>
      <c r="AD128" s="734">
        <f>IF(NFI_Expiration=1,IF($A128&lt;VLOOKUP(L$5,NFI,5,0),1,0)*Data_NFI_t[[#This Row],[NFI Core Kit]],0)</f>
        <v>0</v>
      </c>
      <c r="AE128" s="735">
        <f>IF(NFI_Expiration=1,IF($A128&lt;VLOOKUP(M$5,NFI,5,0),1,0)*Data_NFI_t[[#This Row],[Sanitary Kit]],0)</f>
        <v>0</v>
      </c>
      <c r="AF128" s="735">
        <f>IF(NFI_Expiration=1,IF($A128&lt;VLOOKUP(N$5,NFI,5,0),1,0)*Data_NFI_t[[#This Row],[Mosquito net]],0)</f>
        <v>0</v>
      </c>
      <c r="AG128" s="735">
        <f>IF(NFI_Expiration=1,IF($A128&lt;VLOOKUP(O$5,NFI,5,0),1,0)*Data_NFI_t[[#This Row],[Tarpaulin]],0)</f>
        <v>0</v>
      </c>
      <c r="AH128" s="735">
        <f>IF(NFI_Expiration=1,IF($A128&lt;VLOOKUP(P$5,NFI,5,0),1,0)*Data_NFI_t[[#This Row],[Blanket]],0)</f>
        <v>0</v>
      </c>
      <c r="AI128" s="735">
        <f>IF(NFI_Expiration=1,IF($A128&lt;VLOOKUP(Q$5,NFI,5,0),1,0)*Data_NFI_t[[#This Row],[Kitchen Set]],0)</f>
        <v>0</v>
      </c>
      <c r="AJ128" s="735">
        <f>IF(NFI_Expiration=1,IF($A128&lt;VLOOKUP(R$5,NFI,5,0),1,0)*Data_NFI_t[[#This Row],[Complementary Kit]],0)</f>
        <v>0</v>
      </c>
      <c r="AK128" s="735">
        <f>IF(NFI_Expiration=1,IF($A128&lt;VLOOKUP(S$5,NFI,5,0),1,0)*Data_NFI_t[[#This Row],[Plastic Bucket]],0)</f>
        <v>0</v>
      </c>
      <c r="AL128" s="734">
        <f>IF(NFI_Expiration=1,IF($A128&lt;VLOOKUP(T$5,NFI,5,0),1,0)*Data_NFI_t[[#This Row],[Jerry Can]],0)</f>
        <v>0</v>
      </c>
      <c r="AM128" s="734">
        <f>IF(NFI_Expiration=1,IF($A128&lt;VLOOKUP(U$5,NFI,5,0),1,0)*Data_NFI_t[[#This Row],[Plastic Mat]],0)</f>
        <v>0</v>
      </c>
      <c r="AN128" s="734">
        <f>IF(NFI_Expiration=1,IF($A128&lt;VLOOKUP(V$5,NFI,5,0),1,0)*Data_NFI_t[[#This Row],[Adult Clothes]],0)</f>
        <v>0</v>
      </c>
      <c r="AO128" s="734">
        <f>IF(NFI_Expiration=1,IF($A128&lt;VLOOKUP(W$5,NFI,5,0),1,0)*Data_NFI_t[[#This Row],[Children Clothes]],0)</f>
        <v>0</v>
      </c>
      <c r="AP128" s="734">
        <f>IF(NFI_Expiration=1,IF($A128&lt;VLOOKUP(X$5,NFI,5,0),1,0)*Data_NFI_t[[#This Row],[Sewing Kit]],0)</f>
        <v>0</v>
      </c>
      <c r="AQ128" s="734">
        <f>IF(NFI_Expiration=1,IF($A128&lt;VLOOKUP(X$5,NFI,5,0),1,0)*Data_NFI_t[[#This Row],[Solar Lantern]],0)</f>
        <v>0</v>
      </c>
      <c r="AR128" s="105" t="str">
        <f ca="1">IFERROR(OFFSET(Camp_List[P_Code],MATCH(Data_NFI_t[[#This Row],[Camp Name]],Camp_List[Camp Name],0)-1,0,1,1),"")</f>
        <v>MMR012CMP014</v>
      </c>
      <c r="AS128" s="421" t="str">
        <f ca="1">IFERROR(OFFSET(Camp_List[Status],MATCH(Data_NFI_t[[#This Row],[Camp Name]],Camp_List[Camp Name],0)-1,0,1,1),"")</f>
        <v>Open</v>
      </c>
      <c r="AT128" s="748"/>
      <c r="AW128" s="672"/>
    </row>
    <row r="129" spans="1:49" s="43" customFormat="1" ht="19.5" customHeight="1" x14ac:dyDescent="0.25">
      <c r="A129" s="736">
        <f t="shared" si="1"/>
        <v>15.333333333333334</v>
      </c>
      <c r="B129" s="737">
        <f>YEAR(Data_NFI_t[[#This Row],[Distribution Date]])</f>
        <v>2016</v>
      </c>
      <c r="C129" s="1013">
        <v>42730</v>
      </c>
      <c r="D129" s="733" t="s">
        <v>658</v>
      </c>
      <c r="E129" s="733" t="s">
        <v>658</v>
      </c>
      <c r="F129" s="733" t="s">
        <v>7</v>
      </c>
      <c r="G129" s="738" t="s">
        <v>817</v>
      </c>
      <c r="H129" s="738" t="s">
        <v>36</v>
      </c>
      <c r="I129" s="739"/>
      <c r="J129" s="739"/>
      <c r="K129" s="739"/>
      <c r="L129" s="740"/>
      <c r="M129" s="740"/>
      <c r="N129" s="741"/>
      <c r="O129" s="741"/>
      <c r="P129" s="741"/>
      <c r="Q129" s="741"/>
      <c r="R129" s="741"/>
      <c r="S129" s="741"/>
      <c r="T129" s="742"/>
      <c r="U129" s="741"/>
      <c r="V129" s="741">
        <v>628</v>
      </c>
      <c r="W129" s="741"/>
      <c r="X129" s="741"/>
      <c r="Y129" s="741"/>
      <c r="Z129" s="741"/>
      <c r="AA129" s="741"/>
      <c r="AB129" s="741"/>
      <c r="AC129" s="734">
        <f>IF(NFI_Expiration=1,IF($A129&lt;VLOOKUP(I$5,NFI,5,0),1,0)*Data_NFI_t[[#This Row],[Hygiene Kit]],0)</f>
        <v>0</v>
      </c>
      <c r="AD129" s="734">
        <f>IF(NFI_Expiration=1,IF($A129&lt;VLOOKUP(L$5,NFI,5,0),1,0)*Data_NFI_t[[#This Row],[NFI Core Kit]],0)</f>
        <v>0</v>
      </c>
      <c r="AE129" s="735">
        <f>IF(NFI_Expiration=1,IF($A129&lt;VLOOKUP(M$5,NFI,5,0),1,0)*Data_NFI_t[[#This Row],[Sanitary Kit]],0)</f>
        <v>0</v>
      </c>
      <c r="AF129" s="735">
        <f>IF(NFI_Expiration=1,IF($A129&lt;VLOOKUP(N$5,NFI,5,0),1,0)*Data_NFI_t[[#This Row],[Mosquito net]],0)</f>
        <v>0</v>
      </c>
      <c r="AG129" s="735">
        <f>IF(NFI_Expiration=1,IF($A129&lt;VLOOKUP(O$5,NFI,5,0),1,0)*Data_NFI_t[[#This Row],[Tarpaulin]],0)</f>
        <v>0</v>
      </c>
      <c r="AH129" s="735">
        <f>IF(NFI_Expiration=1,IF($A129&lt;VLOOKUP(P$5,NFI,5,0),1,0)*Data_NFI_t[[#This Row],[Blanket]],0)</f>
        <v>0</v>
      </c>
      <c r="AI129" s="735">
        <f>IF(NFI_Expiration=1,IF($A129&lt;VLOOKUP(Q$5,NFI,5,0),1,0)*Data_NFI_t[[#This Row],[Kitchen Set]],0)</f>
        <v>0</v>
      </c>
      <c r="AJ129" s="735">
        <f>IF(NFI_Expiration=1,IF($A129&lt;VLOOKUP(R$5,NFI,5,0),1,0)*Data_NFI_t[[#This Row],[Complementary Kit]],0)</f>
        <v>0</v>
      </c>
      <c r="AK129" s="735">
        <f>IF(NFI_Expiration=1,IF($A129&lt;VLOOKUP(S$5,NFI,5,0),1,0)*Data_NFI_t[[#This Row],[Plastic Bucket]],0)</f>
        <v>0</v>
      </c>
      <c r="AL129" s="734">
        <f>IF(NFI_Expiration=1,IF($A129&lt;VLOOKUP(T$5,NFI,5,0),1,0)*Data_NFI_t[[#This Row],[Jerry Can]],0)</f>
        <v>0</v>
      </c>
      <c r="AM129" s="734">
        <f>IF(NFI_Expiration=1,IF($A129&lt;VLOOKUP(U$5,NFI,5,0),1,0)*Data_NFI_t[[#This Row],[Plastic Mat]],0)</f>
        <v>0</v>
      </c>
      <c r="AN129" s="734">
        <f>IF(NFI_Expiration=1,IF($A129&lt;VLOOKUP(V$5,NFI,5,0),1,0)*Data_NFI_t[[#This Row],[Adult Clothes]],0)</f>
        <v>0</v>
      </c>
      <c r="AO129" s="734">
        <f>IF(NFI_Expiration=1,IF($A129&lt;VLOOKUP(W$5,NFI,5,0),1,0)*Data_NFI_t[[#This Row],[Children Clothes]],0)</f>
        <v>0</v>
      </c>
      <c r="AP129" s="734">
        <f>IF(NFI_Expiration=1,IF($A129&lt;VLOOKUP(X$5,NFI,5,0),1,0)*Data_NFI_t[[#This Row],[Sewing Kit]],0)</f>
        <v>0</v>
      </c>
      <c r="AQ129" s="734">
        <f>IF(NFI_Expiration=1,IF($A129&lt;VLOOKUP(X$5,NFI,5,0),1,0)*Data_NFI_t[[#This Row],[Solar Lantern]],0)</f>
        <v>0</v>
      </c>
      <c r="AR129" s="105" t="str">
        <f ca="1">IFERROR(OFFSET(Camp_List[P_Code],MATCH(Data_NFI_t[[#This Row],[Camp Name]],Camp_List[Camp Name],0)-1,0,1,1),"")</f>
        <v>MMR012CMP014</v>
      </c>
      <c r="AS129" s="421" t="str">
        <f ca="1">IFERROR(OFFSET(Camp_List[Status],MATCH(Data_NFI_t[[#This Row],[Camp Name]],Camp_List[Camp Name],0)-1,0,1,1),"")</f>
        <v>Open</v>
      </c>
      <c r="AT129" s="105"/>
      <c r="AW129" s="672"/>
    </row>
    <row r="130" spans="1:49" s="43" customFormat="1" ht="19.5" customHeight="1" x14ac:dyDescent="0.25">
      <c r="A130" s="736">
        <f t="shared" si="1"/>
        <v>15.433333333333334</v>
      </c>
      <c r="B130" s="737">
        <v>2016</v>
      </c>
      <c r="C130" s="1013">
        <v>42727</v>
      </c>
      <c r="D130" s="733" t="s">
        <v>658</v>
      </c>
      <c r="E130" s="733" t="s">
        <v>1026</v>
      </c>
      <c r="F130" s="733" t="s">
        <v>7</v>
      </c>
      <c r="G130" s="738" t="s">
        <v>817</v>
      </c>
      <c r="H130" s="738" t="s">
        <v>36</v>
      </c>
      <c r="I130" s="739"/>
      <c r="J130" s="739"/>
      <c r="K130" s="739"/>
      <c r="L130" s="740"/>
      <c r="M130" s="740"/>
      <c r="N130" s="741"/>
      <c r="O130" s="741"/>
      <c r="P130" s="741">
        <v>703</v>
      </c>
      <c r="Q130" s="741"/>
      <c r="R130" s="741"/>
      <c r="S130" s="741"/>
      <c r="T130" s="742"/>
      <c r="U130" s="741"/>
      <c r="V130" s="741"/>
      <c r="W130" s="741"/>
      <c r="X130" s="741"/>
      <c r="Y130" s="741"/>
      <c r="Z130" s="741"/>
      <c r="AA130" s="741"/>
      <c r="AB130" s="741"/>
      <c r="AC130" s="734">
        <f>IF(NFI_Expiration=1,IF($A130&lt;VLOOKUP(I$5,NFI,5,0),1,0)*Data_NFI_t[[#This Row],[Hygiene Kit]],0)</f>
        <v>0</v>
      </c>
      <c r="AD130" s="734">
        <f>IF(NFI_Expiration=1,IF($A130&lt;VLOOKUP(L$5,NFI,5,0),1,0)*Data_NFI_t[[#This Row],[NFI Core Kit]],0)</f>
        <v>0</v>
      </c>
      <c r="AE130" s="735">
        <f>IF(NFI_Expiration=1,IF($A130&lt;VLOOKUP(M$5,NFI,5,0),1,0)*Data_NFI_t[[#This Row],[Sanitary Kit]],0)</f>
        <v>0</v>
      </c>
      <c r="AF130" s="735">
        <f>IF(NFI_Expiration=1,IF($A130&lt;VLOOKUP(N$5,NFI,5,0),1,0)*Data_NFI_t[[#This Row],[Mosquito net]],0)</f>
        <v>0</v>
      </c>
      <c r="AG130" s="735">
        <f>IF(NFI_Expiration=1,IF($A130&lt;VLOOKUP(O$5,NFI,5,0),1,0)*Data_NFI_t[[#This Row],[Tarpaulin]],0)</f>
        <v>0</v>
      </c>
      <c r="AH130" s="735">
        <f>IF(NFI_Expiration=1,IF($A130&lt;VLOOKUP(P$5,NFI,5,0),1,0)*Data_NFI_t[[#This Row],[Blanket]],0)</f>
        <v>0</v>
      </c>
      <c r="AI130" s="735">
        <f>IF(NFI_Expiration=1,IF($A130&lt;VLOOKUP(Q$5,NFI,5,0),1,0)*Data_NFI_t[[#This Row],[Kitchen Set]],0)</f>
        <v>0</v>
      </c>
      <c r="AJ130" s="735">
        <f>IF(NFI_Expiration=1,IF($A130&lt;VLOOKUP(R$5,NFI,5,0),1,0)*Data_NFI_t[[#This Row],[Complementary Kit]],0)</f>
        <v>0</v>
      </c>
      <c r="AK130" s="735">
        <f>IF(NFI_Expiration=1,IF($A130&lt;VLOOKUP(S$5,NFI,5,0),1,0)*Data_NFI_t[[#This Row],[Plastic Bucket]],0)</f>
        <v>0</v>
      </c>
      <c r="AL130" s="734">
        <f>IF(NFI_Expiration=1,IF($A130&lt;VLOOKUP(T$5,NFI,5,0),1,0)*Data_NFI_t[[#This Row],[Jerry Can]],0)</f>
        <v>0</v>
      </c>
      <c r="AM130" s="734">
        <f>IF(NFI_Expiration=1,IF($A130&lt;VLOOKUP(U$5,NFI,5,0),1,0)*Data_NFI_t[[#This Row],[Plastic Mat]],0)</f>
        <v>0</v>
      </c>
      <c r="AN130" s="734">
        <f>IF(NFI_Expiration=1,IF($A130&lt;VLOOKUP(V$5,NFI,5,0),1,0)*Data_NFI_t[[#This Row],[Adult Clothes]],0)</f>
        <v>0</v>
      </c>
      <c r="AO130" s="734">
        <f>IF(NFI_Expiration=1,IF($A130&lt;VLOOKUP(W$5,NFI,5,0),1,0)*Data_NFI_t[[#This Row],[Children Clothes]],0)</f>
        <v>0</v>
      </c>
      <c r="AP130" s="734">
        <f>IF(NFI_Expiration=1,IF($A130&lt;VLOOKUP(X$5,NFI,5,0),1,0)*Data_NFI_t[[#This Row],[Sewing Kit]],0)</f>
        <v>0</v>
      </c>
      <c r="AQ130" s="734">
        <f>IF(NFI_Expiration=1,IF($A130&lt;VLOOKUP(X$5,NFI,5,0),1,0)*Data_NFI_t[[#This Row],[Solar Lantern]],0)</f>
        <v>0</v>
      </c>
      <c r="AR130" s="105" t="str">
        <f ca="1">IFERROR(OFFSET(Camp_List[P_Code],MATCH(Data_NFI_t[[#This Row],[Camp Name]],Camp_List[Camp Name],0)-1,0,1,1),"")</f>
        <v>MMR012CMP014</v>
      </c>
      <c r="AS130" s="421" t="str">
        <f ca="1">IFERROR(OFFSET(Camp_List[Status],MATCH(Data_NFI_t[[#This Row],[Camp Name]],Camp_List[Camp Name],0)-1,0,1,1),"")</f>
        <v>Open</v>
      </c>
      <c r="AT130" s="105"/>
      <c r="AW130" s="672"/>
    </row>
    <row r="131" spans="1:49" s="43" customFormat="1" ht="19.5" customHeight="1" x14ac:dyDescent="0.25">
      <c r="A131" s="736">
        <f t="shared" si="1"/>
        <v>15.9</v>
      </c>
      <c r="B131" s="737">
        <v>2016</v>
      </c>
      <c r="C131" s="1013">
        <v>42713</v>
      </c>
      <c r="D131" s="733" t="s">
        <v>1025</v>
      </c>
      <c r="E131" s="733" t="s">
        <v>1025</v>
      </c>
      <c r="F131" s="733" t="s">
        <v>7</v>
      </c>
      <c r="G131" s="738" t="s">
        <v>13</v>
      </c>
      <c r="H131" s="738" t="s">
        <v>38</v>
      </c>
      <c r="I131" s="739"/>
      <c r="J131" s="739"/>
      <c r="K131" s="739"/>
      <c r="L131" s="740"/>
      <c r="M131" s="740"/>
      <c r="N131" s="741"/>
      <c r="O131" s="741"/>
      <c r="P131" s="741"/>
      <c r="Q131" s="741">
        <v>1228</v>
      </c>
      <c r="R131" s="741"/>
      <c r="S131" s="741"/>
      <c r="T131" s="742"/>
      <c r="U131" s="741"/>
      <c r="V131" s="741"/>
      <c r="W131" s="741"/>
      <c r="X131" s="741"/>
      <c r="Y131" s="741"/>
      <c r="Z131" s="741"/>
      <c r="AA131" s="741"/>
      <c r="AB131" s="741"/>
      <c r="AC131" s="734">
        <f>IF(NFI_Expiration=1,IF($A131&lt;VLOOKUP(I$5,NFI,5,0),1,0)*Data_NFI_t[[#This Row],[Hygiene Kit]],0)</f>
        <v>0</v>
      </c>
      <c r="AD131" s="734">
        <f>IF(NFI_Expiration=1,IF($A131&lt;VLOOKUP(L$5,NFI,5,0),1,0)*Data_NFI_t[[#This Row],[NFI Core Kit]],0)</f>
        <v>0</v>
      </c>
      <c r="AE131" s="735">
        <f>IF(NFI_Expiration=1,IF($A131&lt;VLOOKUP(M$5,NFI,5,0),1,0)*Data_NFI_t[[#This Row],[Sanitary Kit]],0)</f>
        <v>0</v>
      </c>
      <c r="AF131" s="735">
        <f>IF(NFI_Expiration=1,IF($A131&lt;VLOOKUP(N$5,NFI,5,0),1,0)*Data_NFI_t[[#This Row],[Mosquito net]],0)</f>
        <v>0</v>
      </c>
      <c r="AG131" s="735">
        <f>IF(NFI_Expiration=1,IF($A131&lt;VLOOKUP(O$5,NFI,5,0),1,0)*Data_NFI_t[[#This Row],[Tarpaulin]],0)</f>
        <v>0</v>
      </c>
      <c r="AH131" s="735">
        <f>IF(NFI_Expiration=1,IF($A131&lt;VLOOKUP(P$5,NFI,5,0),1,0)*Data_NFI_t[[#This Row],[Blanket]],0)</f>
        <v>0</v>
      </c>
      <c r="AI131" s="735">
        <f>IF(NFI_Expiration=1,IF($A131&lt;VLOOKUP(Q$5,NFI,5,0),1,0)*Data_NFI_t[[#This Row],[Kitchen Set]],0)</f>
        <v>0</v>
      </c>
      <c r="AJ131" s="735">
        <f>IF(NFI_Expiration=1,IF($A131&lt;VLOOKUP(R$5,NFI,5,0),1,0)*Data_NFI_t[[#This Row],[Complementary Kit]],0)</f>
        <v>0</v>
      </c>
      <c r="AK131" s="735">
        <f>IF(NFI_Expiration=1,IF($A131&lt;VLOOKUP(S$5,NFI,5,0),1,0)*Data_NFI_t[[#This Row],[Plastic Bucket]],0)</f>
        <v>0</v>
      </c>
      <c r="AL131" s="734">
        <f>IF(NFI_Expiration=1,IF($A131&lt;VLOOKUP(T$5,NFI,5,0),1,0)*Data_NFI_t[[#This Row],[Jerry Can]],0)</f>
        <v>0</v>
      </c>
      <c r="AM131" s="734">
        <f>IF(NFI_Expiration=1,IF($A131&lt;VLOOKUP(U$5,NFI,5,0),1,0)*Data_NFI_t[[#This Row],[Plastic Mat]],0)</f>
        <v>0</v>
      </c>
      <c r="AN131" s="734">
        <f>IF(NFI_Expiration=1,IF($A131&lt;VLOOKUP(V$5,NFI,5,0),1,0)*Data_NFI_t[[#This Row],[Adult Clothes]],0)</f>
        <v>0</v>
      </c>
      <c r="AO131" s="734">
        <f>IF(NFI_Expiration=1,IF($A131&lt;VLOOKUP(W$5,NFI,5,0),1,0)*Data_NFI_t[[#This Row],[Children Clothes]],0)</f>
        <v>0</v>
      </c>
      <c r="AP131" s="734">
        <f>IF(NFI_Expiration=1,IF($A131&lt;VLOOKUP(X$5,NFI,5,0),1,0)*Data_NFI_t[[#This Row],[Sewing Kit]],0)</f>
        <v>0</v>
      </c>
      <c r="AQ131" s="734">
        <f>IF(NFI_Expiration=1,IF($A131&lt;VLOOKUP(X$5,NFI,5,0),1,0)*Data_NFI_t[[#This Row],[Solar Lantern]],0)</f>
        <v>0</v>
      </c>
      <c r="AR131" s="105" t="str">
        <f ca="1">IFERROR(OFFSET(Camp_List[P_Code],MATCH(Data_NFI_t[[#This Row],[Camp Name]],Camp_List[Camp Name],0)-1,0,1,1),"")</f>
        <v>MMR012CMP016</v>
      </c>
      <c r="AS131" s="421" t="str">
        <f ca="1">IFERROR(OFFSET(Camp_List[Status],MATCH(Data_NFI_t[[#This Row],[Camp Name]],Camp_List[Camp Name],0)-1,0,1,1),"")</f>
        <v>Open</v>
      </c>
      <c r="AT131" s="105"/>
      <c r="AW131" s="672"/>
    </row>
    <row r="132" spans="1:49" s="43" customFormat="1" ht="19.5" customHeight="1" x14ac:dyDescent="0.25">
      <c r="A132" s="736">
        <f t="shared" si="1"/>
        <v>16.233333333333334</v>
      </c>
      <c r="B132" s="737">
        <v>2016</v>
      </c>
      <c r="C132" s="1013">
        <v>42703</v>
      </c>
      <c r="D132" s="733" t="s">
        <v>1025</v>
      </c>
      <c r="E132" s="733" t="s">
        <v>1025</v>
      </c>
      <c r="F132" s="733" t="s">
        <v>7</v>
      </c>
      <c r="G132" s="738" t="s">
        <v>17</v>
      </c>
      <c r="H132" s="738" t="s">
        <v>66</v>
      </c>
      <c r="I132" s="739"/>
      <c r="J132" s="739"/>
      <c r="K132" s="739"/>
      <c r="L132" s="740"/>
      <c r="M132" s="740"/>
      <c r="N132" s="741"/>
      <c r="O132" s="741"/>
      <c r="P132" s="741"/>
      <c r="Q132" s="741"/>
      <c r="R132" s="741"/>
      <c r="S132" s="741"/>
      <c r="T132" s="742">
        <v>985</v>
      </c>
      <c r="U132" s="741"/>
      <c r="V132" s="741"/>
      <c r="W132" s="741"/>
      <c r="X132" s="741"/>
      <c r="Y132" s="741"/>
      <c r="Z132" s="741"/>
      <c r="AA132" s="741"/>
      <c r="AB132" s="741"/>
      <c r="AC132" s="734">
        <f>IF(NFI_Expiration=1,IF($A132&lt;VLOOKUP(I$5,NFI,5,0),1,0)*Data_NFI_t[[#This Row],[Hygiene Kit]],0)</f>
        <v>0</v>
      </c>
      <c r="AD132" s="734">
        <f>IF(NFI_Expiration=1,IF($A132&lt;VLOOKUP(L$5,NFI,5,0),1,0)*Data_NFI_t[[#This Row],[NFI Core Kit]],0)</f>
        <v>0</v>
      </c>
      <c r="AE132" s="735">
        <f>IF(NFI_Expiration=1,IF($A132&lt;VLOOKUP(M$5,NFI,5,0),1,0)*Data_NFI_t[[#This Row],[Sanitary Kit]],0)</f>
        <v>0</v>
      </c>
      <c r="AF132" s="735">
        <f>IF(NFI_Expiration=1,IF($A132&lt;VLOOKUP(N$5,NFI,5,0),1,0)*Data_NFI_t[[#This Row],[Mosquito net]],0)</f>
        <v>0</v>
      </c>
      <c r="AG132" s="735">
        <f>IF(NFI_Expiration=1,IF($A132&lt;VLOOKUP(O$5,NFI,5,0),1,0)*Data_NFI_t[[#This Row],[Tarpaulin]],0)</f>
        <v>0</v>
      </c>
      <c r="AH132" s="735">
        <f>IF(NFI_Expiration=1,IF($A132&lt;VLOOKUP(P$5,NFI,5,0),1,0)*Data_NFI_t[[#This Row],[Blanket]],0)</f>
        <v>0</v>
      </c>
      <c r="AI132" s="735">
        <f>IF(NFI_Expiration=1,IF($A132&lt;VLOOKUP(Q$5,NFI,5,0),1,0)*Data_NFI_t[[#This Row],[Kitchen Set]],0)</f>
        <v>0</v>
      </c>
      <c r="AJ132" s="735">
        <f>IF(NFI_Expiration=1,IF($A132&lt;VLOOKUP(R$5,NFI,5,0),1,0)*Data_NFI_t[[#This Row],[Complementary Kit]],0)</f>
        <v>0</v>
      </c>
      <c r="AK132" s="735">
        <f>IF(NFI_Expiration=1,IF($A132&lt;VLOOKUP(S$5,NFI,5,0),1,0)*Data_NFI_t[[#This Row],[Plastic Bucket]],0)</f>
        <v>0</v>
      </c>
      <c r="AL132" s="734">
        <f>IF(NFI_Expiration=1,IF($A132&lt;VLOOKUP(T$5,NFI,5,0),1,0)*Data_NFI_t[[#This Row],[Jerry Can]],0)</f>
        <v>0</v>
      </c>
      <c r="AM132" s="734">
        <f>IF(NFI_Expiration=1,IF($A132&lt;VLOOKUP(U$5,NFI,5,0),1,0)*Data_NFI_t[[#This Row],[Plastic Mat]],0)</f>
        <v>0</v>
      </c>
      <c r="AN132" s="734">
        <f>IF(NFI_Expiration=1,IF($A132&lt;VLOOKUP(V$5,NFI,5,0),1,0)*Data_NFI_t[[#This Row],[Adult Clothes]],0)</f>
        <v>0</v>
      </c>
      <c r="AO132" s="734">
        <f>IF(NFI_Expiration=1,IF($A132&lt;VLOOKUP(W$5,NFI,5,0),1,0)*Data_NFI_t[[#This Row],[Children Clothes]],0)</f>
        <v>0</v>
      </c>
      <c r="AP132" s="734">
        <f>IF(NFI_Expiration=1,IF($A132&lt;VLOOKUP(X$5,NFI,5,0),1,0)*Data_NFI_t[[#This Row],[Sewing Kit]],0)</f>
        <v>0</v>
      </c>
      <c r="AQ132" s="734">
        <f>IF(NFI_Expiration=1,IF($A132&lt;VLOOKUP(X$5,NFI,5,0),1,0)*Data_NFI_t[[#This Row],[Solar Lantern]],0)</f>
        <v>0</v>
      </c>
      <c r="AR132" s="105" t="str">
        <f ca="1">IFERROR(OFFSET(Camp_List[P_Code],MATCH(Data_NFI_t[[#This Row],[Camp Name]],Camp_List[Camp Name],0)-1,0,1,1),"")</f>
        <v>MMR012CMP046</v>
      </c>
      <c r="AS132" s="421" t="str">
        <f ca="1">IFERROR(OFFSET(Camp_List[Status],MATCH(Data_NFI_t[[#This Row],[Camp Name]],Camp_List[Camp Name],0)-1,0,1,1),"")</f>
        <v>Open</v>
      </c>
      <c r="AT132" s="105"/>
      <c r="AW132" s="672"/>
    </row>
    <row r="133" spans="1:49" s="669" customFormat="1" ht="19.5" customHeight="1" x14ac:dyDescent="0.25">
      <c r="A133" s="429">
        <f t="shared" si="1"/>
        <v>16.366666666666667</v>
      </c>
      <c r="B133" s="429">
        <v>2016</v>
      </c>
      <c r="C133" s="721">
        <v>42699</v>
      </c>
      <c r="D133" s="722" t="s">
        <v>913</v>
      </c>
      <c r="E133" s="723" t="s">
        <v>913</v>
      </c>
      <c r="F133" s="722" t="s">
        <v>7</v>
      </c>
      <c r="G133" s="92" t="s">
        <v>17</v>
      </c>
      <c r="H133" s="92" t="s">
        <v>68</v>
      </c>
      <c r="I133" s="92">
        <v>1000</v>
      </c>
      <c r="J133" s="92"/>
      <c r="K133" s="92"/>
      <c r="L133" s="93">
        <v>32</v>
      </c>
      <c r="M133" s="93"/>
      <c r="N133" s="93">
        <v>32</v>
      </c>
      <c r="O133" s="93"/>
      <c r="P133" s="93">
        <v>64</v>
      </c>
      <c r="Q133" s="93"/>
      <c r="R133" s="93"/>
      <c r="S133" s="93">
        <v>64</v>
      </c>
      <c r="T133" s="420">
        <v>64</v>
      </c>
      <c r="U133" s="93">
        <v>64</v>
      </c>
      <c r="V133" s="93"/>
      <c r="W133" s="93"/>
      <c r="X133" s="93"/>
      <c r="Y133" s="93"/>
      <c r="Z133" s="93"/>
      <c r="AA133" s="93"/>
      <c r="AB133" s="93"/>
      <c r="AC133" s="724">
        <f>IF(NFI_Expiration=1,IF($A133&lt;VLOOKUP(I$5,NFI,5,0),1,0)*Data_NFI_t[[#This Row],[Hygiene Kit]],0)</f>
        <v>0</v>
      </c>
      <c r="AD133" s="724">
        <f>IF(NFI_Expiration=1,IF($A133&lt;VLOOKUP(L$5,NFI,5,0),1,0)*Data_NFI_t[[#This Row],[NFI Core Kit]],0)</f>
        <v>0</v>
      </c>
      <c r="AE133" s="725">
        <f>IF(NFI_Expiration=1,IF($A133&lt;VLOOKUP(M$5,NFI,5,0),1,0)*Data_NFI_t[[#This Row],[Sanitary Kit]],0)</f>
        <v>0</v>
      </c>
      <c r="AF133" s="725">
        <f>IF(NFI_Expiration=1,IF($A133&lt;VLOOKUP(N$5,NFI,5,0),1,0)*Data_NFI_t[[#This Row],[Mosquito net]],0)</f>
        <v>0</v>
      </c>
      <c r="AG133" s="725">
        <f>IF(NFI_Expiration=1,IF($A133&lt;VLOOKUP(O$5,NFI,5,0),1,0)*Data_NFI_t[[#This Row],[Tarpaulin]],0)</f>
        <v>0</v>
      </c>
      <c r="AH133" s="725">
        <f>IF(NFI_Expiration=1,IF($A133&lt;VLOOKUP(P$5,NFI,5,0),1,0)*Data_NFI_t[[#This Row],[Blanket]],0)</f>
        <v>0</v>
      </c>
      <c r="AI133" s="725">
        <f>IF(NFI_Expiration=1,IF($A133&lt;VLOOKUP(Q$5,NFI,5,0),1,0)*Data_NFI_t[[#This Row],[Kitchen Set]],0)</f>
        <v>0</v>
      </c>
      <c r="AJ133" s="725">
        <f>IF(NFI_Expiration=1,IF($A133&lt;VLOOKUP(R$5,NFI,5,0),1,0)*Data_NFI_t[[#This Row],[Complementary Kit]],0)</f>
        <v>0</v>
      </c>
      <c r="AK133" s="725">
        <f>IF(NFI_Expiration=1,IF($A133&lt;VLOOKUP(S$5,NFI,5,0),1,0)*Data_NFI_t[[#This Row],[Plastic Bucket]],0)</f>
        <v>0</v>
      </c>
      <c r="AL133" s="724">
        <f>IF(NFI_Expiration=1,IF($A133&lt;VLOOKUP(T$5,NFI,5,0),1,0)*Data_NFI_t[[#This Row],[Jerry Can]],0)</f>
        <v>0</v>
      </c>
      <c r="AM133" s="734">
        <f>IF(NFI_Expiration=1,IF($A133&lt;VLOOKUP(U$5,NFI,5,0),1,0)*Data_NFI_t[[#This Row],[Plastic Mat]],0)</f>
        <v>0</v>
      </c>
      <c r="AN133" s="734">
        <f>IF(NFI_Expiration=1,IF($A133&lt;VLOOKUP(V$5,NFI,5,0),1,0)*Data_NFI_t[[#This Row],[Adult Clothes]],0)</f>
        <v>0</v>
      </c>
      <c r="AO133" s="724">
        <f>IF(NFI_Expiration=1,IF($A133&lt;VLOOKUP(W$5,NFI,5,0),1,0)*Data_NFI_t[[#This Row],[Children Clothes]],0)</f>
        <v>0</v>
      </c>
      <c r="AP133" s="724">
        <f>IF(NFI_Expiration=1,IF($A133&lt;VLOOKUP(X$5,NFI,5,0),1,0)*Data_NFI_t[[#This Row],[Sewing Kit]],0)</f>
        <v>0</v>
      </c>
      <c r="AQ133" s="734">
        <f>IF(NFI_Expiration=1,IF($A133&lt;VLOOKUP(X$5,NFI,5,0),1,0)*Data_NFI_t[[#This Row],[Solar Lantern]],0)</f>
        <v>0</v>
      </c>
      <c r="AR133" s="724" t="str">
        <f ca="1">IFERROR(OFFSET(Camp_List[P_Code],MATCH(Data_NFI_t[[#This Row],[Camp Name]],Camp_List[Camp Name],0)-1,0,1,1),"")</f>
        <v>MMR012CMP048</v>
      </c>
      <c r="AS133" s="726" t="str">
        <f ca="1">IFERROR(OFFSET(Camp_List[Status],MATCH(Data_NFI_t[[#This Row],[Camp Name]],Camp_List[Camp Name],0)-1,0,1,1),"")</f>
        <v>Open</v>
      </c>
      <c r="AT133" s="105"/>
    </row>
    <row r="134" spans="1:49" ht="19.5" customHeight="1" x14ac:dyDescent="0.25">
      <c r="A134" s="208">
        <f t="shared" ref="A134:A197" si="2">IF(ISBLANK(C134),"",(Report_Date-C134)/30)</f>
        <v>16.366666666666667</v>
      </c>
      <c r="B134" s="670">
        <v>2016</v>
      </c>
      <c r="C134" s="744">
        <v>42699</v>
      </c>
      <c r="D134" s="670" t="s">
        <v>913</v>
      </c>
      <c r="E134" s="670" t="s">
        <v>913</v>
      </c>
      <c r="F134" s="670" t="s">
        <v>7</v>
      </c>
      <c r="G134" s="670" t="s">
        <v>17</v>
      </c>
      <c r="H134" s="670" t="s">
        <v>580</v>
      </c>
      <c r="I134" s="670"/>
      <c r="J134" s="670"/>
      <c r="K134" s="670"/>
      <c r="L134" s="670">
        <v>624</v>
      </c>
      <c r="M134" s="670">
        <v>656</v>
      </c>
      <c r="N134" s="670">
        <v>1248</v>
      </c>
      <c r="O134" s="670"/>
      <c r="P134" s="670">
        <v>624</v>
      </c>
      <c r="Q134" s="670"/>
      <c r="R134" s="670"/>
      <c r="S134" s="670">
        <v>1248</v>
      </c>
      <c r="T134" s="670">
        <v>1248</v>
      </c>
      <c r="U134" s="670">
        <v>1248</v>
      </c>
      <c r="V134" s="670"/>
      <c r="W134" s="670"/>
      <c r="X134" s="670"/>
      <c r="Y134" s="670"/>
      <c r="Z134" s="670"/>
      <c r="AA134" s="670"/>
      <c r="AB134" s="670"/>
      <c r="AC134" s="670">
        <f>IF(NFI_Expiration=1,IF($A134&lt;VLOOKUP(I$5,NFI,5,0),1,0)*Data_NFI_t[[#This Row],[Hygiene Kit]],0)</f>
        <v>0</v>
      </c>
      <c r="AD134" s="670">
        <f>IF(NFI_Expiration=1,IF($A134&lt;VLOOKUP(L$5,NFI,5,0),1,0)*Data_NFI_t[[#This Row],[NFI Core Kit]],0)</f>
        <v>0</v>
      </c>
      <c r="AE134" s="670">
        <f>IF(NFI_Expiration=1,IF($A134&lt;VLOOKUP(M$5,NFI,5,0),1,0)*Data_NFI_t[[#This Row],[Sanitary Kit]],0)</f>
        <v>0</v>
      </c>
      <c r="AF134" s="670">
        <f>IF(NFI_Expiration=1,IF($A134&lt;VLOOKUP(N$5,NFI,5,0),1,0)*Data_NFI_t[[#This Row],[Mosquito net]],0)</f>
        <v>0</v>
      </c>
      <c r="AG134" s="670">
        <f>IF(NFI_Expiration=1,IF($A134&lt;VLOOKUP(O$5,NFI,5,0),1,0)*Data_NFI_t[[#This Row],[Tarpaulin]],0)</f>
        <v>0</v>
      </c>
      <c r="AH134" s="670">
        <f>IF(NFI_Expiration=1,IF($A134&lt;VLOOKUP(P$5,NFI,5,0),1,0)*Data_NFI_t[[#This Row],[Blanket]],0)</f>
        <v>0</v>
      </c>
      <c r="AI134" s="670">
        <f>IF(NFI_Expiration=1,IF($A134&lt;VLOOKUP(Q$5,NFI,5,0),1,0)*Data_NFI_t[[#This Row],[Kitchen Set]],0)</f>
        <v>0</v>
      </c>
      <c r="AJ134" s="670">
        <f>IF(NFI_Expiration=1,IF($A134&lt;VLOOKUP(R$5,NFI,5,0),1,0)*Data_NFI_t[[#This Row],[Complementary Kit]],0)</f>
        <v>0</v>
      </c>
      <c r="AK134" s="670">
        <f>IF(NFI_Expiration=1,IF($A134&lt;VLOOKUP(S$5,NFI,5,0),1,0)*Data_NFI_t[[#This Row],[Plastic Bucket]],0)</f>
        <v>0</v>
      </c>
      <c r="AL134" s="670">
        <f>IF(NFI_Expiration=1,IF($A134&lt;VLOOKUP(T$5,NFI,5,0),1,0)*Data_NFI_t[[#This Row],[Jerry Can]],0)</f>
        <v>0</v>
      </c>
      <c r="AM134" s="734">
        <f>IF(NFI_Expiration=1,IF($A134&lt;VLOOKUP(U$5,NFI,5,0),1,0)*Data_NFI_t[[#This Row],[Plastic Mat]],0)</f>
        <v>0</v>
      </c>
      <c r="AN134" s="734">
        <f>IF(NFI_Expiration=1,IF($A134&lt;VLOOKUP(V$5,NFI,5,0),1,0)*Data_NFI_t[[#This Row],[Adult Clothes]],0)</f>
        <v>0</v>
      </c>
      <c r="AO134" s="670">
        <f>IF(NFI_Expiration=1,IF($A134&lt;VLOOKUP(W$5,NFI,5,0),1,0)*Data_NFI_t[[#This Row],[Children Clothes]],0)</f>
        <v>0</v>
      </c>
      <c r="AP134" s="670">
        <f>IF(NFI_Expiration=1,IF($A134&lt;VLOOKUP(X$5,NFI,5,0),1,0)*Data_NFI_t[[#This Row],[Sewing Kit]],0)</f>
        <v>0</v>
      </c>
      <c r="AQ134" s="734">
        <f>IF(NFI_Expiration=1,IF($A134&lt;VLOOKUP(X$5,NFI,5,0),1,0)*Data_NFI_t[[#This Row],[Solar Lantern]],0)</f>
        <v>0</v>
      </c>
      <c r="AR134" s="670" t="str">
        <f ca="1">IFERROR(OFFSET(Camp_List[P_Code],MATCH(Data_NFI_t[[#This Row],[Camp Name]],Camp_List[Camp Name],0)-1,0,1,1),"")</f>
        <v>MMR012CMP092</v>
      </c>
      <c r="AS134" s="670" t="str">
        <f ca="1">IFERROR(OFFSET(Camp_List[Status],MATCH(Data_NFI_t[[#This Row],[Camp Name]],Camp_List[Camp Name],0)-1,0,1,1),"")</f>
        <v>Open</v>
      </c>
      <c r="AT134" s="105"/>
    </row>
    <row r="135" spans="1:49" s="669" customFormat="1" ht="19.5" customHeight="1" x14ac:dyDescent="0.25">
      <c r="A135" s="208">
        <f t="shared" si="2"/>
        <v>16.666666666666668</v>
      </c>
      <c r="B135" s="429">
        <v>2016</v>
      </c>
      <c r="C135" s="744">
        <v>42690</v>
      </c>
      <c r="D135" s="402" t="s">
        <v>658</v>
      </c>
      <c r="E135" s="401" t="s">
        <v>658</v>
      </c>
      <c r="F135" s="402" t="s">
        <v>7</v>
      </c>
      <c r="G135" s="670" t="s">
        <v>817</v>
      </c>
      <c r="H135" s="670" t="s">
        <v>36</v>
      </c>
      <c r="I135" s="670"/>
      <c r="J135" s="670"/>
      <c r="K135" s="670"/>
      <c r="L135" s="42"/>
      <c r="M135" s="42"/>
      <c r="N135" s="93"/>
      <c r="O135" s="93"/>
      <c r="P135" s="93"/>
      <c r="Q135" s="93"/>
      <c r="R135" s="93">
        <v>195</v>
      </c>
      <c r="S135" s="93"/>
      <c r="T135" s="420"/>
      <c r="U135" s="93"/>
      <c r="V135" s="93"/>
      <c r="W135" s="93"/>
      <c r="X135" s="93"/>
      <c r="Y135" s="93"/>
      <c r="Z135" s="93"/>
      <c r="AA135" s="93"/>
      <c r="AB135" s="93"/>
      <c r="AC135" s="105">
        <f>IF(NFI_Expiration=1,IF($A135&lt;VLOOKUP(I$5,NFI,5,0),1,0)*Data_NFI_t[[#This Row],[Hygiene Kit]],0)</f>
        <v>0</v>
      </c>
      <c r="AD135" s="105">
        <f>IF(NFI_Expiration=1,IF($A135&lt;VLOOKUP(L$5,NFI,5,0),1,0)*Data_NFI_t[[#This Row],[NFI Core Kit]],0)</f>
        <v>0</v>
      </c>
      <c r="AE135" s="86">
        <f>IF(NFI_Expiration=1,IF($A135&lt;VLOOKUP(M$5,NFI,5,0),1,0)*Data_NFI_t[[#This Row],[Sanitary Kit]],0)</f>
        <v>0</v>
      </c>
      <c r="AF135" s="86">
        <f>IF(NFI_Expiration=1,IF($A135&lt;VLOOKUP(N$5,NFI,5,0),1,0)*Data_NFI_t[[#This Row],[Mosquito net]],0)</f>
        <v>0</v>
      </c>
      <c r="AG135" s="86">
        <f>IF(NFI_Expiration=1,IF($A135&lt;VLOOKUP(O$5,NFI,5,0),1,0)*Data_NFI_t[[#This Row],[Tarpaulin]],0)</f>
        <v>0</v>
      </c>
      <c r="AH135" s="86">
        <f>IF(NFI_Expiration=1,IF($A135&lt;VLOOKUP(P$5,NFI,5,0),1,0)*Data_NFI_t[[#This Row],[Blanket]],0)</f>
        <v>0</v>
      </c>
      <c r="AI135" s="86">
        <f>IF(NFI_Expiration=1,IF($A135&lt;VLOOKUP(Q$5,NFI,5,0),1,0)*Data_NFI_t[[#This Row],[Kitchen Set]],0)</f>
        <v>0</v>
      </c>
      <c r="AJ135" s="86">
        <f>IF(NFI_Expiration=1,IF($A135&lt;VLOOKUP(R$5,NFI,5,0),1,0)*Data_NFI_t[[#This Row],[Complementary Kit]],0)</f>
        <v>0</v>
      </c>
      <c r="AK135" s="86">
        <f>IF(NFI_Expiration=1,IF($A135&lt;VLOOKUP(S$5,NFI,5,0),1,0)*Data_NFI_t[[#This Row],[Plastic Bucket]],0)</f>
        <v>0</v>
      </c>
      <c r="AL135" s="105">
        <f>IF(NFI_Expiration=1,IF($A135&lt;VLOOKUP(T$5,NFI,5,0),1,0)*Data_NFI_t[[#This Row],[Jerry Can]],0)</f>
        <v>0</v>
      </c>
      <c r="AM135" s="734">
        <f>IF(NFI_Expiration=1,IF($A135&lt;VLOOKUP(U$5,NFI,5,0),1,0)*Data_NFI_t[[#This Row],[Plastic Mat]],0)</f>
        <v>0</v>
      </c>
      <c r="AN135" s="734">
        <f>IF(NFI_Expiration=1,IF($A135&lt;VLOOKUP(V$5,NFI,5,0),1,0)*Data_NFI_t[[#This Row],[Adult Clothes]],0)</f>
        <v>0</v>
      </c>
      <c r="AO135" s="105">
        <f>IF(NFI_Expiration=1,IF($A135&lt;VLOOKUP(W$5,NFI,5,0),1,0)*Data_NFI_t[[#This Row],[Children Clothes]],0)</f>
        <v>0</v>
      </c>
      <c r="AP135" s="105">
        <f>IF(NFI_Expiration=1,IF($A135&lt;VLOOKUP(X$5,NFI,5,0),1,0)*Data_NFI_t[[#This Row],[Sewing Kit]],0)</f>
        <v>0</v>
      </c>
      <c r="AQ135" s="734">
        <f>IF(NFI_Expiration=1,IF($A135&lt;VLOOKUP(X$5,NFI,5,0),1,0)*Data_NFI_t[[#This Row],[Solar Lantern]],0)</f>
        <v>0</v>
      </c>
      <c r="AR135" s="105" t="str">
        <f ca="1">IFERROR(OFFSET(Camp_List[P_Code],MATCH(Data_NFI_t[[#This Row],[Camp Name]],Camp_List[Camp Name],0)-1,0,1,1),"")</f>
        <v>MMR012CMP014</v>
      </c>
      <c r="AS135" s="421" t="str">
        <f ca="1">IFERROR(OFFSET(Camp_List[Status],MATCH(Data_NFI_t[[#This Row],[Camp Name]],Camp_List[Camp Name],0)-1,0,1,1),"")</f>
        <v>Open</v>
      </c>
      <c r="AT135" s="105"/>
    </row>
    <row r="136" spans="1:49" s="669" customFormat="1" ht="19.5" customHeight="1" x14ac:dyDescent="0.25">
      <c r="A136" s="208">
        <f t="shared" si="2"/>
        <v>16.866666666666667</v>
      </c>
      <c r="B136" s="429">
        <v>2016</v>
      </c>
      <c r="C136" s="744">
        <v>42684</v>
      </c>
      <c r="D136" s="402" t="s">
        <v>1025</v>
      </c>
      <c r="E136" s="401" t="s">
        <v>1025</v>
      </c>
      <c r="F136" s="402" t="s">
        <v>7</v>
      </c>
      <c r="G136" s="670" t="s">
        <v>13</v>
      </c>
      <c r="H136" s="670" t="s">
        <v>991</v>
      </c>
      <c r="I136" s="670"/>
      <c r="J136" s="670"/>
      <c r="K136" s="670"/>
      <c r="L136" s="42"/>
      <c r="M136" s="42"/>
      <c r="N136" s="93"/>
      <c r="O136" s="93"/>
      <c r="P136" s="93"/>
      <c r="Q136" s="93">
        <v>856</v>
      </c>
      <c r="R136" s="93"/>
      <c r="S136" s="93"/>
      <c r="T136" s="420"/>
      <c r="U136" s="93"/>
      <c r="V136" s="93"/>
      <c r="W136" s="93"/>
      <c r="X136" s="93"/>
      <c r="Y136" s="93"/>
      <c r="Z136" s="93"/>
      <c r="AA136" s="93"/>
      <c r="AB136" s="93"/>
      <c r="AC136" s="105">
        <f>IF(NFI_Expiration=1,IF($A136&lt;VLOOKUP(I$5,NFI,5,0),1,0)*Data_NFI_t[[#This Row],[Hygiene Kit]],0)</f>
        <v>0</v>
      </c>
      <c r="AD136" s="105">
        <f>IF(NFI_Expiration=1,IF($A136&lt;VLOOKUP(L$5,NFI,5,0),1,0)*Data_NFI_t[[#This Row],[NFI Core Kit]],0)</f>
        <v>0</v>
      </c>
      <c r="AE136" s="86">
        <f>IF(NFI_Expiration=1,IF($A136&lt;VLOOKUP(M$5,NFI,5,0),1,0)*Data_NFI_t[[#This Row],[Sanitary Kit]],0)</f>
        <v>0</v>
      </c>
      <c r="AF136" s="86">
        <f>IF(NFI_Expiration=1,IF($A136&lt;VLOOKUP(N$5,NFI,5,0),1,0)*Data_NFI_t[[#This Row],[Mosquito net]],0)</f>
        <v>0</v>
      </c>
      <c r="AG136" s="86">
        <f>IF(NFI_Expiration=1,IF($A136&lt;VLOOKUP(O$5,NFI,5,0),1,0)*Data_NFI_t[[#This Row],[Tarpaulin]],0)</f>
        <v>0</v>
      </c>
      <c r="AH136" s="86">
        <f>IF(NFI_Expiration=1,IF($A136&lt;VLOOKUP(P$5,NFI,5,0),1,0)*Data_NFI_t[[#This Row],[Blanket]],0)</f>
        <v>0</v>
      </c>
      <c r="AI136" s="86">
        <f>IF(NFI_Expiration=1,IF($A136&lt;VLOOKUP(Q$5,NFI,5,0),1,0)*Data_NFI_t[[#This Row],[Kitchen Set]],0)</f>
        <v>0</v>
      </c>
      <c r="AJ136" s="86">
        <f>IF(NFI_Expiration=1,IF($A136&lt;VLOOKUP(R$5,NFI,5,0),1,0)*Data_NFI_t[[#This Row],[Complementary Kit]],0)</f>
        <v>0</v>
      </c>
      <c r="AK136" s="86">
        <f>IF(NFI_Expiration=1,IF($A136&lt;VLOOKUP(S$5,NFI,5,0),1,0)*Data_NFI_t[[#This Row],[Plastic Bucket]],0)</f>
        <v>0</v>
      </c>
      <c r="AL136" s="105">
        <f>IF(NFI_Expiration=1,IF($A136&lt;VLOOKUP(T$5,NFI,5,0),1,0)*Data_NFI_t[[#This Row],[Jerry Can]],0)</f>
        <v>0</v>
      </c>
      <c r="AM136" s="734">
        <f>IF(NFI_Expiration=1,IF($A136&lt;VLOOKUP(U$5,NFI,5,0),1,0)*Data_NFI_t[[#This Row],[Plastic Mat]],0)</f>
        <v>0</v>
      </c>
      <c r="AN136" s="734">
        <f>IF(NFI_Expiration=1,IF($A136&lt;VLOOKUP(V$5,NFI,5,0),1,0)*Data_NFI_t[[#This Row],[Adult Clothes]],0)</f>
        <v>0</v>
      </c>
      <c r="AO136" s="105">
        <f>IF(NFI_Expiration=1,IF($A136&lt;VLOOKUP(W$5,NFI,5,0),1,0)*Data_NFI_t[[#This Row],[Children Clothes]],0)</f>
        <v>0</v>
      </c>
      <c r="AP136" s="105">
        <f>IF(NFI_Expiration=1,IF($A136&lt;VLOOKUP(X$5,NFI,5,0),1,0)*Data_NFI_t[[#This Row],[Sewing Kit]],0)</f>
        <v>0</v>
      </c>
      <c r="AQ136" s="734">
        <f>IF(NFI_Expiration=1,IF($A136&lt;VLOOKUP(X$5,NFI,5,0),1,0)*Data_NFI_t[[#This Row],[Solar Lantern]],0)</f>
        <v>0</v>
      </c>
      <c r="AR136" s="105" t="str">
        <f ca="1">IFERROR(OFFSET(Camp_List[P_Code],MATCH(Data_NFI_t[[#This Row],[Camp Name]],Camp_List[Camp Name],0)-1,0,1,1),"")</f>
        <v>MMR012CMP017</v>
      </c>
      <c r="AS136" s="421" t="str">
        <f ca="1">IFERROR(OFFSET(Camp_List[Status],MATCH(Data_NFI_t[[#This Row],[Camp Name]],Camp_List[Camp Name],0)-1,0,1,1),"")</f>
        <v>Open</v>
      </c>
      <c r="AT136" s="105"/>
    </row>
    <row r="137" spans="1:49" ht="19.5" customHeight="1" x14ac:dyDescent="0.25">
      <c r="A137" s="208">
        <f t="shared" si="2"/>
        <v>16.933333333333334</v>
      </c>
      <c r="B137" s="670">
        <v>2016</v>
      </c>
      <c r="C137" s="744">
        <v>42682</v>
      </c>
      <c r="D137" s="670" t="s">
        <v>658</v>
      </c>
      <c r="E137" s="670" t="s">
        <v>658</v>
      </c>
      <c r="F137" s="670" t="s">
        <v>7</v>
      </c>
      <c r="G137" s="670" t="s">
        <v>817</v>
      </c>
      <c r="H137" s="670" t="s">
        <v>36</v>
      </c>
      <c r="I137" s="670">
        <v>734</v>
      </c>
      <c r="J137" s="670"/>
      <c r="K137" s="670"/>
      <c r="L137" s="670"/>
      <c r="M137" s="670"/>
      <c r="N137" s="670"/>
      <c r="O137" s="670"/>
      <c r="P137" s="670"/>
      <c r="Q137" s="670"/>
      <c r="R137" s="670"/>
      <c r="S137" s="670"/>
      <c r="T137" s="670"/>
      <c r="U137" s="670"/>
      <c r="V137" s="670"/>
      <c r="W137" s="670"/>
      <c r="X137" s="670"/>
      <c r="Y137" s="670"/>
      <c r="Z137" s="670"/>
      <c r="AA137" s="670"/>
      <c r="AB137" s="670"/>
      <c r="AC137" s="670"/>
      <c r="AD137" s="670"/>
      <c r="AE137" s="670"/>
      <c r="AF137" s="670"/>
      <c r="AG137" s="670"/>
      <c r="AH137" s="670"/>
      <c r="AI137" s="670"/>
      <c r="AJ137" s="670"/>
      <c r="AK137" s="670"/>
      <c r="AL137" s="670"/>
      <c r="AM137" s="734">
        <f>IF(NFI_Expiration=1,IF($A137&lt;VLOOKUP(U$5,NFI,5,0),1,0)*Data_NFI_t[[#This Row],[Plastic Mat]],0)</f>
        <v>0</v>
      </c>
      <c r="AN137" s="734">
        <f>IF(NFI_Expiration=1,IF($A137&lt;VLOOKUP(V$5,NFI,5,0),1,0)*Data_NFI_t[[#This Row],[Adult Clothes]],0)</f>
        <v>0</v>
      </c>
      <c r="AO137" s="670">
        <f>IF(NFI_Expiration=1,IF($A137&lt;VLOOKUP(W$5,NFI,5,0),1,0)*Data_NFI_t[[#This Row],[Children Clothes]],0)</f>
        <v>0</v>
      </c>
      <c r="AP137" s="670">
        <f>IF(NFI_Expiration=1,IF($A137&lt;VLOOKUP(X$5,NFI,5,0),1,0)*Data_NFI_t[[#This Row],[Sewing Kit]],0)</f>
        <v>0</v>
      </c>
      <c r="AQ137" s="734">
        <f>IF(NFI_Expiration=1,IF($A137&lt;VLOOKUP(X$5,NFI,5,0),1,0)*Data_NFI_t[[#This Row],[Solar Lantern]],0)</f>
        <v>0</v>
      </c>
      <c r="AR137" s="105" t="str">
        <f ca="1">IFERROR(OFFSET(Camp_List[P_Code],MATCH(Data_NFI_t[[#This Row],[Camp Name]],Camp_List[Camp Name],0)-1,0,1,1),"")</f>
        <v>MMR012CMP014</v>
      </c>
      <c r="AS137" s="421" t="str">
        <f ca="1">IFERROR(OFFSET(Camp_List[Status],MATCH(Data_NFI_t[[#This Row],[Camp Name]],Camp_List[Camp Name],0)-1,0,1,1),"")</f>
        <v>Open</v>
      </c>
      <c r="AT137" s="105"/>
    </row>
    <row r="138" spans="1:49" s="669" customFormat="1" ht="19.5" customHeight="1" x14ac:dyDescent="0.25">
      <c r="A138" s="208">
        <f t="shared" si="2"/>
        <v>18.333333333333332</v>
      </c>
      <c r="B138" s="429">
        <f>YEAR(Data_NFI_t[[#This Row],[Distribution Date]])</f>
        <v>2016</v>
      </c>
      <c r="C138" s="744">
        <v>42640</v>
      </c>
      <c r="D138" s="402" t="s">
        <v>913</v>
      </c>
      <c r="E138" s="401" t="s">
        <v>913</v>
      </c>
      <c r="F138" s="402" t="s">
        <v>7</v>
      </c>
      <c r="G138" s="670" t="s">
        <v>17</v>
      </c>
      <c r="H138" s="670" t="s">
        <v>68</v>
      </c>
      <c r="I138" s="670"/>
      <c r="J138" s="670"/>
      <c r="K138" s="670"/>
      <c r="L138" s="42">
        <v>973</v>
      </c>
      <c r="M138" s="42"/>
      <c r="N138" s="93">
        <v>973</v>
      </c>
      <c r="O138" s="93"/>
      <c r="P138" s="93">
        <v>973</v>
      </c>
      <c r="Q138" s="93"/>
      <c r="R138" s="93"/>
      <c r="S138" s="93">
        <v>1964</v>
      </c>
      <c r="T138" s="420">
        <v>1964</v>
      </c>
      <c r="U138" s="93">
        <v>1964</v>
      </c>
      <c r="V138" s="93"/>
      <c r="W138" s="93"/>
      <c r="X138" s="93"/>
      <c r="Y138" s="93"/>
      <c r="Z138" s="93"/>
      <c r="AA138" s="93"/>
      <c r="AB138" s="93"/>
      <c r="AC138" s="105">
        <f>IF(NFI_Expiration=1,IF($A138&lt;VLOOKUP(I$5,NFI,5,0),1,0)*Data_NFI_t[[#This Row],[Hygiene Kit]],0)</f>
        <v>0</v>
      </c>
      <c r="AD138" s="105">
        <f>IF(NFI_Expiration=1,IF($A138&lt;VLOOKUP(L$5,NFI,5,0),1,0)*Data_NFI_t[[#This Row],[NFI Core Kit]],0)</f>
        <v>0</v>
      </c>
      <c r="AE138" s="86">
        <f>IF(NFI_Expiration=1,IF($A138&lt;VLOOKUP(M$5,NFI,5,0),1,0)*Data_NFI_t[[#This Row],[Sanitary Kit]],0)</f>
        <v>0</v>
      </c>
      <c r="AF138" s="86">
        <f>IF(NFI_Expiration=1,IF($A138&lt;VLOOKUP(N$5,NFI,5,0),1,0)*Data_NFI_t[[#This Row],[Mosquito net]],0)</f>
        <v>0</v>
      </c>
      <c r="AG138" s="86">
        <f>IF(NFI_Expiration=1,IF($A138&lt;VLOOKUP(O$5,NFI,5,0),1,0)*Data_NFI_t[[#This Row],[Tarpaulin]],0)</f>
        <v>0</v>
      </c>
      <c r="AH138" s="86">
        <f>IF(NFI_Expiration=1,IF($A138&lt;VLOOKUP(P$5,NFI,5,0),1,0)*Data_NFI_t[[#This Row],[Blanket]],0)</f>
        <v>0</v>
      </c>
      <c r="AI138" s="86">
        <f>IF(NFI_Expiration=1,IF($A138&lt;VLOOKUP(Q$5,NFI,5,0),1,0)*Data_NFI_t[[#This Row],[Kitchen Set]],0)</f>
        <v>0</v>
      </c>
      <c r="AJ138" s="86">
        <f>IF(NFI_Expiration=1,IF($A138&lt;VLOOKUP(R$5,NFI,5,0),1,0)*Data_NFI_t[[#This Row],[Complementary Kit]],0)</f>
        <v>0</v>
      </c>
      <c r="AK138" s="86">
        <f>IF(NFI_Expiration=1,IF($A138&lt;VLOOKUP(S$5,NFI,5,0),1,0)*Data_NFI_t[[#This Row],[Plastic Bucket]],0)</f>
        <v>0</v>
      </c>
      <c r="AL138" s="105">
        <f>IF(NFI_Expiration=1,IF($A138&lt;VLOOKUP(T$5,NFI,5,0),1,0)*Data_NFI_t[[#This Row],[Jerry Can]],0)</f>
        <v>0</v>
      </c>
      <c r="AM138" s="734">
        <f>IF(NFI_Expiration=1,IF($A138&lt;VLOOKUP(U$5,NFI,5,0),1,0)*Data_NFI_t[[#This Row],[Plastic Mat]],0)</f>
        <v>0</v>
      </c>
      <c r="AN138" s="734">
        <f>IF(NFI_Expiration=1,IF($A138&lt;VLOOKUP(V$5,NFI,5,0),1,0)*Data_NFI_t[[#This Row],[Adult Clothes]],0)</f>
        <v>0</v>
      </c>
      <c r="AO138" s="105">
        <f>IF(NFI_Expiration=1,IF($A138&lt;VLOOKUP(W$5,NFI,5,0),1,0)*Data_NFI_t[[#This Row],[Children Clothes]],0)</f>
        <v>0</v>
      </c>
      <c r="AP138" s="105">
        <f>IF(NFI_Expiration=1,IF($A138&lt;VLOOKUP(X$5,NFI,5,0),1,0)*Data_NFI_t[[#This Row],[Sewing Kit]],0)</f>
        <v>0</v>
      </c>
      <c r="AQ138" s="734">
        <f>IF(NFI_Expiration=1,IF($A138&lt;VLOOKUP(X$5,NFI,5,0),1,0)*Data_NFI_t[[#This Row],[Solar Lantern]],0)</f>
        <v>0</v>
      </c>
      <c r="AR138" s="105" t="str">
        <f ca="1">IFERROR(OFFSET(Camp_List[P_Code],MATCH(Data_NFI_t[[#This Row],[Camp Name]],Camp_List[Camp Name],0)-1,0,1,1),"")</f>
        <v>MMR012CMP048</v>
      </c>
      <c r="AS138" s="421" t="str">
        <f ca="1">IFERROR(OFFSET(Camp_List[Status],MATCH(Data_NFI_t[[#This Row],[Camp Name]],Camp_List[Camp Name],0)-1,0,1,1),"")</f>
        <v>Open</v>
      </c>
      <c r="AT138" s="105"/>
    </row>
    <row r="139" spans="1:49" s="669" customFormat="1" ht="19.5" customHeight="1" x14ac:dyDescent="0.25">
      <c r="A139" s="208">
        <f t="shared" si="2"/>
        <v>20.100000000000001</v>
      </c>
      <c r="B139" s="429">
        <f>YEAR(Data_NFI_t[[#This Row],[Distribution Date]])</f>
        <v>2016</v>
      </c>
      <c r="C139" s="744">
        <v>42587</v>
      </c>
      <c r="D139" s="402" t="s">
        <v>658</v>
      </c>
      <c r="E139" s="401" t="s">
        <v>658</v>
      </c>
      <c r="F139" s="402" t="s">
        <v>7</v>
      </c>
      <c r="G139" s="670" t="s">
        <v>817</v>
      </c>
      <c r="H139" s="670" t="s">
        <v>36</v>
      </c>
      <c r="I139" s="670">
        <v>703</v>
      </c>
      <c r="J139" s="670"/>
      <c r="K139" s="670"/>
      <c r="L139" s="42"/>
      <c r="M139" s="42"/>
      <c r="N139" s="93"/>
      <c r="O139" s="93"/>
      <c r="P139" s="93"/>
      <c r="Q139" s="93"/>
      <c r="R139" s="93"/>
      <c r="S139" s="93"/>
      <c r="T139" s="420"/>
      <c r="U139" s="93"/>
      <c r="V139" s="93"/>
      <c r="W139" s="93"/>
      <c r="X139" s="93"/>
      <c r="Y139" s="93"/>
      <c r="Z139" s="93"/>
      <c r="AA139" s="93"/>
      <c r="AB139" s="93"/>
      <c r="AC139" s="105">
        <f>IF(NFI_Expiration=1,IF($A139&lt;VLOOKUP(I$5,NFI,5,0),1,0)*Data_NFI_t[[#This Row],[Hygiene Kit]],0)</f>
        <v>0</v>
      </c>
      <c r="AD139" s="105">
        <f>IF(NFI_Expiration=1,IF($A139&lt;VLOOKUP(L$5,NFI,5,0),1,0)*Data_NFI_t[[#This Row],[NFI Core Kit]],0)</f>
        <v>0</v>
      </c>
      <c r="AE139" s="86">
        <f>IF(NFI_Expiration=1,IF($A139&lt;VLOOKUP(M$5,NFI,5,0),1,0)*Data_NFI_t[[#This Row],[Sanitary Kit]],0)</f>
        <v>0</v>
      </c>
      <c r="AF139" s="86">
        <f>IF(NFI_Expiration=1,IF($A139&lt;VLOOKUP(N$5,NFI,5,0),1,0)*Data_NFI_t[[#This Row],[Mosquito net]],0)</f>
        <v>0</v>
      </c>
      <c r="AG139" s="86">
        <f>IF(NFI_Expiration=1,IF($A139&lt;VLOOKUP(O$5,NFI,5,0),1,0)*Data_NFI_t[[#This Row],[Tarpaulin]],0)</f>
        <v>0</v>
      </c>
      <c r="AH139" s="86">
        <f>IF(NFI_Expiration=1,IF($A139&lt;VLOOKUP(P$5,NFI,5,0),1,0)*Data_NFI_t[[#This Row],[Blanket]],0)</f>
        <v>0</v>
      </c>
      <c r="AI139" s="86">
        <f>IF(NFI_Expiration=1,IF($A139&lt;VLOOKUP(Q$5,NFI,5,0),1,0)*Data_NFI_t[[#This Row],[Kitchen Set]],0)</f>
        <v>0</v>
      </c>
      <c r="AJ139" s="86">
        <f>IF(NFI_Expiration=1,IF($A139&lt;VLOOKUP(R$5,NFI,5,0),1,0)*Data_NFI_t[[#This Row],[Complementary Kit]],0)</f>
        <v>0</v>
      </c>
      <c r="AK139" s="86">
        <f>IF(NFI_Expiration=1,IF($A139&lt;VLOOKUP(S$5,NFI,5,0),1,0)*Data_NFI_t[[#This Row],[Plastic Bucket]],0)</f>
        <v>0</v>
      </c>
      <c r="AL139" s="105">
        <f>IF(NFI_Expiration=1,IF($A139&lt;VLOOKUP(T$5,NFI,5,0),1,0)*Data_NFI_t[[#This Row],[Jerry Can]],0)</f>
        <v>0</v>
      </c>
      <c r="AM139" s="734">
        <f>IF(NFI_Expiration=1,IF($A139&lt;VLOOKUP(U$5,NFI,5,0),1,0)*Data_NFI_t[[#This Row],[Plastic Mat]],0)</f>
        <v>0</v>
      </c>
      <c r="AN139" s="734">
        <f>IF(NFI_Expiration=1,IF($A139&lt;VLOOKUP(V$5,NFI,5,0),1,0)*Data_NFI_t[[#This Row],[Adult Clothes]],0)</f>
        <v>0</v>
      </c>
      <c r="AO139" s="105">
        <f>IF(NFI_Expiration=1,IF($A139&lt;VLOOKUP(W$5,NFI,5,0),1,0)*Data_NFI_t[[#This Row],[Children Clothes]],0)</f>
        <v>0</v>
      </c>
      <c r="AP139" s="105">
        <f>IF(NFI_Expiration=1,IF($A139&lt;VLOOKUP(X$5,NFI,5,0),1,0)*Data_NFI_t[[#This Row],[Sewing Kit]],0)</f>
        <v>0</v>
      </c>
      <c r="AQ139" s="734">
        <f>IF(NFI_Expiration=1,IF($A139&lt;VLOOKUP(X$5,NFI,5,0),1,0)*Data_NFI_t[[#This Row],[Solar Lantern]],0)</f>
        <v>0</v>
      </c>
      <c r="AR139" s="105" t="str">
        <f ca="1">IFERROR(OFFSET(Camp_List[P_Code],MATCH(Data_NFI_t[[#This Row],[Camp Name]],Camp_List[Camp Name],0)-1,0,1,1),"")</f>
        <v>MMR012CMP014</v>
      </c>
      <c r="AS139" s="421" t="str">
        <f ca="1">IFERROR(OFFSET(Camp_List[Status],MATCH(Data_NFI_t[[#This Row],[Camp Name]],Camp_List[Camp Name],0)-1,0,1,1),"")</f>
        <v>Open</v>
      </c>
      <c r="AT139" s="105"/>
    </row>
    <row r="140" spans="1:49" s="78" customFormat="1" ht="19.5" customHeight="1" x14ac:dyDescent="0.25">
      <c r="A140" s="208">
        <f t="shared" si="2"/>
        <v>20.100000000000001</v>
      </c>
      <c r="B140" s="429">
        <f>YEAR(Data_NFI_t[[#This Row],[Distribution Date]])</f>
        <v>2016</v>
      </c>
      <c r="C140" s="744">
        <v>42587</v>
      </c>
      <c r="D140" s="402" t="s">
        <v>658</v>
      </c>
      <c r="E140" s="401" t="s">
        <v>658</v>
      </c>
      <c r="F140" s="402" t="s">
        <v>7</v>
      </c>
      <c r="G140" s="670" t="s">
        <v>817</v>
      </c>
      <c r="H140" s="670" t="s">
        <v>35</v>
      </c>
      <c r="I140" s="670">
        <v>40</v>
      </c>
      <c r="J140" s="670"/>
      <c r="K140" s="670"/>
      <c r="L140" s="42"/>
      <c r="M140" s="42"/>
      <c r="N140" s="93"/>
      <c r="O140" s="93"/>
      <c r="P140" s="93"/>
      <c r="Q140" s="93"/>
      <c r="R140" s="93"/>
      <c r="S140" s="93"/>
      <c r="T140" s="420"/>
      <c r="U140" s="93"/>
      <c r="V140" s="93"/>
      <c r="W140" s="93"/>
      <c r="X140" s="93"/>
      <c r="Y140" s="93"/>
      <c r="Z140" s="93"/>
      <c r="AA140" s="93"/>
      <c r="AB140" s="93"/>
      <c r="AC140" s="105">
        <f>IF(NFI_Expiration=1,IF($A140&lt;VLOOKUP(I$5,NFI,5,0),1,0)*Data_NFI_t[[#This Row],[Hygiene Kit]],0)</f>
        <v>0</v>
      </c>
      <c r="AD140" s="105">
        <f>IF(NFI_Expiration=1,IF($A140&lt;VLOOKUP(L$5,NFI,5,0),1,0)*Data_NFI_t[[#This Row],[NFI Core Kit]],0)</f>
        <v>0</v>
      </c>
      <c r="AE140" s="86">
        <f>IF(NFI_Expiration=1,IF($A140&lt;VLOOKUP(M$5,NFI,5,0),1,0)*Data_NFI_t[[#This Row],[Sanitary Kit]],0)</f>
        <v>0</v>
      </c>
      <c r="AF140" s="86">
        <f>IF(NFI_Expiration=1,IF($A140&lt;VLOOKUP(N$5,NFI,5,0),1,0)*Data_NFI_t[[#This Row],[Mosquito net]],0)</f>
        <v>0</v>
      </c>
      <c r="AG140" s="86">
        <f>IF(NFI_Expiration=1,IF($A140&lt;VLOOKUP(O$5,NFI,5,0),1,0)*Data_NFI_t[[#This Row],[Tarpaulin]],0)</f>
        <v>0</v>
      </c>
      <c r="AH140" s="86">
        <f>IF(NFI_Expiration=1,IF($A140&lt;VLOOKUP(P$5,NFI,5,0),1,0)*Data_NFI_t[[#This Row],[Blanket]],0)</f>
        <v>0</v>
      </c>
      <c r="AI140" s="86">
        <f>IF(NFI_Expiration=1,IF($A140&lt;VLOOKUP(Q$5,NFI,5,0),1,0)*Data_NFI_t[[#This Row],[Kitchen Set]],0)</f>
        <v>0</v>
      </c>
      <c r="AJ140" s="86">
        <f>IF(NFI_Expiration=1,IF($A140&lt;VLOOKUP(R$5,NFI,5,0),1,0)*Data_NFI_t[[#This Row],[Complementary Kit]],0)</f>
        <v>0</v>
      </c>
      <c r="AK140" s="86">
        <f>IF(NFI_Expiration=1,IF($A140&lt;VLOOKUP(S$5,NFI,5,0),1,0)*Data_NFI_t[[#This Row],[Plastic Bucket]],0)</f>
        <v>0</v>
      </c>
      <c r="AL140" s="105">
        <f>IF(NFI_Expiration=1,IF($A140&lt;VLOOKUP(T$5,NFI,5,0),1,0)*Data_NFI_t[[#This Row],[Jerry Can]],0)</f>
        <v>0</v>
      </c>
      <c r="AM140" s="734">
        <f>IF(NFI_Expiration=1,IF($A140&lt;VLOOKUP(U$5,NFI,5,0),1,0)*Data_NFI_t[[#This Row],[Plastic Mat]],0)</f>
        <v>0</v>
      </c>
      <c r="AN140" s="734">
        <f>IF(NFI_Expiration=1,IF($A140&lt;VLOOKUP(V$5,NFI,5,0),1,0)*Data_NFI_t[[#This Row],[Adult Clothes]],0)</f>
        <v>0</v>
      </c>
      <c r="AO140" s="105">
        <f>IF(NFI_Expiration=1,IF($A140&lt;VLOOKUP(W$5,NFI,5,0),1,0)*Data_NFI_t[[#This Row],[Children Clothes]],0)</f>
        <v>0</v>
      </c>
      <c r="AP140" s="105">
        <f>IF(NFI_Expiration=1,IF($A140&lt;VLOOKUP(X$5,NFI,5,0),1,0)*Data_NFI_t[[#This Row],[Sewing Kit]],0)</f>
        <v>0</v>
      </c>
      <c r="AQ140" s="734">
        <f>IF(NFI_Expiration=1,IF($A140&lt;VLOOKUP(X$5,NFI,5,0),1,0)*Data_NFI_t[[#This Row],[Solar Lantern]],0)</f>
        <v>0</v>
      </c>
      <c r="AR140" s="105" t="str">
        <f ca="1">IFERROR(OFFSET(Camp_List[P_Code],MATCH(Data_NFI_t[[#This Row],[Camp Name]],Camp_List[Camp Name],0)-1,0,1,1),"")</f>
        <v>MMR012CMP013</v>
      </c>
      <c r="AS140" s="421" t="str">
        <f ca="1">IFERROR(OFFSET(Camp_List[Status],MATCH(Data_NFI_t[[#This Row],[Camp Name]],Camp_List[Camp Name],0)-1,0,1,1),"")</f>
        <v>Relocated</v>
      </c>
      <c r="AT140" s="105"/>
    </row>
    <row r="141" spans="1:49" s="78" customFormat="1" ht="19.5" customHeight="1" x14ac:dyDescent="0.25">
      <c r="A141" s="208">
        <f t="shared" si="2"/>
        <v>21.6</v>
      </c>
      <c r="B141" s="429">
        <f>YEAR(Data_NFI_t[[#This Row],[Distribution Date]])</f>
        <v>2016</v>
      </c>
      <c r="C141" s="744">
        <v>42542</v>
      </c>
      <c r="D141" s="402" t="s">
        <v>270</v>
      </c>
      <c r="E141" s="401" t="s">
        <v>270</v>
      </c>
      <c r="F141" s="402" t="s">
        <v>7</v>
      </c>
      <c r="G141" s="670" t="s">
        <v>561</v>
      </c>
      <c r="H141" s="670" t="s">
        <v>56</v>
      </c>
      <c r="I141" s="670">
        <v>65</v>
      </c>
      <c r="J141" s="670"/>
      <c r="K141" s="670"/>
      <c r="L141" s="42">
        <v>65</v>
      </c>
      <c r="M141" s="42"/>
      <c r="N141" s="93"/>
      <c r="O141" s="93"/>
      <c r="P141" s="93">
        <v>65</v>
      </c>
      <c r="Q141" s="93"/>
      <c r="R141" s="93"/>
      <c r="S141" s="93"/>
      <c r="T141" s="420"/>
      <c r="U141" s="93"/>
      <c r="V141" s="93"/>
      <c r="W141" s="93"/>
      <c r="X141" s="93"/>
      <c r="Y141" s="93"/>
      <c r="Z141" s="93"/>
      <c r="AA141" s="93"/>
      <c r="AB141" s="93"/>
      <c r="AC141" s="105">
        <f>IF(NFI_Expiration=1,IF($A141&lt;VLOOKUP(I$5,NFI,5,0),1,0)*Data_NFI_t[[#This Row],[Hygiene Kit]],0)</f>
        <v>0</v>
      </c>
      <c r="AD141" s="105">
        <f>IF(NFI_Expiration=1,IF($A141&lt;VLOOKUP(L$5,NFI,5,0),1,0)*Data_NFI_t[[#This Row],[NFI Core Kit]],0)</f>
        <v>0</v>
      </c>
      <c r="AE141" s="86">
        <f>IF(NFI_Expiration=1,IF($A141&lt;VLOOKUP(M$5,NFI,5,0),1,0)*Data_NFI_t[[#This Row],[Sanitary Kit]],0)</f>
        <v>0</v>
      </c>
      <c r="AF141" s="86">
        <f>IF(NFI_Expiration=1,IF($A141&lt;VLOOKUP(N$5,NFI,5,0),1,0)*Data_NFI_t[[#This Row],[Mosquito net]],0)</f>
        <v>0</v>
      </c>
      <c r="AG141" s="86">
        <f>IF(NFI_Expiration=1,IF($A141&lt;VLOOKUP(O$5,NFI,5,0),1,0)*Data_NFI_t[[#This Row],[Tarpaulin]],0)</f>
        <v>0</v>
      </c>
      <c r="AH141" s="86">
        <f>IF(NFI_Expiration=1,IF($A141&lt;VLOOKUP(P$5,NFI,5,0),1,0)*Data_NFI_t[[#This Row],[Blanket]],0)</f>
        <v>0</v>
      </c>
      <c r="AI141" s="86">
        <f>IF(NFI_Expiration=1,IF($A141&lt;VLOOKUP(Q$5,NFI,5,0),1,0)*Data_NFI_t[[#This Row],[Kitchen Set]],0)</f>
        <v>0</v>
      </c>
      <c r="AJ141" s="86">
        <f>IF(NFI_Expiration=1,IF($A141&lt;VLOOKUP(R$5,NFI,5,0),1,0)*Data_NFI_t[[#This Row],[Complementary Kit]],0)</f>
        <v>0</v>
      </c>
      <c r="AK141" s="86">
        <f>IF(NFI_Expiration=1,IF($A141&lt;VLOOKUP(S$5,NFI,5,0),1,0)*Data_NFI_t[[#This Row],[Plastic Bucket]],0)</f>
        <v>0</v>
      </c>
      <c r="AL141" s="105">
        <f>IF(NFI_Expiration=1,IF($A141&lt;VLOOKUP(T$5,NFI,5,0),1,0)*Data_NFI_t[[#This Row],[Jerry Can]],0)</f>
        <v>0</v>
      </c>
      <c r="AM141" s="734">
        <f>IF(NFI_Expiration=1,IF($A141&lt;VLOOKUP(U$5,NFI,5,0),1,0)*Data_NFI_t[[#This Row],[Plastic Mat]],0)</f>
        <v>0</v>
      </c>
      <c r="AN141" s="734">
        <f>IF(NFI_Expiration=1,IF($A141&lt;VLOOKUP(V$5,NFI,5,0),1,0)*Data_NFI_t[[#This Row],[Adult Clothes]],0)</f>
        <v>0</v>
      </c>
      <c r="AO141" s="105">
        <f>IF(NFI_Expiration=1,IF($A141&lt;VLOOKUP(W$5,NFI,5,0),1,0)*Data_NFI_t[[#This Row],[Children Clothes]],0)</f>
        <v>0</v>
      </c>
      <c r="AP141" s="105">
        <f>IF(NFI_Expiration=1,IF($A141&lt;VLOOKUP(X$5,NFI,5,0),1,0)*Data_NFI_t[[#This Row],[Sewing Kit]],0)</f>
        <v>0</v>
      </c>
      <c r="AQ141" s="734">
        <f>IF(NFI_Expiration=1,IF($A141&lt;VLOOKUP(X$5,NFI,5,0),1,0)*Data_NFI_t[[#This Row],[Solar Lantern]],0)</f>
        <v>0</v>
      </c>
      <c r="AR141" s="105" t="str">
        <f ca="1">IFERROR(OFFSET(Camp_List[P_Code],MATCH(Data_NFI_t[[#This Row],[Camp Name]],Camp_List[Camp Name],0)-1,0,1,1),"")</f>
        <v>MMR012CMP035</v>
      </c>
      <c r="AS141" s="421" t="str">
        <f ca="1">IFERROR(OFFSET(Camp_List[Status],MATCH(Data_NFI_t[[#This Row],[Camp Name]],Camp_List[Camp Name],0)-1,0,1,1),"")</f>
        <v>Open</v>
      </c>
      <c r="AT141" s="105"/>
    </row>
    <row r="142" spans="1:49" s="78" customFormat="1" ht="19.5" customHeight="1" x14ac:dyDescent="0.25">
      <c r="A142" s="208">
        <f t="shared" si="2"/>
        <v>21.633333333333333</v>
      </c>
      <c r="B142" s="429">
        <f>YEAR(Data_NFI_t[[#This Row],[Distribution Date]])</f>
        <v>2016</v>
      </c>
      <c r="C142" s="744">
        <v>42541</v>
      </c>
      <c r="D142" s="402" t="s">
        <v>270</v>
      </c>
      <c r="E142" s="401" t="s">
        <v>270</v>
      </c>
      <c r="F142" s="402" t="s">
        <v>7</v>
      </c>
      <c r="G142" s="670" t="s">
        <v>561</v>
      </c>
      <c r="H142" s="670" t="s">
        <v>441</v>
      </c>
      <c r="I142" s="670"/>
      <c r="J142" s="670"/>
      <c r="K142" s="670"/>
      <c r="L142" s="42">
        <v>427</v>
      </c>
      <c r="M142" s="42"/>
      <c r="N142" s="93"/>
      <c r="O142" s="93"/>
      <c r="P142" s="93">
        <v>854</v>
      </c>
      <c r="Q142" s="93"/>
      <c r="R142" s="93"/>
      <c r="S142" s="93"/>
      <c r="T142" s="420"/>
      <c r="U142" s="93"/>
      <c r="V142" s="93"/>
      <c r="W142" s="93"/>
      <c r="X142" s="93"/>
      <c r="Y142" s="93"/>
      <c r="Z142" s="93"/>
      <c r="AA142" s="93"/>
      <c r="AB142" s="93"/>
      <c r="AC142" s="105">
        <f>IF(NFI_Expiration=1,IF($A142&lt;VLOOKUP(I$5,NFI,5,0),1,0)*Data_NFI_t[[#This Row],[Hygiene Kit]],0)</f>
        <v>0</v>
      </c>
      <c r="AD142" s="105">
        <f>IF(NFI_Expiration=1,IF($A142&lt;VLOOKUP(L$5,NFI,5,0),1,0)*Data_NFI_t[[#This Row],[NFI Core Kit]],0)</f>
        <v>0</v>
      </c>
      <c r="AE142" s="86">
        <f>IF(NFI_Expiration=1,IF($A142&lt;VLOOKUP(M$5,NFI,5,0),1,0)*Data_NFI_t[[#This Row],[Sanitary Kit]],0)</f>
        <v>0</v>
      </c>
      <c r="AF142" s="86">
        <f>IF(NFI_Expiration=1,IF($A142&lt;VLOOKUP(N$5,NFI,5,0),1,0)*Data_NFI_t[[#This Row],[Mosquito net]],0)</f>
        <v>0</v>
      </c>
      <c r="AG142" s="86">
        <f>IF(NFI_Expiration=1,IF($A142&lt;VLOOKUP(O$5,NFI,5,0),1,0)*Data_NFI_t[[#This Row],[Tarpaulin]],0)</f>
        <v>0</v>
      </c>
      <c r="AH142" s="86">
        <f>IF(NFI_Expiration=1,IF($A142&lt;VLOOKUP(P$5,NFI,5,0),1,0)*Data_NFI_t[[#This Row],[Blanket]],0)</f>
        <v>0</v>
      </c>
      <c r="AI142" s="86">
        <f>IF(NFI_Expiration=1,IF($A142&lt;VLOOKUP(Q$5,NFI,5,0),1,0)*Data_NFI_t[[#This Row],[Kitchen Set]],0)</f>
        <v>0</v>
      </c>
      <c r="AJ142" s="86">
        <f>IF(NFI_Expiration=1,IF($A142&lt;VLOOKUP(R$5,NFI,5,0),1,0)*Data_NFI_t[[#This Row],[Complementary Kit]],0)</f>
        <v>0</v>
      </c>
      <c r="AK142" s="86">
        <f>IF(NFI_Expiration=1,IF($A142&lt;VLOOKUP(S$5,NFI,5,0),1,0)*Data_NFI_t[[#This Row],[Plastic Bucket]],0)</f>
        <v>0</v>
      </c>
      <c r="AL142" s="105">
        <f>IF(NFI_Expiration=1,IF($A142&lt;VLOOKUP(T$5,NFI,5,0),1,0)*Data_NFI_t[[#This Row],[Jerry Can]],0)</f>
        <v>0</v>
      </c>
      <c r="AM142" s="734">
        <f>IF(NFI_Expiration=1,IF($A142&lt;VLOOKUP(U$5,NFI,5,0),1,0)*Data_NFI_t[[#This Row],[Plastic Mat]],0)</f>
        <v>0</v>
      </c>
      <c r="AN142" s="734">
        <f>IF(NFI_Expiration=1,IF($A142&lt;VLOOKUP(V$5,NFI,5,0),1,0)*Data_NFI_t[[#This Row],[Adult Clothes]],0)</f>
        <v>0</v>
      </c>
      <c r="AO142" s="105">
        <f>IF(NFI_Expiration=1,IF($A142&lt;VLOOKUP(W$5,NFI,5,0),1,0)*Data_NFI_t[[#This Row],[Children Clothes]],0)</f>
        <v>0</v>
      </c>
      <c r="AP142" s="105">
        <f>IF(NFI_Expiration=1,IF($A142&lt;VLOOKUP(X$5,NFI,5,0),1,0)*Data_NFI_t[[#This Row],[Sewing Kit]],0)</f>
        <v>0</v>
      </c>
      <c r="AQ142" s="734">
        <f>IF(NFI_Expiration=1,IF($A142&lt;VLOOKUP(X$5,NFI,5,0),1,0)*Data_NFI_t[[#This Row],[Solar Lantern]],0)</f>
        <v>0</v>
      </c>
      <c r="AR142" s="105" t="str">
        <f ca="1">IFERROR(OFFSET(Camp_List[P_Code],MATCH(Data_NFI_t[[#This Row],[Camp Name]],Camp_List[Camp Name],0)-1,0,1,1),"")</f>
        <v>MMR012CMP036</v>
      </c>
      <c r="AS142" s="421" t="str">
        <f ca="1">IFERROR(OFFSET(Camp_List[Status],MATCH(Data_NFI_t[[#This Row],[Camp Name]],Camp_List[Camp Name],0)-1,0,1,1),"")</f>
        <v>Relocated</v>
      </c>
      <c r="AT142" s="105"/>
    </row>
    <row r="143" spans="1:49" s="78" customFormat="1" ht="19.5" customHeight="1" x14ac:dyDescent="0.25">
      <c r="A143" s="208">
        <f t="shared" si="2"/>
        <v>22.333333333333332</v>
      </c>
      <c r="B143" s="429">
        <f>YEAR(Data_NFI_t[[#This Row],[Distribution Date]])</f>
        <v>2016</v>
      </c>
      <c r="C143" s="744">
        <v>42520</v>
      </c>
      <c r="D143" s="402" t="s">
        <v>270</v>
      </c>
      <c r="E143" s="401" t="s">
        <v>575</v>
      </c>
      <c r="F143" s="402" t="s">
        <v>7</v>
      </c>
      <c r="G143" s="670" t="s">
        <v>13</v>
      </c>
      <c r="H143" s="670" t="s">
        <v>38</v>
      </c>
      <c r="I143" s="670"/>
      <c r="J143" s="670"/>
      <c r="K143" s="670"/>
      <c r="L143" s="42"/>
      <c r="M143" s="42"/>
      <c r="N143" s="93"/>
      <c r="O143" s="93">
        <v>60</v>
      </c>
      <c r="P143" s="93"/>
      <c r="Q143" s="93"/>
      <c r="R143" s="93"/>
      <c r="S143" s="93"/>
      <c r="T143" s="420"/>
      <c r="U143" s="93"/>
      <c r="V143" s="93"/>
      <c r="W143" s="93"/>
      <c r="X143" s="93"/>
      <c r="Y143" s="93"/>
      <c r="Z143" s="93"/>
      <c r="AA143" s="93"/>
      <c r="AB143" s="93"/>
      <c r="AC143" s="105">
        <f>IF(NFI_Expiration=1,IF($A143&lt;VLOOKUP(I$5,NFI,5,0),1,0)*Data_NFI_t[[#This Row],[Hygiene Kit]],0)</f>
        <v>0</v>
      </c>
      <c r="AD143" s="105">
        <f>IF(NFI_Expiration=1,IF($A143&lt;VLOOKUP(L$5,NFI,5,0),1,0)*Data_NFI_t[[#This Row],[NFI Core Kit]],0)</f>
        <v>0</v>
      </c>
      <c r="AE143" s="86">
        <f>IF(NFI_Expiration=1,IF($A143&lt;VLOOKUP(M$5,NFI,5,0),1,0)*Data_NFI_t[[#This Row],[Sanitary Kit]],0)</f>
        <v>0</v>
      </c>
      <c r="AF143" s="86">
        <f>IF(NFI_Expiration=1,IF($A143&lt;VLOOKUP(N$5,NFI,5,0),1,0)*Data_NFI_t[[#This Row],[Mosquito net]],0)</f>
        <v>0</v>
      </c>
      <c r="AG143" s="86">
        <f>IF(NFI_Expiration=1,IF($A143&lt;VLOOKUP(O$5,NFI,5,0),1,0)*Data_NFI_t[[#This Row],[Tarpaulin]],0)</f>
        <v>0</v>
      </c>
      <c r="AH143" s="86">
        <f>IF(NFI_Expiration=1,IF($A143&lt;VLOOKUP(P$5,NFI,5,0),1,0)*Data_NFI_t[[#This Row],[Blanket]],0)</f>
        <v>0</v>
      </c>
      <c r="AI143" s="86">
        <f>IF(NFI_Expiration=1,IF($A143&lt;VLOOKUP(Q$5,NFI,5,0),1,0)*Data_NFI_t[[#This Row],[Kitchen Set]],0)</f>
        <v>0</v>
      </c>
      <c r="AJ143" s="86">
        <f>IF(NFI_Expiration=1,IF($A143&lt;VLOOKUP(R$5,NFI,5,0),1,0)*Data_NFI_t[[#This Row],[Complementary Kit]],0)</f>
        <v>0</v>
      </c>
      <c r="AK143" s="86">
        <f>IF(NFI_Expiration=1,IF($A143&lt;VLOOKUP(S$5,NFI,5,0),1,0)*Data_NFI_t[[#This Row],[Plastic Bucket]],0)</f>
        <v>0</v>
      </c>
      <c r="AL143" s="105">
        <f>IF(NFI_Expiration=1,IF($A143&lt;VLOOKUP(T$5,NFI,5,0),1,0)*Data_NFI_t[[#This Row],[Jerry Can]],0)</f>
        <v>0</v>
      </c>
      <c r="AM143" s="734">
        <f>IF(NFI_Expiration=1,IF($A143&lt;VLOOKUP(U$5,NFI,5,0),1,0)*Data_NFI_t[[#This Row],[Plastic Mat]],0)</f>
        <v>0</v>
      </c>
      <c r="AN143" s="734">
        <f>IF(NFI_Expiration=1,IF($A143&lt;VLOOKUP(V$5,NFI,5,0),1,0)*Data_NFI_t[[#This Row],[Adult Clothes]],0)</f>
        <v>0</v>
      </c>
      <c r="AO143" s="105">
        <f>IF(NFI_Expiration=1,IF($A143&lt;VLOOKUP(W$5,NFI,5,0),1,0)*Data_NFI_t[[#This Row],[Children Clothes]],0)</f>
        <v>0</v>
      </c>
      <c r="AP143" s="105">
        <f>IF(NFI_Expiration=1,IF($A143&lt;VLOOKUP(X$5,NFI,5,0),1,0)*Data_NFI_t[[#This Row],[Sewing Kit]],0)</f>
        <v>0</v>
      </c>
      <c r="AQ143" s="734">
        <f>IF(NFI_Expiration=1,IF($A143&lt;VLOOKUP(X$5,NFI,5,0),1,0)*Data_NFI_t[[#This Row],[Solar Lantern]],0)</f>
        <v>0</v>
      </c>
      <c r="AR143" s="105" t="str">
        <f ca="1">IFERROR(OFFSET(Camp_List[P_Code],MATCH(Data_NFI_t[[#This Row],[Camp Name]],Camp_List[Camp Name],0)-1,0,1,1),"")</f>
        <v>MMR012CMP016</v>
      </c>
      <c r="AS143" s="421" t="str">
        <f ca="1">IFERROR(OFFSET(Camp_List[Status],MATCH(Data_NFI_t[[#This Row],[Camp Name]],Camp_List[Camp Name],0)-1,0,1,1),"")</f>
        <v>Open</v>
      </c>
      <c r="AT143" s="105"/>
    </row>
    <row r="144" spans="1:49" s="78" customFormat="1" ht="19.5" customHeight="1" x14ac:dyDescent="0.25">
      <c r="A144" s="208">
        <f t="shared" si="2"/>
        <v>23.133333333333333</v>
      </c>
      <c r="B144" s="429">
        <v>2016</v>
      </c>
      <c r="C144" s="744">
        <v>42496</v>
      </c>
      <c r="D144" s="402" t="s">
        <v>273</v>
      </c>
      <c r="E144" s="401" t="s">
        <v>273</v>
      </c>
      <c r="F144" s="402" t="s">
        <v>7</v>
      </c>
      <c r="G144" s="670" t="s">
        <v>17</v>
      </c>
      <c r="H144" s="670" t="s">
        <v>582</v>
      </c>
      <c r="I144" s="670"/>
      <c r="J144" s="670"/>
      <c r="K144" s="670"/>
      <c r="L144" s="42"/>
      <c r="M144" s="42">
        <v>424</v>
      </c>
      <c r="N144" s="93"/>
      <c r="O144" s="93">
        <v>424</v>
      </c>
      <c r="P144" s="93"/>
      <c r="Q144" s="93"/>
      <c r="R144" s="93"/>
      <c r="S144" s="93"/>
      <c r="T144" s="420"/>
      <c r="U144" s="93">
        <v>848</v>
      </c>
      <c r="V144" s="93"/>
      <c r="W144" s="93"/>
      <c r="X144" s="93"/>
      <c r="Y144" s="93"/>
      <c r="Z144" s="93"/>
      <c r="AA144" s="93"/>
      <c r="AB144" s="93"/>
      <c r="AC144" s="105">
        <f>IF(NFI_Expiration=1,IF($A144&lt;VLOOKUP(I$5,NFI,5,0),1,0)*Data_NFI_t[[#This Row],[Hygiene Kit]],0)</f>
        <v>0</v>
      </c>
      <c r="AD144" s="105">
        <f>IF(NFI_Expiration=1,IF($A144&lt;VLOOKUP(L$5,NFI,5,0),1,0)*Data_NFI_t[[#This Row],[NFI Core Kit]],0)</f>
        <v>0</v>
      </c>
      <c r="AE144" s="86">
        <f>IF(NFI_Expiration=1,IF($A144&lt;VLOOKUP(M$5,NFI,5,0),1,0)*Data_NFI_t[[#This Row],[Sanitary Kit]],0)</f>
        <v>0</v>
      </c>
      <c r="AF144" s="86">
        <f>IF(NFI_Expiration=1,IF($A144&lt;VLOOKUP(N$5,NFI,5,0),1,0)*Data_NFI_t[[#This Row],[Mosquito net]],0)</f>
        <v>0</v>
      </c>
      <c r="AG144" s="86">
        <f>IF(NFI_Expiration=1,IF($A144&lt;VLOOKUP(O$5,NFI,5,0),1,0)*Data_NFI_t[[#This Row],[Tarpaulin]],0)</f>
        <v>0</v>
      </c>
      <c r="AH144" s="86">
        <f>IF(NFI_Expiration=1,IF($A144&lt;VLOOKUP(P$5,NFI,5,0),1,0)*Data_NFI_t[[#This Row],[Blanket]],0)</f>
        <v>0</v>
      </c>
      <c r="AI144" s="86">
        <f>IF(NFI_Expiration=1,IF($A144&lt;VLOOKUP(Q$5,NFI,5,0),1,0)*Data_NFI_t[[#This Row],[Kitchen Set]],0)</f>
        <v>0</v>
      </c>
      <c r="AJ144" s="86">
        <f>IF(NFI_Expiration=1,IF($A144&lt;VLOOKUP(R$5,NFI,5,0),1,0)*Data_NFI_t[[#This Row],[Complementary Kit]],0)</f>
        <v>0</v>
      </c>
      <c r="AK144" s="86">
        <f>IF(NFI_Expiration=1,IF($A144&lt;VLOOKUP(S$5,NFI,5,0),1,0)*Data_NFI_t[[#This Row],[Plastic Bucket]],0)</f>
        <v>0</v>
      </c>
      <c r="AL144" s="105">
        <f>IF(NFI_Expiration=1,IF($A144&lt;VLOOKUP(T$5,NFI,5,0),1,0)*Data_NFI_t[[#This Row],[Jerry Can]],0)</f>
        <v>0</v>
      </c>
      <c r="AM144" s="734">
        <f>IF(NFI_Expiration=1,IF($A144&lt;VLOOKUP(U$5,NFI,5,0),1,0)*Data_NFI_t[[#This Row],[Plastic Mat]],0)</f>
        <v>0</v>
      </c>
      <c r="AN144" s="734">
        <f>IF(NFI_Expiration=1,IF($A144&lt;VLOOKUP(V$5,NFI,5,0),1,0)*Data_NFI_t[[#This Row],[Adult Clothes]],0)</f>
        <v>0</v>
      </c>
      <c r="AO144" s="105">
        <f>IF(NFI_Expiration=1,IF($A144&lt;VLOOKUP(W$5,NFI,5,0),1,0)*Data_NFI_t[[#This Row],[Children Clothes]],0)</f>
        <v>0</v>
      </c>
      <c r="AP144" s="105">
        <f>IF(NFI_Expiration=1,IF($A144&lt;VLOOKUP(X$5,NFI,5,0),1,0)*Data_NFI_t[[#This Row],[Sewing Kit]],0)</f>
        <v>0</v>
      </c>
      <c r="AQ144" s="734">
        <f>IF(NFI_Expiration=1,IF($A144&lt;VLOOKUP(X$5,NFI,5,0),1,0)*Data_NFI_t[[#This Row],[Solar Lantern]],0)</f>
        <v>0</v>
      </c>
      <c r="AR144" s="105" t="str">
        <f ca="1">IFERROR(OFFSET(Camp_List[P_Code],MATCH(Data_NFI_t[[#This Row],[Camp Name]],Camp_List[Camp Name],0)-1,0,1,1),"")</f>
        <v>MMR012CMP114</v>
      </c>
      <c r="AS144" s="421" t="str">
        <f ca="1">IFERROR(OFFSET(Camp_List[Status],MATCH(Data_NFI_t[[#This Row],[Camp Name]],Camp_List[Camp Name],0)-1,0,1,1),"")</f>
        <v>Open</v>
      </c>
      <c r="AT144" s="105"/>
    </row>
    <row r="145" spans="1:46" s="78" customFormat="1" ht="19.5" customHeight="1" x14ac:dyDescent="0.25">
      <c r="A145" s="208">
        <f t="shared" si="2"/>
        <v>26.2</v>
      </c>
      <c r="B145" s="429">
        <v>2016</v>
      </c>
      <c r="C145" s="744">
        <v>42404</v>
      </c>
      <c r="D145" s="402" t="s">
        <v>270</v>
      </c>
      <c r="E145" s="401" t="s">
        <v>270</v>
      </c>
      <c r="F145" s="402" t="s">
        <v>7</v>
      </c>
      <c r="G145" s="670" t="s">
        <v>17</v>
      </c>
      <c r="H145" s="670" t="s">
        <v>65</v>
      </c>
      <c r="I145" s="670"/>
      <c r="J145" s="670"/>
      <c r="K145" s="670"/>
      <c r="L145" s="42"/>
      <c r="M145" s="42"/>
      <c r="N145" s="93">
        <v>3630</v>
      </c>
      <c r="O145" s="93">
        <v>1815</v>
      </c>
      <c r="P145" s="93">
        <v>1815</v>
      </c>
      <c r="Q145" s="93">
        <v>1815</v>
      </c>
      <c r="R145" s="93"/>
      <c r="S145" s="93">
        <v>1815</v>
      </c>
      <c r="T145" s="420">
        <v>1815</v>
      </c>
      <c r="U145" s="93">
        <v>9075</v>
      </c>
      <c r="V145" s="93"/>
      <c r="W145" s="93"/>
      <c r="X145" s="93"/>
      <c r="Y145" s="93"/>
      <c r="Z145" s="93"/>
      <c r="AA145" s="93"/>
      <c r="AB145" s="93"/>
      <c r="AC145" s="105">
        <f>IF(NFI_Expiration=1,IF($A145&lt;VLOOKUP(I$5,NFI,5,0),1,0)*Data_NFI_t[[#This Row],[Hygiene Kit]],0)</f>
        <v>0</v>
      </c>
      <c r="AD145" s="105">
        <f>IF(NFI_Expiration=1,IF($A145&lt;VLOOKUP(L$5,NFI,5,0),1,0)*Data_NFI_t[[#This Row],[NFI Core Kit]],0)</f>
        <v>0</v>
      </c>
      <c r="AE145" s="86">
        <f>IF(NFI_Expiration=1,IF($A145&lt;VLOOKUP(M$5,NFI,5,0),1,0)*Data_NFI_t[[#This Row],[Sanitary Kit]],0)</f>
        <v>0</v>
      </c>
      <c r="AF145" s="86">
        <f>IF(NFI_Expiration=1,IF($A145&lt;VLOOKUP(N$5,NFI,5,0),1,0)*Data_NFI_t[[#This Row],[Mosquito net]],0)</f>
        <v>0</v>
      </c>
      <c r="AG145" s="86">
        <f>IF(NFI_Expiration=1,IF($A145&lt;VLOOKUP(O$5,NFI,5,0),1,0)*Data_NFI_t[[#This Row],[Tarpaulin]],0)</f>
        <v>0</v>
      </c>
      <c r="AH145" s="86">
        <f>IF(NFI_Expiration=1,IF($A145&lt;VLOOKUP(P$5,NFI,5,0),1,0)*Data_NFI_t[[#This Row],[Blanket]],0)</f>
        <v>0</v>
      </c>
      <c r="AI145" s="86">
        <f>IF(NFI_Expiration=1,IF($A145&lt;VLOOKUP(Q$5,NFI,5,0),1,0)*Data_NFI_t[[#This Row],[Kitchen Set]],0)</f>
        <v>0</v>
      </c>
      <c r="AJ145" s="86">
        <f>IF(NFI_Expiration=1,IF($A145&lt;VLOOKUP(R$5,NFI,5,0),1,0)*Data_NFI_t[[#This Row],[Complementary Kit]],0)</f>
        <v>0</v>
      </c>
      <c r="AK145" s="86">
        <f>IF(NFI_Expiration=1,IF($A145&lt;VLOOKUP(S$5,NFI,5,0),1,0)*Data_NFI_t[[#This Row],[Plastic Bucket]],0)</f>
        <v>0</v>
      </c>
      <c r="AL145" s="105">
        <f>IF(NFI_Expiration=1,IF($A145&lt;VLOOKUP(T$5,NFI,5,0),1,0)*Data_NFI_t[[#This Row],[Jerry Can]],0)</f>
        <v>0</v>
      </c>
      <c r="AM145" s="734">
        <f>IF(NFI_Expiration=1,IF($A145&lt;VLOOKUP(U$5,NFI,5,0),1,0)*Data_NFI_t[[#This Row],[Plastic Mat]],0)</f>
        <v>0</v>
      </c>
      <c r="AN145" s="734">
        <f>IF(NFI_Expiration=1,IF($A145&lt;VLOOKUP(V$5,NFI,5,0),1,0)*Data_NFI_t[[#This Row],[Adult Clothes]],0)</f>
        <v>0</v>
      </c>
      <c r="AO145" s="105">
        <f>IF(NFI_Expiration=1,IF($A145&lt;VLOOKUP(W$5,NFI,5,0),1,0)*Data_NFI_t[[#This Row],[Children Clothes]],0)</f>
        <v>0</v>
      </c>
      <c r="AP145" s="105">
        <f>IF(NFI_Expiration=1,IF($A145&lt;VLOOKUP(X$5,NFI,5,0),1,0)*Data_NFI_t[[#This Row],[Sewing Kit]],0)</f>
        <v>0</v>
      </c>
      <c r="AQ145" s="734">
        <f>IF(NFI_Expiration=1,IF($A145&lt;VLOOKUP(X$5,NFI,5,0),1,0)*Data_NFI_t[[#This Row],[Solar Lantern]],0)</f>
        <v>0</v>
      </c>
      <c r="AR145" s="105" t="str">
        <f ca="1">IFERROR(OFFSET(Camp_List[P_Code],MATCH(Data_NFI_t[[#This Row],[Camp Name]],Camp_List[Camp Name],0)-1,0,1,1),"")</f>
        <v>MMR012CMP045</v>
      </c>
      <c r="AS145" s="421" t="str">
        <f ca="1">IFERROR(OFFSET(Camp_List[Status],MATCH(Data_NFI_t[[#This Row],[Camp Name]],Camp_List[Camp Name],0)-1,0,1,1),"")</f>
        <v>Open</v>
      </c>
      <c r="AT145" s="105"/>
    </row>
    <row r="146" spans="1:46" s="78" customFormat="1" ht="19.5" customHeight="1" x14ac:dyDescent="0.25">
      <c r="A146" s="208">
        <f t="shared" si="2"/>
        <v>26.4</v>
      </c>
      <c r="B146" s="208">
        <v>2016</v>
      </c>
      <c r="C146" s="744">
        <v>42398</v>
      </c>
      <c r="D146" s="402" t="s">
        <v>270</v>
      </c>
      <c r="E146" s="401" t="s">
        <v>270</v>
      </c>
      <c r="F146" s="402" t="s">
        <v>7</v>
      </c>
      <c r="G146" s="670" t="s">
        <v>17</v>
      </c>
      <c r="H146" s="670" t="s">
        <v>25</v>
      </c>
      <c r="I146" s="670"/>
      <c r="J146" s="670"/>
      <c r="K146" s="670"/>
      <c r="L146" s="42"/>
      <c r="M146" s="42"/>
      <c r="N146" s="42">
        <v>6</v>
      </c>
      <c r="O146" s="42">
        <v>3</v>
      </c>
      <c r="P146" s="42">
        <v>6</v>
      </c>
      <c r="Q146" s="42">
        <v>3</v>
      </c>
      <c r="R146" s="42"/>
      <c r="S146" s="42">
        <v>3</v>
      </c>
      <c r="T146" s="419">
        <v>3</v>
      </c>
      <c r="U146" s="42">
        <v>15</v>
      </c>
      <c r="V146" s="42"/>
      <c r="W146" s="42"/>
      <c r="X146" s="42"/>
      <c r="Y146" s="42"/>
      <c r="Z146" s="42"/>
      <c r="AA146" s="42"/>
      <c r="AB146" s="42"/>
      <c r="AC146" s="105">
        <f>IF(NFI_Expiration=1,IF($A146&lt;VLOOKUP(I$5,NFI,5,0),1,0)*Data_NFI_t[[#This Row],[Hygiene Kit]],0)</f>
        <v>0</v>
      </c>
      <c r="AD146" s="105">
        <f>IF(NFI_Expiration=1,IF($A146&lt;VLOOKUP(L$5,NFI,5,0),1,0)*Data_NFI_t[[#This Row],[NFI Core Kit]],0)</f>
        <v>0</v>
      </c>
      <c r="AE146" s="86">
        <f>IF(NFI_Expiration=1,IF($A146&lt;VLOOKUP(M$5,NFI,5,0),1,0)*Data_NFI_t[[#This Row],[Sanitary Kit]],0)</f>
        <v>0</v>
      </c>
      <c r="AF146" s="86">
        <f>IF(NFI_Expiration=1,IF($A146&lt;VLOOKUP(N$5,NFI,5,0),1,0)*Data_NFI_t[[#This Row],[Mosquito net]],0)</f>
        <v>0</v>
      </c>
      <c r="AG146" s="86">
        <f>IF(NFI_Expiration=1,IF($A146&lt;VLOOKUP(O$5,NFI,5,0),1,0)*Data_NFI_t[[#This Row],[Tarpaulin]],0)</f>
        <v>0</v>
      </c>
      <c r="AH146" s="86">
        <f>IF(NFI_Expiration=1,IF($A146&lt;VLOOKUP(P$5,NFI,5,0),1,0)*Data_NFI_t[[#This Row],[Blanket]],0)</f>
        <v>0</v>
      </c>
      <c r="AI146" s="86">
        <f>IF(NFI_Expiration=1,IF($A146&lt;VLOOKUP(Q$5,NFI,5,0),1,0)*Data_NFI_t[[#This Row],[Kitchen Set]],0)</f>
        <v>0</v>
      </c>
      <c r="AJ146" s="86">
        <f>IF(NFI_Expiration=1,IF($A146&lt;VLOOKUP(R$5,NFI,5,0),1,0)*Data_NFI_t[[#This Row],[Complementary Kit]],0)</f>
        <v>0</v>
      </c>
      <c r="AK146" s="86">
        <f>IF(NFI_Expiration=1,IF($A146&lt;VLOOKUP(S$5,NFI,5,0),1,0)*Data_NFI_t[[#This Row],[Plastic Bucket]],0)</f>
        <v>0</v>
      </c>
      <c r="AL146" s="105">
        <f>IF(NFI_Expiration=1,IF($A146&lt;VLOOKUP(T$5,NFI,5,0),1,0)*Data_NFI_t[[#This Row],[Jerry Can]],0)</f>
        <v>0</v>
      </c>
      <c r="AM146" s="734">
        <f>IF(NFI_Expiration=1,IF($A146&lt;VLOOKUP(U$5,NFI,5,0),1,0)*Data_NFI_t[[#This Row],[Plastic Mat]],0)</f>
        <v>0</v>
      </c>
      <c r="AN146" s="734">
        <f>IF(NFI_Expiration=1,IF($A146&lt;VLOOKUP(V$5,NFI,5,0),1,0)*Data_NFI_t[[#This Row],[Adult Clothes]],0)</f>
        <v>0</v>
      </c>
      <c r="AO146" s="105">
        <f>IF(NFI_Expiration=1,IF($A146&lt;VLOOKUP(W$5,NFI,5,0),1,0)*Data_NFI_t[[#This Row],[Children Clothes]],0)</f>
        <v>0</v>
      </c>
      <c r="AP146" s="105">
        <f>IF(NFI_Expiration=1,IF($A146&lt;VLOOKUP(X$5,NFI,5,0),1,0)*Data_NFI_t[[#This Row],[Sewing Kit]],0)</f>
        <v>0</v>
      </c>
      <c r="AQ146" s="734">
        <f>IF(NFI_Expiration=1,IF($A146&lt;VLOOKUP(X$5,NFI,5,0),1,0)*Data_NFI_t[[#This Row],[Solar Lantern]],0)</f>
        <v>0</v>
      </c>
      <c r="AR146" s="105" t="str">
        <f ca="1">IFERROR(OFFSET(Camp_List[P_Code],MATCH(Data_NFI_t[[#This Row],[Camp Name]],Camp_List[Camp Name],0)-1,0,1,1),"")</f>
        <v>MMR012CMP003</v>
      </c>
      <c r="AS146" s="421" t="str">
        <f ca="1">IFERROR(OFFSET(Camp_List[Status],MATCH(Data_NFI_t[[#This Row],[Camp Name]],Camp_List[Camp Name],0)-1,0,1,1),"")</f>
        <v>Returned</v>
      </c>
      <c r="AT146" s="105"/>
    </row>
    <row r="147" spans="1:46" s="78" customFormat="1" ht="19.5" customHeight="1" x14ac:dyDescent="0.25">
      <c r="A147" s="208">
        <f t="shared" si="2"/>
        <v>26.466666666666665</v>
      </c>
      <c r="B147" s="208">
        <v>2016</v>
      </c>
      <c r="C147" s="744">
        <v>42396</v>
      </c>
      <c r="D147" s="402" t="s">
        <v>658</v>
      </c>
      <c r="E147" s="401" t="s">
        <v>658</v>
      </c>
      <c r="F147" s="402" t="s">
        <v>7</v>
      </c>
      <c r="G147" s="670" t="s">
        <v>817</v>
      </c>
      <c r="H147" s="670" t="s">
        <v>35</v>
      </c>
      <c r="I147" s="670"/>
      <c r="J147" s="670"/>
      <c r="K147" s="670"/>
      <c r="L147" s="42"/>
      <c r="M147" s="42"/>
      <c r="N147" s="42">
        <v>42</v>
      </c>
      <c r="O147" s="42">
        <v>42</v>
      </c>
      <c r="P147" s="42"/>
      <c r="Q147" s="42">
        <v>42</v>
      </c>
      <c r="R147" s="42"/>
      <c r="S147" s="42"/>
      <c r="T147" s="419">
        <v>42</v>
      </c>
      <c r="U147" s="42"/>
      <c r="V147" s="42"/>
      <c r="W147" s="42"/>
      <c r="X147" s="42"/>
      <c r="Y147" s="42"/>
      <c r="Z147" s="42"/>
      <c r="AA147" s="42"/>
      <c r="AB147" s="42"/>
      <c r="AC147" s="105">
        <f>IF(NFI_Expiration=1,IF($A147&lt;VLOOKUP(I$5,NFI,5,0),1,0)*Data_NFI_t[[#This Row],[Hygiene Kit]],0)</f>
        <v>0</v>
      </c>
      <c r="AD147" s="105">
        <f>IF(NFI_Expiration=1,IF($A147&lt;VLOOKUP(L$5,NFI,5,0),1,0)*Data_NFI_t[[#This Row],[NFI Core Kit]],0)</f>
        <v>0</v>
      </c>
      <c r="AE147" s="86">
        <f>IF(NFI_Expiration=1,IF($A147&lt;VLOOKUP(M$5,NFI,5,0),1,0)*Data_NFI_t[[#This Row],[Sanitary Kit]],0)</f>
        <v>0</v>
      </c>
      <c r="AF147" s="86">
        <f>IF(NFI_Expiration=1,IF($A147&lt;VLOOKUP(N$5,NFI,5,0),1,0)*Data_NFI_t[[#This Row],[Mosquito net]],0)</f>
        <v>0</v>
      </c>
      <c r="AG147" s="86">
        <f>IF(NFI_Expiration=1,IF($A147&lt;VLOOKUP(O$5,NFI,5,0),1,0)*Data_NFI_t[[#This Row],[Tarpaulin]],0)</f>
        <v>0</v>
      </c>
      <c r="AH147" s="86">
        <f>IF(NFI_Expiration=1,IF($A147&lt;VLOOKUP(P$5,NFI,5,0),1,0)*Data_NFI_t[[#This Row],[Blanket]],0)</f>
        <v>0</v>
      </c>
      <c r="AI147" s="86">
        <f>IF(NFI_Expiration=1,IF($A147&lt;VLOOKUP(Q$5,NFI,5,0),1,0)*Data_NFI_t[[#This Row],[Kitchen Set]],0)</f>
        <v>0</v>
      </c>
      <c r="AJ147" s="86">
        <f>IF(NFI_Expiration=1,IF($A147&lt;VLOOKUP(R$5,NFI,5,0),1,0)*Data_NFI_t[[#This Row],[Complementary Kit]],0)</f>
        <v>0</v>
      </c>
      <c r="AK147" s="86">
        <f>IF(NFI_Expiration=1,IF($A147&lt;VLOOKUP(S$5,NFI,5,0),1,0)*Data_NFI_t[[#This Row],[Plastic Bucket]],0)</f>
        <v>0</v>
      </c>
      <c r="AL147" s="105">
        <f>IF(NFI_Expiration=1,IF($A147&lt;VLOOKUP(T$5,NFI,5,0),1,0)*Data_NFI_t[[#This Row],[Jerry Can]],0)</f>
        <v>0</v>
      </c>
      <c r="AM147" s="734">
        <f>IF(NFI_Expiration=1,IF($A147&lt;VLOOKUP(U$5,NFI,5,0),1,0)*Data_NFI_t[[#This Row],[Plastic Mat]],0)</f>
        <v>0</v>
      </c>
      <c r="AN147" s="734">
        <f>IF(NFI_Expiration=1,IF($A147&lt;VLOOKUP(V$5,NFI,5,0),1,0)*Data_NFI_t[[#This Row],[Adult Clothes]],0)</f>
        <v>0</v>
      </c>
      <c r="AO147" s="105">
        <f>IF(NFI_Expiration=1,IF($A147&lt;VLOOKUP(W$5,NFI,5,0),1,0)*Data_NFI_t[[#This Row],[Children Clothes]],0)</f>
        <v>0</v>
      </c>
      <c r="AP147" s="105">
        <f>IF(NFI_Expiration=1,IF($A147&lt;VLOOKUP(X$5,NFI,5,0),1,0)*Data_NFI_t[[#This Row],[Sewing Kit]],0)</f>
        <v>0</v>
      </c>
      <c r="AQ147" s="734">
        <f>IF(NFI_Expiration=1,IF($A147&lt;VLOOKUP(X$5,NFI,5,0),1,0)*Data_NFI_t[[#This Row],[Solar Lantern]],0)</f>
        <v>0</v>
      </c>
      <c r="AR147" s="105" t="str">
        <f ca="1">IFERROR(OFFSET(Camp_List[P_Code],MATCH(Data_NFI_t[[#This Row],[Camp Name]],Camp_List[Camp Name],0)-1,0,1,1),"")</f>
        <v>MMR012CMP013</v>
      </c>
      <c r="AS147" s="421" t="str">
        <f ca="1">IFERROR(OFFSET(Camp_List[Status],MATCH(Data_NFI_t[[#This Row],[Camp Name]],Camp_List[Camp Name],0)-1,0,1,1),"")</f>
        <v>Relocated</v>
      </c>
      <c r="AT147" s="105"/>
    </row>
    <row r="148" spans="1:46" s="78" customFormat="1" ht="19.5" customHeight="1" x14ac:dyDescent="0.25">
      <c r="A148" s="208">
        <f t="shared" si="2"/>
        <v>26.466666666666665</v>
      </c>
      <c r="B148" s="208">
        <v>2016</v>
      </c>
      <c r="C148" s="744">
        <v>42396</v>
      </c>
      <c r="D148" s="402" t="s">
        <v>658</v>
      </c>
      <c r="E148" s="401" t="s">
        <v>658</v>
      </c>
      <c r="F148" s="402" t="s">
        <v>7</v>
      </c>
      <c r="G148" s="670" t="s">
        <v>817</v>
      </c>
      <c r="H148" s="670" t="s">
        <v>36</v>
      </c>
      <c r="I148" s="670"/>
      <c r="J148" s="670"/>
      <c r="K148" s="670"/>
      <c r="L148" s="42"/>
      <c r="M148" s="42"/>
      <c r="N148" s="42">
        <v>682</v>
      </c>
      <c r="O148" s="42">
        <v>682</v>
      </c>
      <c r="P148" s="42"/>
      <c r="Q148" s="42">
        <v>682</v>
      </c>
      <c r="R148" s="42"/>
      <c r="S148" s="42"/>
      <c r="T148" s="419">
        <v>682</v>
      </c>
      <c r="U148" s="42"/>
      <c r="V148" s="42"/>
      <c r="W148" s="42"/>
      <c r="X148" s="42"/>
      <c r="Y148" s="42"/>
      <c r="Z148" s="42"/>
      <c r="AA148" s="42"/>
      <c r="AB148" s="42"/>
      <c r="AC148" s="105">
        <f>IF(NFI_Expiration=1,IF($A148&lt;VLOOKUP(I$5,NFI,5,0),1,0)*Data_NFI_t[[#This Row],[Hygiene Kit]],0)</f>
        <v>0</v>
      </c>
      <c r="AD148" s="105">
        <f>IF(NFI_Expiration=1,IF($A148&lt;VLOOKUP(L$5,NFI,5,0),1,0)*Data_NFI_t[[#This Row],[NFI Core Kit]],0)</f>
        <v>0</v>
      </c>
      <c r="AE148" s="86">
        <f>IF(NFI_Expiration=1,IF($A148&lt;VLOOKUP(M$5,NFI,5,0),1,0)*Data_NFI_t[[#This Row],[Sanitary Kit]],0)</f>
        <v>0</v>
      </c>
      <c r="AF148" s="86">
        <f>IF(NFI_Expiration=1,IF($A148&lt;VLOOKUP(N$5,NFI,5,0),1,0)*Data_NFI_t[[#This Row],[Mosquito net]],0)</f>
        <v>0</v>
      </c>
      <c r="AG148" s="86">
        <f>IF(NFI_Expiration=1,IF($A148&lt;VLOOKUP(O$5,NFI,5,0),1,0)*Data_NFI_t[[#This Row],[Tarpaulin]],0)</f>
        <v>0</v>
      </c>
      <c r="AH148" s="86">
        <f>IF(NFI_Expiration=1,IF($A148&lt;VLOOKUP(P$5,NFI,5,0),1,0)*Data_NFI_t[[#This Row],[Blanket]],0)</f>
        <v>0</v>
      </c>
      <c r="AI148" s="86">
        <f>IF(NFI_Expiration=1,IF($A148&lt;VLOOKUP(Q$5,NFI,5,0),1,0)*Data_NFI_t[[#This Row],[Kitchen Set]],0)</f>
        <v>0</v>
      </c>
      <c r="AJ148" s="86">
        <f>IF(NFI_Expiration=1,IF($A148&lt;VLOOKUP(R$5,NFI,5,0),1,0)*Data_NFI_t[[#This Row],[Complementary Kit]],0)</f>
        <v>0</v>
      </c>
      <c r="AK148" s="86">
        <f>IF(NFI_Expiration=1,IF($A148&lt;VLOOKUP(S$5,NFI,5,0),1,0)*Data_NFI_t[[#This Row],[Plastic Bucket]],0)</f>
        <v>0</v>
      </c>
      <c r="AL148" s="105">
        <f>IF(NFI_Expiration=1,IF($A148&lt;VLOOKUP(T$5,NFI,5,0),1,0)*Data_NFI_t[[#This Row],[Jerry Can]],0)</f>
        <v>0</v>
      </c>
      <c r="AM148" s="734">
        <f>IF(NFI_Expiration=1,IF($A148&lt;VLOOKUP(U$5,NFI,5,0),1,0)*Data_NFI_t[[#This Row],[Plastic Mat]],0)</f>
        <v>0</v>
      </c>
      <c r="AN148" s="734">
        <f>IF(NFI_Expiration=1,IF($A148&lt;VLOOKUP(V$5,NFI,5,0),1,0)*Data_NFI_t[[#This Row],[Adult Clothes]],0)</f>
        <v>0</v>
      </c>
      <c r="AO148" s="105">
        <f>IF(NFI_Expiration=1,IF($A148&lt;VLOOKUP(W$5,NFI,5,0),1,0)*Data_NFI_t[[#This Row],[Children Clothes]],0)</f>
        <v>0</v>
      </c>
      <c r="AP148" s="105">
        <f>IF(NFI_Expiration=1,IF($A148&lt;VLOOKUP(X$5,NFI,5,0),1,0)*Data_NFI_t[[#This Row],[Sewing Kit]],0)</f>
        <v>0</v>
      </c>
      <c r="AQ148" s="734">
        <f>IF(NFI_Expiration=1,IF($A148&lt;VLOOKUP(X$5,NFI,5,0),1,0)*Data_NFI_t[[#This Row],[Solar Lantern]],0)</f>
        <v>0</v>
      </c>
      <c r="AR148" s="105" t="str">
        <f ca="1">IFERROR(OFFSET(Camp_List[P_Code],MATCH(Data_NFI_t[[#This Row],[Camp Name]],Camp_List[Camp Name],0)-1,0,1,1),"")</f>
        <v>MMR012CMP014</v>
      </c>
      <c r="AS148" s="421" t="str">
        <f ca="1">IFERROR(OFFSET(Camp_List[Status],MATCH(Data_NFI_t[[#This Row],[Camp Name]],Camp_List[Camp Name],0)-1,0,1,1),"")</f>
        <v>Open</v>
      </c>
      <c r="AT148" s="105"/>
    </row>
    <row r="149" spans="1:46" s="78" customFormat="1" ht="19.5" customHeight="1" x14ac:dyDescent="0.25">
      <c r="A149" s="208">
        <f t="shared" si="2"/>
        <v>26.633333333333333</v>
      </c>
      <c r="B149" s="208">
        <v>2016</v>
      </c>
      <c r="C149" s="744">
        <v>42391</v>
      </c>
      <c r="D149" s="402" t="s">
        <v>270</v>
      </c>
      <c r="E149" s="401" t="s">
        <v>270</v>
      </c>
      <c r="F149" s="402" t="s">
        <v>7</v>
      </c>
      <c r="G149" s="670" t="s">
        <v>17</v>
      </c>
      <c r="H149" s="670" t="s">
        <v>45</v>
      </c>
      <c r="I149" s="670"/>
      <c r="J149" s="670"/>
      <c r="K149" s="670"/>
      <c r="L149" s="42">
        <v>85</v>
      </c>
      <c r="M149" s="42"/>
      <c r="N149" s="42">
        <v>170</v>
      </c>
      <c r="O149" s="42">
        <v>85</v>
      </c>
      <c r="P149" s="42">
        <v>85</v>
      </c>
      <c r="Q149" s="42">
        <v>85</v>
      </c>
      <c r="R149" s="42"/>
      <c r="S149" s="42">
        <v>85</v>
      </c>
      <c r="T149" s="419">
        <v>85</v>
      </c>
      <c r="U149" s="42">
        <v>425</v>
      </c>
      <c r="V149" s="42"/>
      <c r="W149" s="42"/>
      <c r="X149" s="42"/>
      <c r="Y149" s="42"/>
      <c r="Z149" s="42"/>
      <c r="AA149" s="42"/>
      <c r="AB149" s="42"/>
      <c r="AC149" s="105">
        <f>IF(NFI_Expiration=1,IF($A149&lt;VLOOKUP(I$5,NFI,5,0),1,0)*Data_NFI_t[[#This Row],[Hygiene Kit]],0)</f>
        <v>0</v>
      </c>
      <c r="AD149" s="105">
        <f>IF(NFI_Expiration=1,IF($A149&lt;VLOOKUP(L$5,NFI,5,0),1,0)*Data_NFI_t[[#This Row],[NFI Core Kit]],0)</f>
        <v>0</v>
      </c>
      <c r="AE149" s="86">
        <f>IF(NFI_Expiration=1,IF($A149&lt;VLOOKUP(M$5,NFI,5,0),1,0)*Data_NFI_t[[#This Row],[Sanitary Kit]],0)</f>
        <v>0</v>
      </c>
      <c r="AF149" s="86">
        <f>IF(NFI_Expiration=1,IF($A149&lt;VLOOKUP(N$5,NFI,5,0),1,0)*Data_NFI_t[[#This Row],[Mosquito net]],0)</f>
        <v>0</v>
      </c>
      <c r="AG149" s="86">
        <f>IF(NFI_Expiration=1,IF($A149&lt;VLOOKUP(O$5,NFI,5,0),1,0)*Data_NFI_t[[#This Row],[Tarpaulin]],0)</f>
        <v>0</v>
      </c>
      <c r="AH149" s="86">
        <f>IF(NFI_Expiration=1,IF($A149&lt;VLOOKUP(P$5,NFI,5,0),1,0)*Data_NFI_t[[#This Row],[Blanket]],0)</f>
        <v>0</v>
      </c>
      <c r="AI149" s="86">
        <f>IF(NFI_Expiration=1,IF($A149&lt;VLOOKUP(Q$5,NFI,5,0),1,0)*Data_NFI_t[[#This Row],[Kitchen Set]],0)</f>
        <v>0</v>
      </c>
      <c r="AJ149" s="86">
        <f>IF(NFI_Expiration=1,IF($A149&lt;VLOOKUP(R$5,NFI,5,0),1,0)*Data_NFI_t[[#This Row],[Complementary Kit]],0)</f>
        <v>0</v>
      </c>
      <c r="AK149" s="86">
        <f>IF(NFI_Expiration=1,IF($A149&lt;VLOOKUP(S$5,NFI,5,0),1,0)*Data_NFI_t[[#This Row],[Plastic Bucket]],0)</f>
        <v>0</v>
      </c>
      <c r="AL149" s="105">
        <f>IF(NFI_Expiration=1,IF($A149&lt;VLOOKUP(T$5,NFI,5,0),1,0)*Data_NFI_t[[#This Row],[Jerry Can]],0)</f>
        <v>0</v>
      </c>
      <c r="AM149" s="734">
        <f>IF(NFI_Expiration=1,IF($A149&lt;VLOOKUP(U$5,NFI,5,0),1,0)*Data_NFI_t[[#This Row],[Plastic Mat]],0)</f>
        <v>0</v>
      </c>
      <c r="AN149" s="734">
        <f>IF(NFI_Expiration=1,IF($A149&lt;VLOOKUP(V$5,NFI,5,0),1,0)*Data_NFI_t[[#This Row],[Adult Clothes]],0)</f>
        <v>0</v>
      </c>
      <c r="AO149" s="105">
        <f>IF(NFI_Expiration=1,IF($A149&lt;VLOOKUP(W$5,NFI,5,0),1,0)*Data_NFI_t[[#This Row],[Children Clothes]],0)</f>
        <v>0</v>
      </c>
      <c r="AP149" s="105">
        <f>IF(NFI_Expiration=1,IF($A149&lt;VLOOKUP(X$5,NFI,5,0),1,0)*Data_NFI_t[[#This Row],[Sewing Kit]],0)</f>
        <v>0</v>
      </c>
      <c r="AQ149" s="734">
        <f>IF(NFI_Expiration=1,IF($A149&lt;VLOOKUP(X$5,NFI,5,0),1,0)*Data_NFI_t[[#This Row],[Solar Lantern]],0)</f>
        <v>0</v>
      </c>
      <c r="AR149" s="105" t="str">
        <f ca="1">IFERROR(OFFSET(Camp_List[P_Code],MATCH(Data_NFI_t[[#This Row],[Camp Name]],Camp_List[Camp Name],0)-1,0,1,1),"")</f>
        <v>MMR012CMP023</v>
      </c>
      <c r="AS149" s="421" t="str">
        <f ca="1">IFERROR(OFFSET(Camp_List[Status],MATCH(Data_NFI_t[[#This Row],[Camp Name]],Camp_List[Camp Name],0)-1,0,1,1),"")</f>
        <v>Open</v>
      </c>
      <c r="AT149" s="105"/>
    </row>
    <row r="150" spans="1:46" s="78" customFormat="1" ht="19.5" customHeight="1" x14ac:dyDescent="0.25">
      <c r="A150" s="208">
        <f t="shared" si="2"/>
        <v>28.1</v>
      </c>
      <c r="B150" s="208">
        <v>2015</v>
      </c>
      <c r="C150" s="744">
        <v>42347</v>
      </c>
      <c r="D150" s="402" t="s">
        <v>279</v>
      </c>
      <c r="E150" s="401" t="s">
        <v>575</v>
      </c>
      <c r="F150" s="402" t="s">
        <v>7</v>
      </c>
      <c r="G150" s="670" t="s">
        <v>17</v>
      </c>
      <c r="H150" s="670" t="s">
        <v>62</v>
      </c>
      <c r="I150" s="670"/>
      <c r="J150" s="670"/>
      <c r="K150" s="670"/>
      <c r="L150" s="42"/>
      <c r="M150" s="42"/>
      <c r="N150" s="42"/>
      <c r="O150" s="42"/>
      <c r="P150" s="42">
        <v>1598</v>
      </c>
      <c r="Q150" s="42"/>
      <c r="R150" s="42"/>
      <c r="S150" s="42"/>
      <c r="T150" s="419"/>
      <c r="U150" s="42"/>
      <c r="V150" s="42"/>
      <c r="W150" s="42"/>
      <c r="X150" s="42"/>
      <c r="Y150" s="42"/>
      <c r="Z150" s="42"/>
      <c r="AA150" s="42"/>
      <c r="AB150" s="42"/>
      <c r="AC150" s="105">
        <f>IF(NFI_Expiration=1,IF($A150&lt;VLOOKUP(I$5,NFI,5,0),1,0)*Data_NFI_t[[#This Row],[Hygiene Kit]],0)</f>
        <v>0</v>
      </c>
      <c r="AD150" s="105">
        <f>IF(NFI_Expiration=1,IF($A150&lt;VLOOKUP(L$5,NFI,5,0),1,0)*Data_NFI_t[[#This Row],[NFI Core Kit]],0)</f>
        <v>0</v>
      </c>
      <c r="AE150" s="86">
        <f>IF(NFI_Expiration=1,IF($A150&lt;VLOOKUP(M$5,NFI,5,0),1,0)*Data_NFI_t[[#This Row],[Sanitary Kit]],0)</f>
        <v>0</v>
      </c>
      <c r="AF150" s="86">
        <f>IF(NFI_Expiration=1,IF($A150&lt;VLOOKUP(N$5,NFI,5,0),1,0)*Data_NFI_t[[#This Row],[Mosquito net]],0)</f>
        <v>0</v>
      </c>
      <c r="AG150" s="86">
        <f>IF(NFI_Expiration=1,IF($A150&lt;VLOOKUP(O$5,NFI,5,0),1,0)*Data_NFI_t[[#This Row],[Tarpaulin]],0)</f>
        <v>0</v>
      </c>
      <c r="AH150" s="86">
        <f>IF(NFI_Expiration=1,IF($A150&lt;VLOOKUP(P$5,NFI,5,0),1,0)*Data_NFI_t[[#This Row],[Blanket]],0)</f>
        <v>0</v>
      </c>
      <c r="AI150" s="86">
        <f>IF(NFI_Expiration=1,IF($A150&lt;VLOOKUP(Q$5,NFI,5,0),1,0)*Data_NFI_t[[#This Row],[Kitchen Set]],0)</f>
        <v>0</v>
      </c>
      <c r="AJ150" s="86">
        <f>IF(NFI_Expiration=1,IF($A150&lt;VLOOKUP(R$5,NFI,5,0),1,0)*Data_NFI_t[[#This Row],[Complementary Kit]],0)</f>
        <v>0</v>
      </c>
      <c r="AK150" s="86">
        <f>IF(NFI_Expiration=1,IF($A150&lt;VLOOKUP(S$5,NFI,5,0),1,0)*Data_NFI_t[[#This Row],[Plastic Bucket]],0)</f>
        <v>0</v>
      </c>
      <c r="AL150" s="86">
        <f>IF(NFI_Expiration=1,IF($A150&lt;VLOOKUP(T$5,NFI,5,0),1,0)*Data_NFI_t[[#This Row],[Jerry Can]],0)</f>
        <v>0</v>
      </c>
      <c r="AM150" s="105">
        <f>IF(NFI_Expiration=1,IF($A150&lt;VLOOKUP(U$5,NFI,5,0),1,0)*Data_NFI_t[[#This Row],[Plastic Mat]],0)*IF(Data_NFI_t[[#This Row],[Distribution Date]]&gt;"01-06-2015",1,2.5)</f>
        <v>0</v>
      </c>
      <c r="AN150" s="734">
        <f>IF(NFI_Expiration=1,IF($A150&lt;VLOOKUP(V$5,NFI,5,0),1,0)*Data_NFI_t[[#This Row],[Adult Clothes]],0)</f>
        <v>0</v>
      </c>
      <c r="AO150" s="105">
        <f>IF(NFI_Expiration=1,IF($A150&lt;VLOOKUP(W$5,NFI,5,0),1,0)*Data_NFI_t[[#This Row],[Children Clothes]],0)</f>
        <v>0</v>
      </c>
      <c r="AP150" s="105">
        <f>IF(NFI_Expiration=1,IF($A150&lt;VLOOKUP(X$5,NFI,5,0),1,0)*Data_NFI_t[[#This Row],[Sewing Kit]],0)</f>
        <v>0</v>
      </c>
      <c r="AQ150" s="734">
        <f>IF(NFI_Expiration=1,IF($A150&lt;VLOOKUP(X$5,NFI,5,0),1,0)*Data_NFI_t[[#This Row],[Solar Lantern]],0)</f>
        <v>0</v>
      </c>
      <c r="AR150" s="105" t="str">
        <f ca="1">IFERROR(OFFSET(Camp_List[P_Code],MATCH(Data_NFI_t[[#This Row],[Camp Name]],Camp_List[Camp Name],0)-1,0,1,1),"")</f>
        <v>MMR012CMP042</v>
      </c>
      <c r="AS150" s="421" t="str">
        <f ca="1">IFERROR(OFFSET(Camp_List[Status],MATCH(Data_NFI_t[[#This Row],[Camp Name]],Camp_List[Camp Name],0)-1,0,1,1),"")</f>
        <v>Open</v>
      </c>
      <c r="AT150" s="105"/>
    </row>
    <row r="151" spans="1:46" s="78" customFormat="1" ht="19.5" customHeight="1" x14ac:dyDescent="0.25">
      <c r="A151" s="208">
        <f t="shared" si="2"/>
        <v>28.633333333333333</v>
      </c>
      <c r="B151" s="208">
        <v>2015</v>
      </c>
      <c r="C151" s="744">
        <v>42331</v>
      </c>
      <c r="D151" s="402" t="s">
        <v>575</v>
      </c>
      <c r="E151" s="401" t="s">
        <v>575</v>
      </c>
      <c r="F151" s="402" t="s">
        <v>7</v>
      </c>
      <c r="G151" s="670" t="s">
        <v>13</v>
      </c>
      <c r="H151" s="670" t="s">
        <v>38</v>
      </c>
      <c r="I151" s="670"/>
      <c r="J151" s="670"/>
      <c r="K151" s="670"/>
      <c r="L151" s="42">
        <v>986</v>
      </c>
      <c r="M151" s="42"/>
      <c r="N151" s="42">
        <v>1972</v>
      </c>
      <c r="O151" s="42">
        <v>986</v>
      </c>
      <c r="P151" s="42">
        <v>1972</v>
      </c>
      <c r="Q151" s="42">
        <v>986</v>
      </c>
      <c r="R151" s="42"/>
      <c r="S151" s="42">
        <v>968</v>
      </c>
      <c r="T151" s="419">
        <v>986</v>
      </c>
      <c r="U151" s="42">
        <v>4930</v>
      </c>
      <c r="V151" s="42"/>
      <c r="W151" s="42"/>
      <c r="X151" s="42"/>
      <c r="Y151" s="42"/>
      <c r="Z151" s="42"/>
      <c r="AA151" s="42"/>
      <c r="AB151" s="42"/>
      <c r="AC151" s="105">
        <f>IF(NFI_Expiration=1,IF($A151&lt;VLOOKUP(I$5,NFI,5,0),1,0)*Data_NFI_t[[#This Row],[Hygiene Kit]],0)</f>
        <v>0</v>
      </c>
      <c r="AD151" s="105">
        <f>IF(NFI_Expiration=1,IF($A151&lt;VLOOKUP(L$5,NFI,5,0),1,0)*Data_NFI_t[[#This Row],[NFI Core Kit]],0)</f>
        <v>0</v>
      </c>
      <c r="AE151" s="86">
        <f>IF(NFI_Expiration=1,IF($A151&lt;VLOOKUP(M$5,NFI,5,0),1,0)*Data_NFI_t[[#This Row],[Sanitary Kit]],0)</f>
        <v>0</v>
      </c>
      <c r="AF151" s="86">
        <f>IF(NFI_Expiration=1,IF($A151&lt;VLOOKUP(N$5,NFI,5,0),1,0)*Data_NFI_t[[#This Row],[Mosquito net]],0)</f>
        <v>0</v>
      </c>
      <c r="AG151" s="86">
        <f>IF(NFI_Expiration=1,IF($A151&lt;VLOOKUP(O$5,NFI,5,0),1,0)*Data_NFI_t[[#This Row],[Tarpaulin]],0)</f>
        <v>0</v>
      </c>
      <c r="AH151" s="86">
        <f>IF(NFI_Expiration=1,IF($A151&lt;VLOOKUP(P$5,NFI,5,0),1,0)*Data_NFI_t[[#This Row],[Blanket]],0)</f>
        <v>0</v>
      </c>
      <c r="AI151" s="86">
        <f>IF(NFI_Expiration=1,IF($A151&lt;VLOOKUP(Q$5,NFI,5,0),1,0)*Data_NFI_t[[#This Row],[Kitchen Set]],0)</f>
        <v>0</v>
      </c>
      <c r="AJ151" s="86">
        <f>IF(NFI_Expiration=1,IF($A151&lt;VLOOKUP(R$5,NFI,5,0),1,0)*Data_NFI_t[[#This Row],[Complementary Kit]],0)</f>
        <v>0</v>
      </c>
      <c r="AK151" s="86">
        <f>IF(NFI_Expiration=1,IF($A151&lt;VLOOKUP(S$5,NFI,5,0),1,0)*Data_NFI_t[[#This Row],[Plastic Bucket]],0)</f>
        <v>0</v>
      </c>
      <c r="AL151" s="86">
        <f>IF(NFI_Expiration=1,IF($A151&lt;VLOOKUP(T$5,NFI,5,0),1,0)*Data_NFI_t[[#This Row],[Jerry Can]],0)</f>
        <v>0</v>
      </c>
      <c r="AM151" s="105">
        <f>IF(NFI_Expiration=1,IF($A151&lt;VLOOKUP(U$5,NFI,5,0),1,0)*Data_NFI_t[[#This Row],[Plastic Mat]],0)*IF(Data_NFI_t[[#This Row],[Distribution Date]]&gt;"01-06-2015",1,2.5)</f>
        <v>0</v>
      </c>
      <c r="AN151" s="734">
        <f>IF(NFI_Expiration=1,IF($A151&lt;VLOOKUP(V$5,NFI,5,0),1,0)*Data_NFI_t[[#This Row],[Adult Clothes]],0)</f>
        <v>0</v>
      </c>
      <c r="AO151" s="105">
        <f>IF(NFI_Expiration=1,IF($A151&lt;VLOOKUP(W$5,NFI,5,0),1,0)*Data_NFI_t[[#This Row],[Children Clothes]],0)</f>
        <v>0</v>
      </c>
      <c r="AP151" s="105">
        <f>IF(NFI_Expiration=1,IF($A151&lt;VLOOKUP(X$5,NFI,5,0),1,0)*Data_NFI_t[[#This Row],[Sewing Kit]],0)</f>
        <v>0</v>
      </c>
      <c r="AQ151" s="734">
        <f>IF(NFI_Expiration=1,IF($A151&lt;VLOOKUP(X$5,NFI,5,0),1,0)*Data_NFI_t[[#This Row],[Solar Lantern]],0)</f>
        <v>0</v>
      </c>
      <c r="AR151" s="105" t="str">
        <f ca="1">IFERROR(OFFSET(Camp_List[P_Code],MATCH(Data_NFI_t[[#This Row],[Camp Name]],Camp_List[Camp Name],0)-1,0,1,1),"")</f>
        <v>MMR012CMP016</v>
      </c>
      <c r="AS151" s="421" t="str">
        <f ca="1">IFERROR(OFFSET(Camp_List[Status],MATCH(Data_NFI_t[[#This Row],[Camp Name]],Camp_List[Camp Name],0)-1,0,1,1),"")</f>
        <v>Open</v>
      </c>
      <c r="AT151" s="105"/>
    </row>
    <row r="152" spans="1:46" s="78" customFormat="1" ht="19.5" customHeight="1" x14ac:dyDescent="0.25">
      <c r="A152" s="208">
        <f t="shared" si="2"/>
        <v>28.766666666666666</v>
      </c>
      <c r="B152" s="208">
        <v>2015</v>
      </c>
      <c r="C152" s="744">
        <v>42327</v>
      </c>
      <c r="D152" s="402" t="s">
        <v>880</v>
      </c>
      <c r="E152" s="401" t="s">
        <v>575</v>
      </c>
      <c r="F152" s="402" t="s">
        <v>7</v>
      </c>
      <c r="G152" s="670" t="s">
        <v>13</v>
      </c>
      <c r="H152" s="670" t="s">
        <v>39</v>
      </c>
      <c r="I152" s="670"/>
      <c r="J152" s="670"/>
      <c r="K152" s="670"/>
      <c r="L152" s="42"/>
      <c r="M152" s="42"/>
      <c r="N152" s="42">
        <v>1563</v>
      </c>
      <c r="O152" s="42"/>
      <c r="P152" s="42"/>
      <c r="Q152" s="42"/>
      <c r="R152" s="42"/>
      <c r="S152" s="42"/>
      <c r="T152" s="419"/>
      <c r="U152" s="42"/>
      <c r="V152" s="42"/>
      <c r="W152" s="42"/>
      <c r="X152" s="42"/>
      <c r="Y152" s="42"/>
      <c r="Z152" s="42"/>
      <c r="AA152" s="42"/>
      <c r="AB152" s="42"/>
      <c r="AC152" s="105">
        <f>IF(NFI_Expiration=1,IF($A152&lt;VLOOKUP(I$5,NFI,5,0),1,0)*Data_NFI_t[[#This Row],[Hygiene Kit]],0)</f>
        <v>0</v>
      </c>
      <c r="AD152" s="105">
        <f>IF(NFI_Expiration=1,IF($A152&lt;VLOOKUP(L$5,NFI,5,0),1,0)*Data_NFI_t[[#This Row],[NFI Core Kit]],0)</f>
        <v>0</v>
      </c>
      <c r="AE152" s="86">
        <f>IF(NFI_Expiration=1,IF($A152&lt;VLOOKUP(M$5,NFI,5,0),1,0)*Data_NFI_t[[#This Row],[Sanitary Kit]],0)</f>
        <v>0</v>
      </c>
      <c r="AF152" s="86">
        <f>IF(NFI_Expiration=1,IF($A152&lt;VLOOKUP(N$5,NFI,5,0),1,0)*Data_NFI_t[[#This Row],[Mosquito net]],0)</f>
        <v>0</v>
      </c>
      <c r="AG152" s="86">
        <f>IF(NFI_Expiration=1,IF($A152&lt;VLOOKUP(O$5,NFI,5,0),1,0)*Data_NFI_t[[#This Row],[Tarpaulin]],0)</f>
        <v>0</v>
      </c>
      <c r="AH152" s="86">
        <f>IF(NFI_Expiration=1,IF($A152&lt;VLOOKUP(P$5,NFI,5,0),1,0)*Data_NFI_t[[#This Row],[Blanket]],0)</f>
        <v>0</v>
      </c>
      <c r="AI152" s="86">
        <f>IF(NFI_Expiration=1,IF($A152&lt;VLOOKUP(Q$5,NFI,5,0),1,0)*Data_NFI_t[[#This Row],[Kitchen Set]],0)</f>
        <v>0</v>
      </c>
      <c r="AJ152" s="86">
        <f>IF(NFI_Expiration=1,IF($A152&lt;VLOOKUP(R$5,NFI,5,0),1,0)*Data_NFI_t[[#This Row],[Complementary Kit]],0)</f>
        <v>0</v>
      </c>
      <c r="AK152" s="86">
        <f>IF(NFI_Expiration=1,IF($A152&lt;VLOOKUP(S$5,NFI,5,0),1,0)*Data_NFI_t[[#This Row],[Plastic Bucket]],0)</f>
        <v>0</v>
      </c>
      <c r="AL152" s="86">
        <f>IF(NFI_Expiration=1,IF($A152&lt;VLOOKUP(T$5,NFI,5,0),1,0)*Data_NFI_t[[#This Row],[Jerry Can]],0)</f>
        <v>0</v>
      </c>
      <c r="AM152" s="105">
        <f>IF(NFI_Expiration=1,IF($A152&lt;VLOOKUP(U$5,NFI,5,0),1,0)*Data_NFI_t[[#This Row],[Plastic Mat]],0)*IF(Data_NFI_t[[#This Row],[Distribution Date]]&gt;"01-06-2015",1,2.5)</f>
        <v>0</v>
      </c>
      <c r="AN152" s="734">
        <f>IF(NFI_Expiration=1,IF($A152&lt;VLOOKUP(V$5,NFI,5,0),1,0)*Data_NFI_t[[#This Row],[Adult Clothes]],0)</f>
        <v>0</v>
      </c>
      <c r="AO152" s="105">
        <f>IF(NFI_Expiration=1,IF($A152&lt;VLOOKUP(W$5,NFI,5,0),1,0)*Data_NFI_t[[#This Row],[Children Clothes]],0)</f>
        <v>0</v>
      </c>
      <c r="AP152" s="105">
        <f>IF(NFI_Expiration=1,IF($A152&lt;VLOOKUP(X$5,NFI,5,0),1,0)*Data_NFI_t[[#This Row],[Sewing Kit]],0)</f>
        <v>0</v>
      </c>
      <c r="AQ152" s="734">
        <f>IF(NFI_Expiration=1,IF($A152&lt;VLOOKUP(X$5,NFI,5,0),1,0)*Data_NFI_t[[#This Row],[Solar Lantern]],0)</f>
        <v>0</v>
      </c>
      <c r="AR152" s="105" t="str">
        <f ca="1">IFERROR(OFFSET(Camp_List[P_Code],MATCH(Data_NFI_t[[#This Row],[Camp Name]],Camp_List[Camp Name],0)-1,0,1,1),"")</f>
        <v/>
      </c>
      <c r="AS152" s="421" t="str">
        <f ca="1">IFERROR(OFFSET(Camp_List[Status],MATCH(Data_NFI_t[[#This Row],[Camp Name]],Camp_List[Camp Name],0)-1,0,1,1),"")</f>
        <v/>
      </c>
      <c r="AT152" s="105"/>
    </row>
    <row r="153" spans="1:46" s="78" customFormat="1" ht="19.5" customHeight="1" x14ac:dyDescent="0.25">
      <c r="A153" s="208">
        <f t="shared" si="2"/>
        <v>28.8</v>
      </c>
      <c r="B153" s="208">
        <v>2015</v>
      </c>
      <c r="C153" s="744">
        <v>42326</v>
      </c>
      <c r="D153" s="402" t="s">
        <v>575</v>
      </c>
      <c r="E153" s="401" t="s">
        <v>575</v>
      </c>
      <c r="F153" s="402" t="s">
        <v>7</v>
      </c>
      <c r="G153" s="670" t="s">
        <v>13</v>
      </c>
      <c r="H153" s="670" t="s">
        <v>37</v>
      </c>
      <c r="I153" s="670"/>
      <c r="J153" s="670"/>
      <c r="K153" s="670"/>
      <c r="L153" s="42">
        <v>21</v>
      </c>
      <c r="M153" s="42"/>
      <c r="N153" s="42">
        <v>42</v>
      </c>
      <c r="O153" s="42">
        <v>21</v>
      </c>
      <c r="P153" s="42">
        <v>42</v>
      </c>
      <c r="Q153" s="42">
        <v>21</v>
      </c>
      <c r="R153" s="42"/>
      <c r="S153" s="42">
        <v>21</v>
      </c>
      <c r="T153" s="419">
        <v>21</v>
      </c>
      <c r="U153" s="42">
        <v>105</v>
      </c>
      <c r="V153" s="42"/>
      <c r="W153" s="42"/>
      <c r="X153" s="42"/>
      <c r="Y153" s="42"/>
      <c r="Z153" s="42"/>
      <c r="AA153" s="42"/>
      <c r="AB153" s="42"/>
      <c r="AC153" s="105">
        <f>IF(NFI_Expiration=1,IF($A153&lt;VLOOKUP(I$5,NFI,5,0),1,0)*Data_NFI_t[[#This Row],[Hygiene Kit]],0)</f>
        <v>0</v>
      </c>
      <c r="AD153" s="105">
        <f>IF(NFI_Expiration=1,IF($A153&lt;VLOOKUP(L$5,NFI,5,0),1,0)*Data_NFI_t[[#This Row],[NFI Core Kit]],0)</f>
        <v>0</v>
      </c>
      <c r="AE153" s="86">
        <f>IF(NFI_Expiration=1,IF($A153&lt;VLOOKUP(M$5,NFI,5,0),1,0)*Data_NFI_t[[#This Row],[Sanitary Kit]],0)</f>
        <v>0</v>
      </c>
      <c r="AF153" s="86">
        <f>IF(NFI_Expiration=1,IF($A153&lt;VLOOKUP(N$5,NFI,5,0),1,0)*Data_NFI_t[[#This Row],[Mosquito net]],0)</f>
        <v>0</v>
      </c>
      <c r="AG153" s="86">
        <f>IF(NFI_Expiration=1,IF($A153&lt;VLOOKUP(O$5,NFI,5,0),1,0)*Data_NFI_t[[#This Row],[Tarpaulin]],0)</f>
        <v>0</v>
      </c>
      <c r="AH153" s="86">
        <f>IF(NFI_Expiration=1,IF($A153&lt;VLOOKUP(P$5,NFI,5,0),1,0)*Data_NFI_t[[#This Row],[Blanket]],0)</f>
        <v>0</v>
      </c>
      <c r="AI153" s="86">
        <f>IF(NFI_Expiration=1,IF($A153&lt;VLOOKUP(Q$5,NFI,5,0),1,0)*Data_NFI_t[[#This Row],[Kitchen Set]],0)</f>
        <v>0</v>
      </c>
      <c r="AJ153" s="86">
        <f>IF(NFI_Expiration=1,IF($A153&lt;VLOOKUP(R$5,NFI,5,0),1,0)*Data_NFI_t[[#This Row],[Complementary Kit]],0)</f>
        <v>0</v>
      </c>
      <c r="AK153" s="86">
        <f>IF(NFI_Expiration=1,IF($A153&lt;VLOOKUP(S$5,NFI,5,0),1,0)*Data_NFI_t[[#This Row],[Plastic Bucket]],0)</f>
        <v>0</v>
      </c>
      <c r="AL153" s="86">
        <f>IF(NFI_Expiration=1,IF($A153&lt;VLOOKUP(T$5,NFI,5,0),1,0)*Data_NFI_t[[#This Row],[Jerry Can]],0)</f>
        <v>0</v>
      </c>
      <c r="AM153" s="105">
        <f>IF(NFI_Expiration=1,IF($A153&lt;VLOOKUP(U$5,NFI,5,0),1,0)*Data_NFI_t[[#This Row],[Plastic Mat]],0)*IF(Data_NFI_t[[#This Row],[Distribution Date]]&gt;"01-06-2015",1,2.5)</f>
        <v>0</v>
      </c>
      <c r="AN153" s="734">
        <f>IF(NFI_Expiration=1,IF($A153&lt;VLOOKUP(V$5,NFI,5,0),1,0)*Data_NFI_t[[#This Row],[Adult Clothes]],0)</f>
        <v>0</v>
      </c>
      <c r="AO153" s="105">
        <f>IF(NFI_Expiration=1,IF($A153&lt;VLOOKUP(W$5,NFI,5,0),1,0)*Data_NFI_t[[#This Row],[Children Clothes]],0)</f>
        <v>0</v>
      </c>
      <c r="AP153" s="105">
        <f>IF(NFI_Expiration=1,IF($A153&lt;VLOOKUP(X$5,NFI,5,0),1,0)*Data_NFI_t[[#This Row],[Sewing Kit]],0)</f>
        <v>0</v>
      </c>
      <c r="AQ153" s="734">
        <f>IF(NFI_Expiration=1,IF($A153&lt;VLOOKUP(X$5,NFI,5,0),1,0)*Data_NFI_t[[#This Row],[Solar Lantern]],0)</f>
        <v>0</v>
      </c>
      <c r="AR153" s="105" t="str">
        <f ca="1">IFERROR(OFFSET(Camp_List[P_Code],MATCH(Data_NFI_t[[#This Row],[Camp Name]],Camp_List[Camp Name],0)-1,0,1,1),"")</f>
        <v>MMR012CMP015</v>
      </c>
      <c r="AS153" s="421" t="str">
        <f ca="1">IFERROR(OFFSET(Camp_List[Status],MATCH(Data_NFI_t[[#This Row],[Camp Name]],Camp_List[Camp Name],0)-1,0,1,1),"")</f>
        <v>Relocated</v>
      </c>
      <c r="AT153" s="105"/>
    </row>
    <row r="154" spans="1:46" s="78" customFormat="1" ht="19.5" customHeight="1" x14ac:dyDescent="0.25">
      <c r="A154" s="208">
        <f t="shared" si="2"/>
        <v>29.3</v>
      </c>
      <c r="B154" s="208">
        <v>2015</v>
      </c>
      <c r="C154" s="744">
        <v>42311</v>
      </c>
      <c r="D154" s="402" t="s">
        <v>270</v>
      </c>
      <c r="E154" s="401" t="s">
        <v>882</v>
      </c>
      <c r="F154" s="402" t="s">
        <v>7</v>
      </c>
      <c r="G154" s="670" t="s">
        <v>15</v>
      </c>
      <c r="H154" s="670" t="s">
        <v>55</v>
      </c>
      <c r="I154" s="670">
        <v>0</v>
      </c>
      <c r="J154" s="670"/>
      <c r="K154" s="670"/>
      <c r="L154" s="42">
        <v>0</v>
      </c>
      <c r="M154" s="42">
        <v>0</v>
      </c>
      <c r="N154" s="42">
        <v>0</v>
      </c>
      <c r="O154" s="42">
        <v>7</v>
      </c>
      <c r="P154" s="42">
        <v>0</v>
      </c>
      <c r="Q154" s="42">
        <v>0</v>
      </c>
      <c r="R154" s="42">
        <v>0</v>
      </c>
      <c r="S154" s="42">
        <v>0</v>
      </c>
      <c r="T154" s="419">
        <v>0</v>
      </c>
      <c r="U154" s="42">
        <v>0</v>
      </c>
      <c r="V154" s="42"/>
      <c r="W154" s="42"/>
      <c r="X154" s="42"/>
      <c r="Y154" s="42"/>
      <c r="Z154" s="42"/>
      <c r="AA154" s="42"/>
      <c r="AB154" s="42"/>
      <c r="AC154" s="105">
        <f>IF(NFI_Expiration=1,IF($A154&lt;VLOOKUP(I$5,NFI,5,0),1,0)*Data_NFI_t[[#This Row],[Hygiene Kit]],0)</f>
        <v>0</v>
      </c>
      <c r="AD154" s="105">
        <f>IF(NFI_Expiration=1,IF($A154&lt;VLOOKUP(L$5,NFI,5,0),1,0)*Data_NFI_t[[#This Row],[NFI Core Kit]],0)</f>
        <v>0</v>
      </c>
      <c r="AE154" s="86">
        <f>IF(NFI_Expiration=1,IF($A154&lt;VLOOKUP(M$5,NFI,5,0),1,0)*Data_NFI_t[[#This Row],[Sanitary Kit]],0)</f>
        <v>0</v>
      </c>
      <c r="AF154" s="86">
        <f>IF(NFI_Expiration=1,IF($A154&lt;VLOOKUP(N$5,NFI,5,0),1,0)*Data_NFI_t[[#This Row],[Mosquito net]],0)</f>
        <v>0</v>
      </c>
      <c r="AG154" s="86">
        <f>IF(NFI_Expiration=1,IF($A154&lt;VLOOKUP(O$5,NFI,5,0),1,0)*Data_NFI_t[[#This Row],[Tarpaulin]],0)</f>
        <v>0</v>
      </c>
      <c r="AH154" s="86">
        <f>IF(NFI_Expiration=1,IF($A154&lt;VLOOKUP(P$5,NFI,5,0),1,0)*Data_NFI_t[[#This Row],[Blanket]],0)</f>
        <v>0</v>
      </c>
      <c r="AI154" s="86">
        <f>IF(NFI_Expiration=1,IF($A154&lt;VLOOKUP(Q$5,NFI,5,0),1,0)*Data_NFI_t[[#This Row],[Kitchen Set]],0)</f>
        <v>0</v>
      </c>
      <c r="AJ154" s="86">
        <f>IF(NFI_Expiration=1,IF($A154&lt;VLOOKUP(R$5,NFI,5,0),1,0)*Data_NFI_t[[#This Row],[Complementary Kit]],0)</f>
        <v>0</v>
      </c>
      <c r="AK154" s="86">
        <f>IF(NFI_Expiration=1,IF($A154&lt;VLOOKUP(S$5,NFI,5,0),1,0)*Data_NFI_t[[#This Row],[Plastic Bucket]],0)</f>
        <v>0</v>
      </c>
      <c r="AL154" s="86">
        <f>IF(NFI_Expiration=1,IF($A154&lt;VLOOKUP(T$5,NFI,5,0),1,0)*Data_NFI_t[[#This Row],[Jerry Can]],0)</f>
        <v>0</v>
      </c>
      <c r="AM154" s="105">
        <f>IF(NFI_Expiration=1,IF($A154&lt;VLOOKUP(U$5,NFI,5,0),1,0)*Data_NFI_t[[#This Row],[Plastic Mat]],0)*IF(Data_NFI_t[[#This Row],[Distribution Date]]&gt;"01-06-2015",1,2.5)</f>
        <v>0</v>
      </c>
      <c r="AN154" s="734">
        <f>IF(NFI_Expiration=1,IF($A154&lt;VLOOKUP(V$5,NFI,5,0),1,0)*Data_NFI_t[[#This Row],[Adult Clothes]],0)</f>
        <v>0</v>
      </c>
      <c r="AO154" s="105">
        <f>IF(NFI_Expiration=1,IF($A154&lt;VLOOKUP(W$5,NFI,5,0),1,0)*Data_NFI_t[[#This Row],[Children Clothes]],0)</f>
        <v>0</v>
      </c>
      <c r="AP154" s="105">
        <f>IF(NFI_Expiration=1,IF($A154&lt;VLOOKUP(X$5,NFI,5,0),1,0)*Data_NFI_t[[#This Row],[Sewing Kit]],0)</f>
        <v>0</v>
      </c>
      <c r="AQ154" s="734">
        <f>IF(NFI_Expiration=1,IF($A154&lt;VLOOKUP(X$5,NFI,5,0),1,0)*Data_NFI_t[[#This Row],[Solar Lantern]],0)</f>
        <v>0</v>
      </c>
      <c r="AR154" s="105" t="str">
        <f ca="1">IFERROR(OFFSET(Camp_List[P_Code],MATCH(Data_NFI_t[[#This Row],[Camp Name]],Camp_List[Camp Name],0)-1,0,1,1),"")</f>
        <v/>
      </c>
      <c r="AS154" s="421" t="str">
        <f ca="1">IFERROR(OFFSET(Camp_List[Status],MATCH(Data_NFI_t[[#This Row],[Camp Name]],Camp_List[Camp Name],0)-1,0,1,1),"")</f>
        <v/>
      </c>
      <c r="AT154" s="105"/>
    </row>
    <row r="155" spans="1:46" s="78" customFormat="1" ht="19.5" customHeight="1" x14ac:dyDescent="0.25">
      <c r="A155" s="208">
        <f t="shared" si="2"/>
        <v>29.533333333333335</v>
      </c>
      <c r="B155" s="208">
        <v>2015</v>
      </c>
      <c r="C155" s="744">
        <v>42304</v>
      </c>
      <c r="D155" s="402" t="s">
        <v>270</v>
      </c>
      <c r="E155" s="401" t="s">
        <v>882</v>
      </c>
      <c r="F155" s="402" t="s">
        <v>7</v>
      </c>
      <c r="G155" s="670" t="s">
        <v>15</v>
      </c>
      <c r="H155" s="670" t="s">
        <v>54</v>
      </c>
      <c r="I155" s="670">
        <v>0</v>
      </c>
      <c r="J155" s="670"/>
      <c r="K155" s="670"/>
      <c r="L155" s="42">
        <v>0</v>
      </c>
      <c r="M155" s="42">
        <v>0</v>
      </c>
      <c r="N155" s="42">
        <v>0</v>
      </c>
      <c r="O155" s="42">
        <v>5</v>
      </c>
      <c r="P155" s="42">
        <v>0</v>
      </c>
      <c r="Q155" s="42">
        <v>0</v>
      </c>
      <c r="R155" s="42">
        <v>0</v>
      </c>
      <c r="S155" s="42">
        <v>0</v>
      </c>
      <c r="T155" s="419">
        <v>0</v>
      </c>
      <c r="U155" s="42">
        <v>0</v>
      </c>
      <c r="V155" s="42"/>
      <c r="W155" s="42"/>
      <c r="X155" s="42"/>
      <c r="Y155" s="42"/>
      <c r="Z155" s="42"/>
      <c r="AA155" s="42"/>
      <c r="AB155" s="42"/>
      <c r="AC155" s="105">
        <f>IF(NFI_Expiration=1,IF($A155&lt;VLOOKUP(I$5,NFI,5,0),1,0)*Data_NFI_t[[#This Row],[Hygiene Kit]],0)</f>
        <v>0</v>
      </c>
      <c r="AD155" s="105">
        <f>IF(NFI_Expiration=1,IF($A155&lt;VLOOKUP(L$5,NFI,5,0),1,0)*Data_NFI_t[[#This Row],[NFI Core Kit]],0)</f>
        <v>0</v>
      </c>
      <c r="AE155" s="86">
        <f>IF(NFI_Expiration=1,IF($A155&lt;VLOOKUP(M$5,NFI,5,0),1,0)*Data_NFI_t[[#This Row],[Sanitary Kit]],0)</f>
        <v>0</v>
      </c>
      <c r="AF155" s="86">
        <f>IF(NFI_Expiration=1,IF($A155&lt;VLOOKUP(N$5,NFI,5,0),1,0)*Data_NFI_t[[#This Row],[Mosquito net]],0)</f>
        <v>0</v>
      </c>
      <c r="AG155" s="86">
        <f>IF(NFI_Expiration=1,IF($A155&lt;VLOOKUP(O$5,NFI,5,0),1,0)*Data_NFI_t[[#This Row],[Tarpaulin]],0)</f>
        <v>0</v>
      </c>
      <c r="AH155" s="86">
        <f>IF(NFI_Expiration=1,IF($A155&lt;VLOOKUP(P$5,NFI,5,0),1,0)*Data_NFI_t[[#This Row],[Blanket]],0)</f>
        <v>0</v>
      </c>
      <c r="AI155" s="86">
        <f>IF(NFI_Expiration=1,IF($A155&lt;VLOOKUP(Q$5,NFI,5,0),1,0)*Data_NFI_t[[#This Row],[Kitchen Set]],0)</f>
        <v>0</v>
      </c>
      <c r="AJ155" s="86">
        <f>IF(NFI_Expiration=1,IF($A155&lt;VLOOKUP(R$5,NFI,5,0),1,0)*Data_NFI_t[[#This Row],[Complementary Kit]],0)</f>
        <v>0</v>
      </c>
      <c r="AK155" s="86">
        <f>IF(NFI_Expiration=1,IF($A155&lt;VLOOKUP(S$5,NFI,5,0),1,0)*Data_NFI_t[[#This Row],[Plastic Bucket]],0)</f>
        <v>0</v>
      </c>
      <c r="AL155" s="86">
        <f>IF(NFI_Expiration=1,IF($A155&lt;VLOOKUP(T$5,NFI,5,0),1,0)*Data_NFI_t[[#This Row],[Jerry Can]],0)</f>
        <v>0</v>
      </c>
      <c r="AM155" s="105">
        <f>IF(NFI_Expiration=1,IF($A155&lt;VLOOKUP(U$5,NFI,5,0),1,0)*Data_NFI_t[[#This Row],[Plastic Mat]],0)*IF(Data_NFI_t[[#This Row],[Distribution Date]]&gt;"01-06-2015",1,2.5)</f>
        <v>0</v>
      </c>
      <c r="AN155" s="734">
        <f>IF(NFI_Expiration=1,IF($A155&lt;VLOOKUP(V$5,NFI,5,0),1,0)*Data_NFI_t[[#This Row],[Adult Clothes]],0)</f>
        <v>0</v>
      </c>
      <c r="AO155" s="105">
        <f>IF(NFI_Expiration=1,IF($A155&lt;VLOOKUP(W$5,NFI,5,0),1,0)*Data_NFI_t[[#This Row],[Children Clothes]],0)</f>
        <v>0</v>
      </c>
      <c r="AP155" s="105">
        <f>IF(NFI_Expiration=1,IF($A155&lt;VLOOKUP(X$5,NFI,5,0),1,0)*Data_NFI_t[[#This Row],[Sewing Kit]],0)</f>
        <v>0</v>
      </c>
      <c r="AQ155" s="734">
        <f>IF(NFI_Expiration=1,IF($A155&lt;VLOOKUP(X$5,NFI,5,0),1,0)*Data_NFI_t[[#This Row],[Solar Lantern]],0)</f>
        <v>0</v>
      </c>
      <c r="AR155" s="105" t="str">
        <f ca="1">IFERROR(OFFSET(Camp_List[P_Code],MATCH(Data_NFI_t[[#This Row],[Camp Name]],Camp_List[Camp Name],0)-1,0,1,1),"")</f>
        <v>MMR012CMP032</v>
      </c>
      <c r="AS155" s="421" t="str">
        <f ca="1">IFERROR(OFFSET(Camp_List[Status],MATCH(Data_NFI_t[[#This Row],[Camp Name]],Camp_List[Camp Name],0)-1,0,1,1),"")</f>
        <v>Returned</v>
      </c>
      <c r="AT155" s="105"/>
    </row>
    <row r="156" spans="1:46" s="78" customFormat="1" ht="19.5" customHeight="1" x14ac:dyDescent="0.25">
      <c r="A156" s="208">
        <f t="shared" si="2"/>
        <v>30.166666666666668</v>
      </c>
      <c r="B156" s="208">
        <f>YEAR(Data_NFI_t[[#This Row],[Distribution Date]])</f>
        <v>2015</v>
      </c>
      <c r="C156" s="744">
        <v>42285</v>
      </c>
      <c r="D156" s="402" t="s">
        <v>270</v>
      </c>
      <c r="E156" s="401" t="s">
        <v>575</v>
      </c>
      <c r="F156" s="402" t="s">
        <v>7</v>
      </c>
      <c r="G156" s="670" t="s">
        <v>17</v>
      </c>
      <c r="H156" s="670" t="s">
        <v>62</v>
      </c>
      <c r="I156" s="670"/>
      <c r="J156" s="670"/>
      <c r="K156" s="670"/>
      <c r="L156" s="42"/>
      <c r="M156" s="42"/>
      <c r="N156" s="42">
        <v>252</v>
      </c>
      <c r="O156" s="42">
        <v>127</v>
      </c>
      <c r="P156" s="42">
        <v>252</v>
      </c>
      <c r="Q156" s="42">
        <v>127</v>
      </c>
      <c r="R156" s="42"/>
      <c r="S156" s="42">
        <v>127</v>
      </c>
      <c r="T156" s="419">
        <v>127</v>
      </c>
      <c r="U156" s="42">
        <v>635</v>
      </c>
      <c r="V156" s="42"/>
      <c r="W156" s="42"/>
      <c r="X156" s="42"/>
      <c r="Y156" s="42"/>
      <c r="Z156" s="42"/>
      <c r="AA156" s="42"/>
      <c r="AB156" s="42"/>
      <c r="AC156" s="105">
        <f>IF(NFI_Expiration=1,IF($A156&lt;VLOOKUP(I$5,NFI,5,0),1,0)*Data_NFI_t[[#This Row],[Hygiene Kit]],0)</f>
        <v>0</v>
      </c>
      <c r="AD156" s="105">
        <f>IF(NFI_Expiration=1,IF($A156&lt;VLOOKUP(L$5,NFI,5,0),1,0)*Data_NFI_t[[#This Row],[NFI Core Kit]],0)</f>
        <v>0</v>
      </c>
      <c r="AE156" s="86">
        <f>IF(NFI_Expiration=1,IF($A156&lt;VLOOKUP(M$5,NFI,5,0),1,0)*Data_NFI_t[[#This Row],[Sanitary Kit]],0)</f>
        <v>0</v>
      </c>
      <c r="AF156" s="86">
        <f>IF(NFI_Expiration=1,IF($A156&lt;VLOOKUP(N$5,NFI,5,0),1,0)*Data_NFI_t[[#This Row],[Mosquito net]],0)</f>
        <v>0</v>
      </c>
      <c r="AG156" s="86">
        <f>IF(NFI_Expiration=1,IF($A156&lt;VLOOKUP(O$5,NFI,5,0),1,0)*Data_NFI_t[[#This Row],[Tarpaulin]],0)</f>
        <v>0</v>
      </c>
      <c r="AH156" s="86">
        <f>IF(NFI_Expiration=1,IF($A156&lt;VLOOKUP(P$5,NFI,5,0),1,0)*Data_NFI_t[[#This Row],[Blanket]],0)</f>
        <v>0</v>
      </c>
      <c r="AI156" s="86">
        <f>IF(NFI_Expiration=1,IF($A156&lt;VLOOKUP(Q$5,NFI,5,0),1,0)*Data_NFI_t[[#This Row],[Kitchen Set]],0)</f>
        <v>0</v>
      </c>
      <c r="AJ156" s="86">
        <f>IF(NFI_Expiration=1,IF($A156&lt;VLOOKUP(R$5,NFI,5,0),1,0)*Data_NFI_t[[#This Row],[Complementary Kit]],0)</f>
        <v>0</v>
      </c>
      <c r="AK156" s="86">
        <f>IF(NFI_Expiration=1,IF($A156&lt;VLOOKUP(S$5,NFI,5,0),1,0)*Data_NFI_t[[#This Row],[Plastic Bucket]],0)</f>
        <v>0</v>
      </c>
      <c r="AL156" s="86">
        <f>IF(NFI_Expiration=1,IF($A156&lt;VLOOKUP(T$5,NFI,5,0),1,0)*Data_NFI_t[[#This Row],[Jerry Can]],0)</f>
        <v>0</v>
      </c>
      <c r="AM156" s="105">
        <f>IF(NFI_Expiration=1,IF($A156&lt;VLOOKUP(U$5,NFI,5,0),1,0)*Data_NFI_t[[#This Row],[Plastic Mat]],0)*IF(Data_NFI_t[[#This Row],[Distribution Date]]&gt;"01-06-2015",1,2.5)</f>
        <v>0</v>
      </c>
      <c r="AN156" s="734">
        <f>IF(NFI_Expiration=1,IF($A156&lt;VLOOKUP(V$5,NFI,5,0),1,0)*Data_NFI_t[[#This Row],[Adult Clothes]],0)</f>
        <v>0</v>
      </c>
      <c r="AO156" s="105">
        <f>IF(NFI_Expiration=1,IF($A156&lt;VLOOKUP(W$5,NFI,5,0),1,0)*Data_NFI_t[[#This Row],[Children Clothes]],0)</f>
        <v>0</v>
      </c>
      <c r="AP156" s="105">
        <f>IF(NFI_Expiration=1,IF($A156&lt;VLOOKUP(X$5,NFI,5,0),1,0)*Data_NFI_t[[#This Row],[Sewing Kit]],0)</f>
        <v>0</v>
      </c>
      <c r="AQ156" s="734">
        <f>IF(NFI_Expiration=1,IF($A156&lt;VLOOKUP(X$5,NFI,5,0),1,0)*Data_NFI_t[[#This Row],[Solar Lantern]],0)</f>
        <v>0</v>
      </c>
      <c r="AR156" s="105" t="str">
        <f ca="1">IFERROR(OFFSET(Camp_List[P_Code],MATCH(Data_NFI_t[[#This Row],[Camp Name]],Camp_List[Camp Name],0)-1,0,1,1),"")</f>
        <v>MMR012CMP042</v>
      </c>
      <c r="AS156" s="421" t="str">
        <f ca="1">IFERROR(OFFSET(Camp_List[Status],MATCH(Data_NFI_t[[#This Row],[Camp Name]],Camp_List[Camp Name],0)-1,0,1,1),"")</f>
        <v>Open</v>
      </c>
      <c r="AT156" s="105"/>
    </row>
    <row r="157" spans="1:46" s="78" customFormat="1" ht="19.5" customHeight="1" x14ac:dyDescent="0.25">
      <c r="A157" s="208">
        <f t="shared" si="2"/>
        <v>30.166666666666668</v>
      </c>
      <c r="B157" s="208">
        <f>YEAR(Data_NFI_t[[#This Row],[Distribution Date]])</f>
        <v>2015</v>
      </c>
      <c r="C157" s="744">
        <v>42285</v>
      </c>
      <c r="D157" s="402" t="s">
        <v>575</v>
      </c>
      <c r="E157" s="401" t="s">
        <v>575</v>
      </c>
      <c r="F157" s="402" t="s">
        <v>7</v>
      </c>
      <c r="G157" s="670" t="s">
        <v>17</v>
      </c>
      <c r="H157" s="670" t="s">
        <v>62</v>
      </c>
      <c r="I157" s="670"/>
      <c r="J157" s="670"/>
      <c r="K157" s="670"/>
      <c r="L157" s="42"/>
      <c r="M157" s="42"/>
      <c r="N157" s="42" t="s">
        <v>872</v>
      </c>
      <c r="O157" s="42">
        <v>1</v>
      </c>
      <c r="P157" s="42" t="s">
        <v>872</v>
      </c>
      <c r="Q157" s="42" t="s">
        <v>873</v>
      </c>
      <c r="R157" s="42"/>
      <c r="S157" s="42" t="s">
        <v>873</v>
      </c>
      <c r="T157" s="419"/>
      <c r="U157" s="42" t="s">
        <v>874</v>
      </c>
      <c r="V157" s="42"/>
      <c r="W157" s="42"/>
      <c r="X157" s="42"/>
      <c r="Y157" s="42"/>
      <c r="Z157" s="42"/>
      <c r="AA157" s="42"/>
      <c r="AB157" s="42"/>
      <c r="AC157" s="105">
        <f>IF(NFI_Expiration=1,IF($A157&lt;VLOOKUP(I$5,NFI,5,0),1,0)*Data_NFI_t[[#This Row],[Hygiene Kit]],0)</f>
        <v>0</v>
      </c>
      <c r="AD157" s="105">
        <f>IF(NFI_Expiration=1,IF($A157&lt;VLOOKUP(L$5,NFI,5,0),1,0)*Data_NFI_t[[#This Row],[NFI Core Kit]],0)</f>
        <v>0</v>
      </c>
      <c r="AE157" s="86">
        <f>IF(NFI_Expiration=1,IF($A157&lt;VLOOKUP(M$5,NFI,5,0),1,0)*Data_NFI_t[[#This Row],[Sanitary Kit]],0)</f>
        <v>0</v>
      </c>
      <c r="AF157" s="86">
        <f>IF(NFI_Expiration=1,IF($A157&lt;VLOOKUP(N$5,NFI,5,0),1,0)*Data_NFI_t[[#This Row],[Mosquito net]],0)</f>
        <v>0</v>
      </c>
      <c r="AG157" s="86">
        <f>IF(NFI_Expiration=1,IF($A157&lt;VLOOKUP(O$5,NFI,5,0),1,0)*Data_NFI_t[[#This Row],[Tarpaulin]],0)</f>
        <v>0</v>
      </c>
      <c r="AH157" s="86">
        <f>IF(NFI_Expiration=1,IF($A157&lt;VLOOKUP(P$5,NFI,5,0),1,0)*Data_NFI_t[[#This Row],[Blanket]],0)</f>
        <v>0</v>
      </c>
      <c r="AI157" s="86">
        <f>IF(NFI_Expiration=1,IF($A157&lt;VLOOKUP(Q$5,NFI,5,0),1,0)*Data_NFI_t[[#This Row],[Kitchen Set]],0)</f>
        <v>0</v>
      </c>
      <c r="AJ157" s="86">
        <f>IF(NFI_Expiration=1,IF($A157&lt;VLOOKUP(R$5,NFI,5,0),1,0)*Data_NFI_t[[#This Row],[Complementary Kit]],0)</f>
        <v>0</v>
      </c>
      <c r="AK157" s="86">
        <f>IF(NFI_Expiration=1,IF($A157&lt;VLOOKUP(S$5,NFI,5,0),1,0)*Data_NFI_t[[#This Row],[Plastic Bucket]],0)</f>
        <v>0</v>
      </c>
      <c r="AL157" s="86">
        <f>IF(NFI_Expiration=1,IF($A157&lt;VLOOKUP(T$5,NFI,5,0),1,0)*Data_NFI_t[[#This Row],[Jerry Can]],0)</f>
        <v>0</v>
      </c>
      <c r="AM157" s="105">
        <f>IF(NFI_Expiration=1,IF($A157&lt;VLOOKUP(U$5,NFI,5,0),1,0)*Data_NFI_t[[#This Row],[Plastic Mat]],0)*IF(Data_NFI_t[[#This Row],[Distribution Date]]&gt;"01-06-2015",1,2.5)</f>
        <v>0</v>
      </c>
      <c r="AN157" s="734">
        <f>IF(NFI_Expiration=1,IF($A157&lt;VLOOKUP(V$5,NFI,5,0),1,0)*Data_NFI_t[[#This Row],[Adult Clothes]],0)</f>
        <v>0</v>
      </c>
      <c r="AO157" s="105">
        <f>IF(NFI_Expiration=1,IF($A157&lt;VLOOKUP(W$5,NFI,5,0),1,0)*Data_NFI_t[[#This Row],[Children Clothes]],0)</f>
        <v>0</v>
      </c>
      <c r="AP157" s="105">
        <f>IF(NFI_Expiration=1,IF($A157&lt;VLOOKUP(X$5,NFI,5,0),1,0)*Data_NFI_t[[#This Row],[Sewing Kit]],0)</f>
        <v>0</v>
      </c>
      <c r="AQ157" s="734">
        <f>IF(NFI_Expiration=1,IF($A157&lt;VLOOKUP(X$5,NFI,5,0),1,0)*Data_NFI_t[[#This Row],[Solar Lantern]],0)</f>
        <v>0</v>
      </c>
      <c r="AR157" s="105" t="str">
        <f ca="1">IFERROR(OFFSET(Camp_List[P_Code],MATCH(Data_NFI_t[[#This Row],[Camp Name]],Camp_List[Camp Name],0)-1,0,1,1),"")</f>
        <v>MMR012CMP042</v>
      </c>
      <c r="AS157" s="421" t="str">
        <f ca="1">IFERROR(OFFSET(Camp_List[Status],MATCH(Data_NFI_t[[#This Row],[Camp Name]],Camp_List[Camp Name],0)-1,0,1,1),"")</f>
        <v>Open</v>
      </c>
      <c r="AT157" s="105"/>
    </row>
    <row r="158" spans="1:46" s="78" customFormat="1" ht="19.5" customHeight="1" x14ac:dyDescent="0.25">
      <c r="A158" s="208">
        <f t="shared" si="2"/>
        <v>30.866666666666667</v>
      </c>
      <c r="B158" s="208">
        <f>YEAR(Data_NFI_t[[#This Row],[Distribution Date]])</f>
        <v>2015</v>
      </c>
      <c r="C158" s="744">
        <v>42264</v>
      </c>
      <c r="D158" s="402" t="s">
        <v>270</v>
      </c>
      <c r="E158" s="401" t="s">
        <v>273</v>
      </c>
      <c r="F158" s="402" t="s">
        <v>7</v>
      </c>
      <c r="G158" s="670" t="s">
        <v>17</v>
      </c>
      <c r="H158" s="670" t="s">
        <v>65</v>
      </c>
      <c r="I158" s="670"/>
      <c r="J158" s="670"/>
      <c r="K158" s="670"/>
      <c r="L158" s="42"/>
      <c r="M158" s="42"/>
      <c r="N158" s="42">
        <v>730</v>
      </c>
      <c r="O158" s="42">
        <v>365</v>
      </c>
      <c r="P158" s="42">
        <v>730</v>
      </c>
      <c r="Q158" s="42">
        <v>365</v>
      </c>
      <c r="R158" s="42"/>
      <c r="S158" s="42">
        <v>365</v>
      </c>
      <c r="T158" s="419">
        <v>365</v>
      </c>
      <c r="U158" s="42">
        <v>1825</v>
      </c>
      <c r="V158" s="42"/>
      <c r="W158" s="42"/>
      <c r="X158" s="42"/>
      <c r="Y158" s="42"/>
      <c r="Z158" s="42"/>
      <c r="AA158" s="42"/>
      <c r="AB158" s="42"/>
      <c r="AC158" s="105">
        <f>IF(NFI_Expiration=1,IF($A158&lt;VLOOKUP(I$5,NFI,5,0),1,0)*Data_NFI_t[[#This Row],[Hygiene Kit]],0)</f>
        <v>0</v>
      </c>
      <c r="AD158" s="105">
        <f>IF(NFI_Expiration=1,IF($A158&lt;VLOOKUP(L$5,NFI,5,0),1,0)*Data_NFI_t[[#This Row],[NFI Core Kit]],0)</f>
        <v>0</v>
      </c>
      <c r="AE158" s="86">
        <f>IF(NFI_Expiration=1,IF($A158&lt;VLOOKUP(M$5,NFI,5,0),1,0)*Data_NFI_t[[#This Row],[Sanitary Kit]],0)</f>
        <v>0</v>
      </c>
      <c r="AF158" s="86">
        <f>IF(NFI_Expiration=1,IF($A158&lt;VLOOKUP(N$5,NFI,5,0),1,0)*Data_NFI_t[[#This Row],[Mosquito net]],0)</f>
        <v>0</v>
      </c>
      <c r="AG158" s="86">
        <f>IF(NFI_Expiration=1,IF($A158&lt;VLOOKUP(O$5,NFI,5,0),1,0)*Data_NFI_t[[#This Row],[Tarpaulin]],0)</f>
        <v>0</v>
      </c>
      <c r="AH158" s="86">
        <f>IF(NFI_Expiration=1,IF($A158&lt;VLOOKUP(P$5,NFI,5,0),1,0)*Data_NFI_t[[#This Row],[Blanket]],0)</f>
        <v>0</v>
      </c>
      <c r="AI158" s="86">
        <f>IF(NFI_Expiration=1,IF($A158&lt;VLOOKUP(Q$5,NFI,5,0),1,0)*Data_NFI_t[[#This Row],[Kitchen Set]],0)</f>
        <v>0</v>
      </c>
      <c r="AJ158" s="86">
        <f>IF(NFI_Expiration=1,IF($A158&lt;VLOOKUP(R$5,NFI,5,0),1,0)*Data_NFI_t[[#This Row],[Complementary Kit]],0)</f>
        <v>0</v>
      </c>
      <c r="AK158" s="86">
        <f>IF(NFI_Expiration=1,IF($A158&lt;VLOOKUP(S$5,NFI,5,0),1,0)*Data_NFI_t[[#This Row],[Plastic Bucket]],0)</f>
        <v>0</v>
      </c>
      <c r="AL158" s="86">
        <f>IF(NFI_Expiration=1,IF($A158&lt;VLOOKUP(T$5,NFI,5,0),1,0)*Data_NFI_t[[#This Row],[Jerry Can]],0)</f>
        <v>0</v>
      </c>
      <c r="AM158" s="105">
        <f>IF(NFI_Expiration=1,IF($A158&lt;VLOOKUP(U$5,NFI,5,0),1,0)*Data_NFI_t[[#This Row],[Plastic Mat]],0)*IF(Data_NFI_t[[#This Row],[Distribution Date]]&gt;"01-06-2015",1,2.5)</f>
        <v>0</v>
      </c>
      <c r="AN158" s="734">
        <f>IF(NFI_Expiration=1,IF($A158&lt;VLOOKUP(V$5,NFI,5,0),1,0)*Data_NFI_t[[#This Row],[Adult Clothes]],0)</f>
        <v>0</v>
      </c>
      <c r="AO158" s="105">
        <f>IF(NFI_Expiration=1,IF($A158&lt;VLOOKUP(W$5,NFI,5,0),1,0)*Data_NFI_t[[#This Row],[Children Clothes]],0)</f>
        <v>0</v>
      </c>
      <c r="AP158" s="105">
        <f>IF(NFI_Expiration=1,IF($A158&lt;VLOOKUP(X$5,NFI,5,0),1,0)*Data_NFI_t[[#This Row],[Sewing Kit]],0)</f>
        <v>0</v>
      </c>
      <c r="AQ158" s="734">
        <f>IF(NFI_Expiration=1,IF($A158&lt;VLOOKUP(X$5,NFI,5,0),1,0)*Data_NFI_t[[#This Row],[Solar Lantern]],0)</f>
        <v>0</v>
      </c>
      <c r="AR158" s="105" t="str">
        <f ca="1">IFERROR(OFFSET(Camp_List[P_Code],MATCH(Data_NFI_t[[#This Row],[Camp Name]],Camp_List[Camp Name],0)-1,0,1,1),"")</f>
        <v>MMR012CMP045</v>
      </c>
      <c r="AS158" s="421" t="str">
        <f ca="1">IFERROR(OFFSET(Camp_List[Status],MATCH(Data_NFI_t[[#This Row],[Camp Name]],Camp_List[Camp Name],0)-1,0,1,1),"")</f>
        <v>Open</v>
      </c>
      <c r="AT158" s="105"/>
    </row>
    <row r="159" spans="1:46" s="78" customFormat="1" ht="19.5" customHeight="1" x14ac:dyDescent="0.25">
      <c r="A159" s="208">
        <f t="shared" si="2"/>
        <v>30.866666666666667</v>
      </c>
      <c r="B159" s="208">
        <v>2015</v>
      </c>
      <c r="C159" s="744">
        <v>42264</v>
      </c>
      <c r="D159" s="402" t="s">
        <v>270</v>
      </c>
      <c r="E159" s="401" t="s">
        <v>882</v>
      </c>
      <c r="F159" s="402" t="s">
        <v>7</v>
      </c>
      <c r="G159" s="670" t="s">
        <v>15</v>
      </c>
      <c r="H159" s="670" t="s">
        <v>560</v>
      </c>
      <c r="I159" s="670">
        <v>0</v>
      </c>
      <c r="J159" s="670"/>
      <c r="K159" s="670"/>
      <c r="L159" s="42">
        <v>0</v>
      </c>
      <c r="M159" s="42">
        <v>0</v>
      </c>
      <c r="N159" s="42">
        <v>0</v>
      </c>
      <c r="O159" s="42">
        <v>10</v>
      </c>
      <c r="P159" s="42">
        <v>0</v>
      </c>
      <c r="Q159" s="42">
        <v>0</v>
      </c>
      <c r="R159" s="42">
        <v>0</v>
      </c>
      <c r="S159" s="42">
        <v>0</v>
      </c>
      <c r="T159" s="419">
        <v>0</v>
      </c>
      <c r="U159" s="42">
        <v>0</v>
      </c>
      <c r="V159" s="42"/>
      <c r="W159" s="42"/>
      <c r="X159" s="42"/>
      <c r="Y159" s="42"/>
      <c r="Z159" s="42"/>
      <c r="AA159" s="42"/>
      <c r="AB159" s="42"/>
      <c r="AC159" s="105">
        <f>IF(NFI_Expiration=1,IF($A159&lt;VLOOKUP(I$5,NFI,5,0),1,0)*Data_NFI_t[[#This Row],[Hygiene Kit]],0)</f>
        <v>0</v>
      </c>
      <c r="AD159" s="105">
        <f>IF(NFI_Expiration=1,IF($A159&lt;VLOOKUP(L$5,NFI,5,0),1,0)*Data_NFI_t[[#This Row],[NFI Core Kit]],0)</f>
        <v>0</v>
      </c>
      <c r="AE159" s="86">
        <f>IF(NFI_Expiration=1,IF($A159&lt;VLOOKUP(M$5,NFI,5,0),1,0)*Data_NFI_t[[#This Row],[Sanitary Kit]],0)</f>
        <v>0</v>
      </c>
      <c r="AF159" s="86">
        <f>IF(NFI_Expiration=1,IF($A159&lt;VLOOKUP(N$5,NFI,5,0),1,0)*Data_NFI_t[[#This Row],[Mosquito net]],0)</f>
        <v>0</v>
      </c>
      <c r="AG159" s="86">
        <f>IF(NFI_Expiration=1,IF($A159&lt;VLOOKUP(O$5,NFI,5,0),1,0)*Data_NFI_t[[#This Row],[Tarpaulin]],0)</f>
        <v>0</v>
      </c>
      <c r="AH159" s="86">
        <f>IF(NFI_Expiration=1,IF($A159&lt;VLOOKUP(P$5,NFI,5,0),1,0)*Data_NFI_t[[#This Row],[Blanket]],0)</f>
        <v>0</v>
      </c>
      <c r="AI159" s="86">
        <f>IF(NFI_Expiration=1,IF($A159&lt;VLOOKUP(Q$5,NFI,5,0),1,0)*Data_NFI_t[[#This Row],[Kitchen Set]],0)</f>
        <v>0</v>
      </c>
      <c r="AJ159" s="86">
        <f>IF(NFI_Expiration=1,IF($A159&lt;VLOOKUP(R$5,NFI,5,0),1,0)*Data_NFI_t[[#This Row],[Complementary Kit]],0)</f>
        <v>0</v>
      </c>
      <c r="AK159" s="86">
        <f>IF(NFI_Expiration=1,IF($A159&lt;VLOOKUP(S$5,NFI,5,0),1,0)*Data_NFI_t[[#This Row],[Plastic Bucket]],0)</f>
        <v>0</v>
      </c>
      <c r="AL159" s="86">
        <f>IF(NFI_Expiration=1,IF($A159&lt;VLOOKUP(T$5,NFI,5,0),1,0)*Data_NFI_t[[#This Row],[Jerry Can]],0)</f>
        <v>0</v>
      </c>
      <c r="AM159" s="105">
        <f>IF(NFI_Expiration=1,IF($A159&lt;VLOOKUP(U$5,NFI,5,0),1,0)*Data_NFI_t[[#This Row],[Plastic Mat]],0)*IF(Data_NFI_t[[#This Row],[Distribution Date]]&gt;"01-06-2015",1,2.5)</f>
        <v>0</v>
      </c>
      <c r="AN159" s="734">
        <f>IF(NFI_Expiration=1,IF($A159&lt;VLOOKUP(V$5,NFI,5,0),1,0)*Data_NFI_t[[#This Row],[Adult Clothes]],0)</f>
        <v>0</v>
      </c>
      <c r="AO159" s="105">
        <f>IF(NFI_Expiration=1,IF($A159&lt;VLOOKUP(W$5,NFI,5,0),1,0)*Data_NFI_t[[#This Row],[Children Clothes]],0)</f>
        <v>0</v>
      </c>
      <c r="AP159" s="105">
        <f>IF(NFI_Expiration=1,IF($A159&lt;VLOOKUP(X$5,NFI,5,0),1,0)*Data_NFI_t[[#This Row],[Sewing Kit]],0)</f>
        <v>0</v>
      </c>
      <c r="AQ159" s="734">
        <f>IF(NFI_Expiration=1,IF($A159&lt;VLOOKUP(X$5,NFI,5,0),1,0)*Data_NFI_t[[#This Row],[Solar Lantern]],0)</f>
        <v>0</v>
      </c>
      <c r="AR159" s="105" t="str">
        <f ca="1">IFERROR(OFFSET(Camp_List[P_Code],MATCH(Data_NFI_t[[#This Row],[Camp Name]],Camp_List[Camp Name],0)-1,0,1,1),"")</f>
        <v/>
      </c>
      <c r="AS159" s="421" t="str">
        <f ca="1">IFERROR(OFFSET(Camp_List[Status],MATCH(Data_NFI_t[[#This Row],[Camp Name]],Camp_List[Camp Name],0)-1,0,1,1),"")</f>
        <v/>
      </c>
      <c r="AT159" s="105"/>
    </row>
    <row r="160" spans="1:46" s="78" customFormat="1" ht="19.5" customHeight="1" x14ac:dyDescent="0.25">
      <c r="A160" s="208">
        <f t="shared" si="2"/>
        <v>32.06666666666667</v>
      </c>
      <c r="B160" s="208">
        <f>YEAR(Data_NFI_t[[#This Row],[Distribution Date]])</f>
        <v>2015</v>
      </c>
      <c r="C160" s="744">
        <v>42228</v>
      </c>
      <c r="D160" s="402" t="s">
        <v>270</v>
      </c>
      <c r="E160" s="401" t="s">
        <v>273</v>
      </c>
      <c r="F160" s="402" t="s">
        <v>7</v>
      </c>
      <c r="G160" s="670" t="s">
        <v>17</v>
      </c>
      <c r="H160" s="670" t="s">
        <v>65</v>
      </c>
      <c r="I160" s="670"/>
      <c r="J160" s="670"/>
      <c r="K160" s="670"/>
      <c r="L160" s="42">
        <v>273</v>
      </c>
      <c r="M160" s="42"/>
      <c r="N160" s="42">
        <v>546</v>
      </c>
      <c r="O160" s="42">
        <v>273</v>
      </c>
      <c r="P160" s="42">
        <v>546</v>
      </c>
      <c r="Q160" s="42">
        <v>273</v>
      </c>
      <c r="R160" s="42"/>
      <c r="S160" s="42">
        <v>273</v>
      </c>
      <c r="T160" s="419">
        <v>273</v>
      </c>
      <c r="U160" s="42">
        <v>1365</v>
      </c>
      <c r="V160" s="42"/>
      <c r="W160" s="42"/>
      <c r="X160" s="42"/>
      <c r="Y160" s="42"/>
      <c r="Z160" s="42"/>
      <c r="AA160" s="42"/>
      <c r="AB160" s="42"/>
      <c r="AC160" s="105">
        <f>IF(NFI_Expiration=1,IF($A160&lt;VLOOKUP(I$5,NFI,5,0),1,0)*Data_NFI_t[[#This Row],[Hygiene Kit]],0)</f>
        <v>0</v>
      </c>
      <c r="AD160" s="105">
        <f>IF(NFI_Expiration=1,IF($A160&lt;VLOOKUP(L$5,NFI,5,0),1,0)*Data_NFI_t[[#This Row],[NFI Core Kit]],0)</f>
        <v>0</v>
      </c>
      <c r="AE160" s="86">
        <f>IF(NFI_Expiration=1,IF($A160&lt;VLOOKUP(M$5,NFI,5,0),1,0)*Data_NFI_t[[#This Row],[Sanitary Kit]],0)</f>
        <v>0</v>
      </c>
      <c r="AF160" s="86">
        <f>IF(NFI_Expiration=1,IF($A160&lt;VLOOKUP(N$5,NFI,5,0),1,0)*Data_NFI_t[[#This Row],[Mosquito net]],0)</f>
        <v>0</v>
      </c>
      <c r="AG160" s="86">
        <f>IF(NFI_Expiration=1,IF($A160&lt;VLOOKUP(O$5,NFI,5,0),1,0)*Data_NFI_t[[#This Row],[Tarpaulin]],0)</f>
        <v>0</v>
      </c>
      <c r="AH160" s="86">
        <f>IF(NFI_Expiration=1,IF($A160&lt;VLOOKUP(P$5,NFI,5,0),1,0)*Data_NFI_t[[#This Row],[Blanket]],0)</f>
        <v>0</v>
      </c>
      <c r="AI160" s="86">
        <f>IF(NFI_Expiration=1,IF($A160&lt;VLOOKUP(Q$5,NFI,5,0),1,0)*Data_NFI_t[[#This Row],[Kitchen Set]],0)</f>
        <v>0</v>
      </c>
      <c r="AJ160" s="86">
        <f>IF(NFI_Expiration=1,IF($A160&lt;VLOOKUP(R$5,NFI,5,0),1,0)*Data_NFI_t[[#This Row],[Complementary Kit]],0)</f>
        <v>0</v>
      </c>
      <c r="AK160" s="86">
        <f>IF(NFI_Expiration=1,IF($A160&lt;VLOOKUP(S$5,NFI,5,0),1,0)*Data_NFI_t[[#This Row],[Plastic Bucket]],0)</f>
        <v>0</v>
      </c>
      <c r="AL160" s="86">
        <f>IF(NFI_Expiration=1,IF($A160&lt;VLOOKUP(T$5,NFI,5,0),1,0)*Data_NFI_t[[#This Row],[Jerry Can]],0)</f>
        <v>0</v>
      </c>
      <c r="AM160" s="105">
        <f>IF(NFI_Expiration=1,IF($A160&lt;VLOOKUP(U$5,NFI,5,0),1,0)*Data_NFI_t[[#This Row],[Plastic Mat]],0)*IF(Data_NFI_t[[#This Row],[Distribution Date]]&gt;"01-06-2015",1,2.5)</f>
        <v>0</v>
      </c>
      <c r="AN160" s="734">
        <f>IF(NFI_Expiration=1,IF($A160&lt;VLOOKUP(V$5,NFI,5,0),1,0)*Data_NFI_t[[#This Row],[Adult Clothes]],0)</f>
        <v>0</v>
      </c>
      <c r="AO160" s="105">
        <f>IF(NFI_Expiration=1,IF($A160&lt;VLOOKUP(W$5,NFI,5,0),1,0)*Data_NFI_t[[#This Row],[Children Clothes]],0)</f>
        <v>0</v>
      </c>
      <c r="AP160" s="105">
        <f>IF(NFI_Expiration=1,IF($A160&lt;VLOOKUP(X$5,NFI,5,0),1,0)*Data_NFI_t[[#This Row],[Sewing Kit]],0)</f>
        <v>0</v>
      </c>
      <c r="AQ160" s="734">
        <f>IF(NFI_Expiration=1,IF($A160&lt;VLOOKUP(X$5,NFI,5,0),1,0)*Data_NFI_t[[#This Row],[Solar Lantern]],0)</f>
        <v>0</v>
      </c>
      <c r="AR160" s="105" t="str">
        <f ca="1">IFERROR(OFFSET(Camp_List[P_Code],MATCH(Data_NFI_t[[#This Row],[Camp Name]],Camp_List[Camp Name],0)-1,0,1,1),"")</f>
        <v>MMR012CMP045</v>
      </c>
      <c r="AS160" s="421" t="str">
        <f ca="1">IFERROR(OFFSET(Camp_List[Status],MATCH(Data_NFI_t[[#This Row],[Camp Name]],Camp_List[Camp Name],0)-1,0,1,1),"")</f>
        <v>Open</v>
      </c>
      <c r="AT160" s="105"/>
    </row>
    <row r="161" spans="1:46" s="78" customFormat="1" ht="19.5" customHeight="1" x14ac:dyDescent="0.25">
      <c r="A161" s="208">
        <f t="shared" si="2"/>
        <v>32.06666666666667</v>
      </c>
      <c r="B161" s="208">
        <f>YEAR(Data_NFI_t[[#This Row],[Distribution Date]])</f>
        <v>2015</v>
      </c>
      <c r="C161" s="744">
        <v>42228</v>
      </c>
      <c r="D161" s="402" t="s">
        <v>270</v>
      </c>
      <c r="E161" s="401" t="s">
        <v>575</v>
      </c>
      <c r="F161" s="402" t="s">
        <v>7</v>
      </c>
      <c r="G161" s="670" t="s">
        <v>17</v>
      </c>
      <c r="H161" s="670" t="s">
        <v>59</v>
      </c>
      <c r="I161" s="670"/>
      <c r="J161" s="670"/>
      <c r="K161" s="670"/>
      <c r="L161" s="42">
        <v>59</v>
      </c>
      <c r="M161" s="42"/>
      <c r="N161" s="42">
        <v>6</v>
      </c>
      <c r="O161" s="42">
        <v>3</v>
      </c>
      <c r="P161" s="42">
        <v>6</v>
      </c>
      <c r="Q161" s="42">
        <v>3</v>
      </c>
      <c r="R161" s="42"/>
      <c r="S161" s="42">
        <v>3</v>
      </c>
      <c r="T161" s="419">
        <v>3</v>
      </c>
      <c r="U161" s="42">
        <v>15</v>
      </c>
      <c r="V161" s="42"/>
      <c r="W161" s="42"/>
      <c r="X161" s="42"/>
      <c r="Y161" s="42"/>
      <c r="Z161" s="42"/>
      <c r="AA161" s="42"/>
      <c r="AB161" s="42"/>
      <c r="AC161" s="105">
        <f>IF(NFI_Expiration=1,IF($A161&lt;VLOOKUP(I$5,NFI,5,0),1,0)*Data_NFI_t[[#This Row],[Hygiene Kit]],0)</f>
        <v>0</v>
      </c>
      <c r="AD161" s="105">
        <f>IF(NFI_Expiration=1,IF($A161&lt;VLOOKUP(L$5,NFI,5,0),1,0)*Data_NFI_t[[#This Row],[NFI Core Kit]],0)</f>
        <v>0</v>
      </c>
      <c r="AE161" s="86">
        <f>IF(NFI_Expiration=1,IF($A161&lt;VLOOKUP(M$5,NFI,5,0),1,0)*Data_NFI_t[[#This Row],[Sanitary Kit]],0)</f>
        <v>0</v>
      </c>
      <c r="AF161" s="86">
        <f>IF(NFI_Expiration=1,IF($A161&lt;VLOOKUP(N$5,NFI,5,0),1,0)*Data_NFI_t[[#This Row],[Mosquito net]],0)</f>
        <v>0</v>
      </c>
      <c r="AG161" s="86">
        <f>IF(NFI_Expiration=1,IF($A161&lt;VLOOKUP(O$5,NFI,5,0),1,0)*Data_NFI_t[[#This Row],[Tarpaulin]],0)</f>
        <v>0</v>
      </c>
      <c r="AH161" s="86">
        <f>IF(NFI_Expiration=1,IF($A161&lt;VLOOKUP(P$5,NFI,5,0),1,0)*Data_NFI_t[[#This Row],[Blanket]],0)</f>
        <v>0</v>
      </c>
      <c r="AI161" s="86">
        <f>IF(NFI_Expiration=1,IF($A161&lt;VLOOKUP(Q$5,NFI,5,0),1,0)*Data_NFI_t[[#This Row],[Kitchen Set]],0)</f>
        <v>0</v>
      </c>
      <c r="AJ161" s="86">
        <f>IF(NFI_Expiration=1,IF($A161&lt;VLOOKUP(R$5,NFI,5,0),1,0)*Data_NFI_t[[#This Row],[Complementary Kit]],0)</f>
        <v>0</v>
      </c>
      <c r="AK161" s="86">
        <f>IF(NFI_Expiration=1,IF($A161&lt;VLOOKUP(S$5,NFI,5,0),1,0)*Data_NFI_t[[#This Row],[Plastic Bucket]],0)</f>
        <v>0</v>
      </c>
      <c r="AL161" s="86">
        <f>IF(NFI_Expiration=1,IF($A161&lt;VLOOKUP(T$5,NFI,5,0),1,0)*Data_NFI_t[[#This Row],[Jerry Can]],0)</f>
        <v>0</v>
      </c>
      <c r="AM161" s="105">
        <f>IF(NFI_Expiration=1,IF($A161&lt;VLOOKUP(U$5,NFI,5,0),1,0)*Data_NFI_t[[#This Row],[Plastic Mat]],0)*IF(Data_NFI_t[[#This Row],[Distribution Date]]&gt;"01-06-2015",1,2.5)</f>
        <v>0</v>
      </c>
      <c r="AN161" s="734">
        <f>IF(NFI_Expiration=1,IF($A161&lt;VLOOKUP(V$5,NFI,5,0),1,0)*Data_NFI_t[[#This Row],[Adult Clothes]],0)</f>
        <v>0</v>
      </c>
      <c r="AO161" s="105">
        <f>IF(NFI_Expiration=1,IF($A161&lt;VLOOKUP(W$5,NFI,5,0),1,0)*Data_NFI_t[[#This Row],[Children Clothes]],0)</f>
        <v>0</v>
      </c>
      <c r="AP161" s="105">
        <f>IF(NFI_Expiration=1,IF($A161&lt;VLOOKUP(X$5,NFI,5,0),1,0)*Data_NFI_t[[#This Row],[Sewing Kit]],0)</f>
        <v>0</v>
      </c>
      <c r="AQ161" s="734">
        <f>IF(NFI_Expiration=1,IF($A161&lt;VLOOKUP(X$5,NFI,5,0),1,0)*Data_NFI_t[[#This Row],[Solar Lantern]],0)</f>
        <v>0</v>
      </c>
      <c r="AR161" s="105" t="str">
        <f ca="1">IFERROR(OFFSET(Camp_List[P_Code],MATCH(Data_NFI_t[[#This Row],[Camp Name]],Camp_List[Camp Name],0)-1,0,1,1),"")</f>
        <v>MMR012CMP039</v>
      </c>
      <c r="AS161" s="421" t="str">
        <f ca="1">IFERROR(OFFSET(Camp_List[Status],MATCH(Data_NFI_t[[#This Row],[Camp Name]],Camp_List[Camp Name],0)-1,0,1,1),"")</f>
        <v>Open</v>
      </c>
      <c r="AT161" s="105"/>
    </row>
    <row r="162" spans="1:46" s="78" customFormat="1" ht="19.5" customHeight="1" x14ac:dyDescent="0.25">
      <c r="A162" s="208">
        <f t="shared" si="2"/>
        <v>32.06666666666667</v>
      </c>
      <c r="B162" s="208">
        <f>YEAR(Data_NFI_t[[#This Row],[Distribution Date]])</f>
        <v>2015</v>
      </c>
      <c r="C162" s="744">
        <v>42228</v>
      </c>
      <c r="D162" s="402" t="s">
        <v>270</v>
      </c>
      <c r="E162" s="401" t="s">
        <v>575</v>
      </c>
      <c r="F162" s="402" t="s">
        <v>7</v>
      </c>
      <c r="G162" s="670" t="s">
        <v>17</v>
      </c>
      <c r="H162" s="670" t="s">
        <v>62</v>
      </c>
      <c r="I162" s="670"/>
      <c r="J162" s="670"/>
      <c r="K162" s="670"/>
      <c r="L162" s="42">
        <v>160</v>
      </c>
      <c r="M162" s="42"/>
      <c r="N162" s="42">
        <v>96</v>
      </c>
      <c r="O162" s="42">
        <v>48</v>
      </c>
      <c r="P162" s="42">
        <v>96</v>
      </c>
      <c r="Q162" s="42">
        <v>48</v>
      </c>
      <c r="R162" s="42"/>
      <c r="S162" s="42">
        <v>48</v>
      </c>
      <c r="T162" s="419">
        <v>48</v>
      </c>
      <c r="U162" s="42">
        <v>240</v>
      </c>
      <c r="V162" s="42"/>
      <c r="W162" s="42"/>
      <c r="X162" s="42"/>
      <c r="Y162" s="42"/>
      <c r="Z162" s="42"/>
      <c r="AA162" s="42"/>
      <c r="AB162" s="42"/>
      <c r="AC162" s="105">
        <f>IF(NFI_Expiration=1,IF($A162&lt;VLOOKUP(I$5,NFI,5,0),1,0)*Data_NFI_t[[#This Row],[Hygiene Kit]],0)</f>
        <v>0</v>
      </c>
      <c r="AD162" s="105">
        <f>IF(NFI_Expiration=1,IF($A162&lt;VLOOKUP(L$5,NFI,5,0),1,0)*Data_NFI_t[[#This Row],[NFI Core Kit]],0)</f>
        <v>0</v>
      </c>
      <c r="AE162" s="86">
        <f>IF(NFI_Expiration=1,IF($A162&lt;VLOOKUP(M$5,NFI,5,0),1,0)*Data_NFI_t[[#This Row],[Sanitary Kit]],0)</f>
        <v>0</v>
      </c>
      <c r="AF162" s="86">
        <f>IF(NFI_Expiration=1,IF($A162&lt;VLOOKUP(N$5,NFI,5,0),1,0)*Data_NFI_t[[#This Row],[Mosquito net]],0)</f>
        <v>0</v>
      </c>
      <c r="AG162" s="86">
        <f>IF(NFI_Expiration=1,IF($A162&lt;VLOOKUP(O$5,NFI,5,0),1,0)*Data_NFI_t[[#This Row],[Tarpaulin]],0)</f>
        <v>0</v>
      </c>
      <c r="AH162" s="86">
        <f>IF(NFI_Expiration=1,IF($A162&lt;VLOOKUP(P$5,NFI,5,0),1,0)*Data_NFI_t[[#This Row],[Blanket]],0)</f>
        <v>0</v>
      </c>
      <c r="AI162" s="86">
        <f>IF(NFI_Expiration=1,IF($A162&lt;VLOOKUP(Q$5,NFI,5,0),1,0)*Data_NFI_t[[#This Row],[Kitchen Set]],0)</f>
        <v>0</v>
      </c>
      <c r="AJ162" s="86">
        <f>IF(NFI_Expiration=1,IF($A162&lt;VLOOKUP(R$5,NFI,5,0),1,0)*Data_NFI_t[[#This Row],[Complementary Kit]],0)</f>
        <v>0</v>
      </c>
      <c r="AK162" s="86">
        <f>IF(NFI_Expiration=1,IF($A162&lt;VLOOKUP(S$5,NFI,5,0),1,0)*Data_NFI_t[[#This Row],[Plastic Bucket]],0)</f>
        <v>0</v>
      </c>
      <c r="AL162" s="86">
        <f>IF(NFI_Expiration=1,IF($A162&lt;VLOOKUP(T$5,NFI,5,0),1,0)*Data_NFI_t[[#This Row],[Jerry Can]],0)</f>
        <v>0</v>
      </c>
      <c r="AM162" s="105">
        <f>IF(NFI_Expiration=1,IF($A162&lt;VLOOKUP(U$5,NFI,5,0),1,0)*Data_NFI_t[[#This Row],[Plastic Mat]],0)*IF(Data_NFI_t[[#This Row],[Distribution Date]]&gt;"01-06-2015",1,2.5)</f>
        <v>0</v>
      </c>
      <c r="AN162" s="734">
        <f>IF(NFI_Expiration=1,IF($A162&lt;VLOOKUP(V$5,NFI,5,0),1,0)*Data_NFI_t[[#This Row],[Adult Clothes]],0)</f>
        <v>0</v>
      </c>
      <c r="AO162" s="105">
        <f>IF(NFI_Expiration=1,IF($A162&lt;VLOOKUP(W$5,NFI,5,0),1,0)*Data_NFI_t[[#This Row],[Children Clothes]],0)</f>
        <v>0</v>
      </c>
      <c r="AP162" s="105">
        <f>IF(NFI_Expiration=1,IF($A162&lt;VLOOKUP(X$5,NFI,5,0),1,0)*Data_NFI_t[[#This Row],[Sewing Kit]],0)</f>
        <v>0</v>
      </c>
      <c r="AQ162" s="734">
        <f>IF(NFI_Expiration=1,IF($A162&lt;VLOOKUP(X$5,NFI,5,0),1,0)*Data_NFI_t[[#This Row],[Solar Lantern]],0)</f>
        <v>0</v>
      </c>
      <c r="AR162" s="105" t="str">
        <f ca="1">IFERROR(OFFSET(Camp_List[P_Code],MATCH(Data_NFI_t[[#This Row],[Camp Name]],Camp_List[Camp Name],0)-1,0,1,1),"")</f>
        <v>MMR012CMP042</v>
      </c>
      <c r="AS162" s="421" t="str">
        <f ca="1">IFERROR(OFFSET(Camp_List[Status],MATCH(Data_NFI_t[[#This Row],[Camp Name]],Camp_List[Camp Name],0)-1,0,1,1),"")</f>
        <v>Open</v>
      </c>
      <c r="AT162" s="105"/>
    </row>
    <row r="163" spans="1:46" s="78" customFormat="1" ht="19.5" customHeight="1" x14ac:dyDescent="0.25">
      <c r="A163" s="208">
        <f t="shared" si="2"/>
        <v>32.200000000000003</v>
      </c>
      <c r="B163" s="208">
        <f>YEAR(Data_NFI_t[[#This Row],[Distribution Date]])</f>
        <v>2015</v>
      </c>
      <c r="C163" s="744">
        <v>42224</v>
      </c>
      <c r="D163" s="402" t="s">
        <v>270</v>
      </c>
      <c r="E163" s="401" t="s">
        <v>473</v>
      </c>
      <c r="F163" s="402" t="s">
        <v>7</v>
      </c>
      <c r="G163" s="670" t="s">
        <v>13</v>
      </c>
      <c r="H163" s="670" t="s">
        <v>40</v>
      </c>
      <c r="I163" s="670"/>
      <c r="J163" s="670"/>
      <c r="K163" s="670"/>
      <c r="L163" s="42"/>
      <c r="M163" s="42"/>
      <c r="N163" s="42">
        <v>62</v>
      </c>
      <c r="O163" s="42">
        <v>31</v>
      </c>
      <c r="P163" s="42">
        <v>62</v>
      </c>
      <c r="Q163" s="42">
        <v>31</v>
      </c>
      <c r="R163" s="42"/>
      <c r="S163" s="42">
        <v>31</v>
      </c>
      <c r="T163" s="419">
        <v>31</v>
      </c>
      <c r="U163" s="42">
        <v>155</v>
      </c>
      <c r="V163" s="42"/>
      <c r="W163" s="42"/>
      <c r="X163" s="42"/>
      <c r="Y163" s="42"/>
      <c r="Z163" s="42"/>
      <c r="AA163" s="42"/>
      <c r="AB163" s="42"/>
      <c r="AC163" s="105">
        <f>IF(NFI_Expiration=1,IF($A163&lt;VLOOKUP(I$5,NFI,5,0),1,0)*Data_NFI_t[[#This Row],[Hygiene Kit]],0)</f>
        <v>0</v>
      </c>
      <c r="AD163" s="105">
        <f>IF(NFI_Expiration=1,IF($A163&lt;VLOOKUP(L$5,NFI,5,0),1,0)*Data_NFI_t[[#This Row],[NFI Core Kit]],0)</f>
        <v>0</v>
      </c>
      <c r="AE163" s="86">
        <f>IF(NFI_Expiration=1,IF($A163&lt;VLOOKUP(M$5,NFI,5,0),1,0)*Data_NFI_t[[#This Row],[Sanitary Kit]],0)</f>
        <v>0</v>
      </c>
      <c r="AF163" s="86">
        <f>IF(NFI_Expiration=1,IF($A163&lt;VLOOKUP(N$5,NFI,5,0),1,0)*Data_NFI_t[[#This Row],[Mosquito net]],0)</f>
        <v>0</v>
      </c>
      <c r="AG163" s="86">
        <f>IF(NFI_Expiration=1,IF($A163&lt;VLOOKUP(O$5,NFI,5,0),1,0)*Data_NFI_t[[#This Row],[Tarpaulin]],0)</f>
        <v>0</v>
      </c>
      <c r="AH163" s="86">
        <f>IF(NFI_Expiration=1,IF($A163&lt;VLOOKUP(P$5,NFI,5,0),1,0)*Data_NFI_t[[#This Row],[Blanket]],0)</f>
        <v>0</v>
      </c>
      <c r="AI163" s="86">
        <f>IF(NFI_Expiration=1,IF($A163&lt;VLOOKUP(Q$5,NFI,5,0),1,0)*Data_NFI_t[[#This Row],[Kitchen Set]],0)</f>
        <v>0</v>
      </c>
      <c r="AJ163" s="86">
        <f>IF(NFI_Expiration=1,IF($A163&lt;VLOOKUP(R$5,NFI,5,0),1,0)*Data_NFI_t[[#This Row],[Complementary Kit]],0)</f>
        <v>0</v>
      </c>
      <c r="AK163" s="86">
        <f>IF(NFI_Expiration=1,IF($A163&lt;VLOOKUP(S$5,NFI,5,0),1,0)*Data_NFI_t[[#This Row],[Plastic Bucket]],0)</f>
        <v>0</v>
      </c>
      <c r="AL163" s="86">
        <f>IF(NFI_Expiration=1,IF($A163&lt;VLOOKUP(T$5,NFI,5,0),1,0)*Data_NFI_t[[#This Row],[Jerry Can]],0)</f>
        <v>0</v>
      </c>
      <c r="AM163" s="105">
        <f>IF(NFI_Expiration=1,IF($A163&lt;VLOOKUP(U$5,NFI,5,0),1,0)*Data_NFI_t[[#This Row],[Plastic Mat]],0)*IF(Data_NFI_t[[#This Row],[Distribution Date]]&gt;"01-06-2015",1,2.5)</f>
        <v>0</v>
      </c>
      <c r="AN163" s="734">
        <f>IF(NFI_Expiration=1,IF($A163&lt;VLOOKUP(V$5,NFI,5,0),1,0)*Data_NFI_t[[#This Row],[Adult Clothes]],0)</f>
        <v>0</v>
      </c>
      <c r="AO163" s="105">
        <f>IF(NFI_Expiration=1,IF($A163&lt;VLOOKUP(W$5,NFI,5,0),1,0)*Data_NFI_t[[#This Row],[Children Clothes]],0)</f>
        <v>0</v>
      </c>
      <c r="AP163" s="105">
        <f>IF(NFI_Expiration=1,IF($A163&lt;VLOOKUP(X$5,NFI,5,0),1,0)*Data_NFI_t[[#This Row],[Sewing Kit]],0)</f>
        <v>0</v>
      </c>
      <c r="AQ163" s="734">
        <f>IF(NFI_Expiration=1,IF($A163&lt;VLOOKUP(X$5,NFI,5,0),1,0)*Data_NFI_t[[#This Row],[Solar Lantern]],0)</f>
        <v>0</v>
      </c>
      <c r="AR163" s="105" t="str">
        <f ca="1">IFERROR(OFFSET(Camp_List[P_Code],MATCH(Data_NFI_t[[#This Row],[Camp Name]],Camp_List[Camp Name],0)-1,0,1,1),"")</f>
        <v>MMR012CMP018</v>
      </c>
      <c r="AS163" s="421" t="str">
        <f ca="1">IFERROR(OFFSET(Camp_List[Status],MATCH(Data_NFI_t[[#This Row],[Camp Name]],Camp_List[Camp Name],0)-1,0,1,1),"")</f>
        <v>Open</v>
      </c>
      <c r="AT163" s="105"/>
    </row>
    <row r="164" spans="1:46" s="78" customFormat="1" ht="19.5" customHeight="1" x14ac:dyDescent="0.25">
      <c r="A164" s="208">
        <f t="shared" si="2"/>
        <v>32.700000000000003</v>
      </c>
      <c r="B164" s="208">
        <f>YEAR(Data_NFI_t[[#This Row],[Distribution Date]])</f>
        <v>2015</v>
      </c>
      <c r="C164" s="744">
        <v>42209</v>
      </c>
      <c r="D164" s="402" t="s">
        <v>270</v>
      </c>
      <c r="E164" s="401" t="s">
        <v>473</v>
      </c>
      <c r="F164" s="402" t="s">
        <v>7</v>
      </c>
      <c r="G164" s="670" t="s">
        <v>17</v>
      </c>
      <c r="H164" s="670" t="s">
        <v>68</v>
      </c>
      <c r="I164" s="670"/>
      <c r="J164" s="670"/>
      <c r="K164" s="670"/>
      <c r="L164" s="42">
        <v>984</v>
      </c>
      <c r="M164" s="42"/>
      <c r="N164" s="42">
        <v>1968</v>
      </c>
      <c r="O164" s="42">
        <v>984</v>
      </c>
      <c r="P164" s="42">
        <v>1968</v>
      </c>
      <c r="Q164" s="42">
        <v>984</v>
      </c>
      <c r="R164" s="42"/>
      <c r="S164" s="42">
        <v>984</v>
      </c>
      <c r="T164" s="419">
        <v>984</v>
      </c>
      <c r="U164" s="42">
        <v>4920</v>
      </c>
      <c r="V164" s="42"/>
      <c r="W164" s="42"/>
      <c r="X164" s="42"/>
      <c r="Y164" s="42"/>
      <c r="Z164" s="42"/>
      <c r="AA164" s="42"/>
      <c r="AB164" s="42"/>
      <c r="AC164" s="105">
        <f>IF(NFI_Expiration=1,IF($A164&lt;VLOOKUP(I$5,NFI,5,0),1,0)*Data_NFI_t[[#This Row],[Hygiene Kit]],0)</f>
        <v>0</v>
      </c>
      <c r="AD164" s="105">
        <f>IF(NFI_Expiration=1,IF($A164&lt;VLOOKUP(L$5,NFI,5,0),1,0)*Data_NFI_t[[#This Row],[NFI Core Kit]],0)</f>
        <v>0</v>
      </c>
      <c r="AE164" s="86">
        <f>IF(NFI_Expiration=1,IF($A164&lt;VLOOKUP(M$5,NFI,5,0),1,0)*Data_NFI_t[[#This Row],[Sanitary Kit]],0)</f>
        <v>0</v>
      </c>
      <c r="AF164" s="86">
        <f>IF(NFI_Expiration=1,IF($A164&lt;VLOOKUP(N$5,NFI,5,0),1,0)*Data_NFI_t[[#This Row],[Mosquito net]],0)</f>
        <v>0</v>
      </c>
      <c r="AG164" s="86">
        <f>IF(NFI_Expiration=1,IF($A164&lt;VLOOKUP(O$5,NFI,5,0),1,0)*Data_NFI_t[[#This Row],[Tarpaulin]],0)</f>
        <v>0</v>
      </c>
      <c r="AH164" s="86">
        <f>IF(NFI_Expiration=1,IF($A164&lt;VLOOKUP(P$5,NFI,5,0),1,0)*Data_NFI_t[[#This Row],[Blanket]],0)</f>
        <v>0</v>
      </c>
      <c r="AI164" s="86">
        <f>IF(NFI_Expiration=1,IF($A164&lt;VLOOKUP(Q$5,NFI,5,0),1,0)*Data_NFI_t[[#This Row],[Kitchen Set]],0)</f>
        <v>0</v>
      </c>
      <c r="AJ164" s="86">
        <f>IF(NFI_Expiration=1,IF($A164&lt;VLOOKUP(R$5,NFI,5,0),1,0)*Data_NFI_t[[#This Row],[Complementary Kit]],0)</f>
        <v>0</v>
      </c>
      <c r="AK164" s="86">
        <f>IF(NFI_Expiration=1,IF($A164&lt;VLOOKUP(S$5,NFI,5,0),1,0)*Data_NFI_t[[#This Row],[Plastic Bucket]],0)</f>
        <v>0</v>
      </c>
      <c r="AL164" s="86">
        <f>IF(NFI_Expiration=1,IF($A164&lt;VLOOKUP(T$5,NFI,5,0),1,0)*Data_NFI_t[[#This Row],[Jerry Can]],0)</f>
        <v>0</v>
      </c>
      <c r="AM164" s="105">
        <f>IF(NFI_Expiration=1,IF($A164&lt;VLOOKUP(U$5,NFI,5,0),1,0)*Data_NFI_t[[#This Row],[Plastic Mat]],0)*IF(Data_NFI_t[[#This Row],[Distribution Date]]&gt;"01-06-2015",1,2.5)</f>
        <v>0</v>
      </c>
      <c r="AN164" s="734">
        <f>IF(NFI_Expiration=1,IF($A164&lt;VLOOKUP(V$5,NFI,5,0),1,0)*Data_NFI_t[[#This Row],[Adult Clothes]],0)</f>
        <v>0</v>
      </c>
      <c r="AO164" s="105">
        <f>IF(NFI_Expiration=1,IF($A164&lt;VLOOKUP(W$5,NFI,5,0),1,0)*Data_NFI_t[[#This Row],[Children Clothes]],0)</f>
        <v>0</v>
      </c>
      <c r="AP164" s="105">
        <f>IF(NFI_Expiration=1,IF($A164&lt;VLOOKUP(X$5,NFI,5,0),1,0)*Data_NFI_t[[#This Row],[Sewing Kit]],0)</f>
        <v>0</v>
      </c>
      <c r="AQ164" s="734">
        <f>IF(NFI_Expiration=1,IF($A164&lt;VLOOKUP(X$5,NFI,5,0),1,0)*Data_NFI_t[[#This Row],[Solar Lantern]],0)</f>
        <v>0</v>
      </c>
      <c r="AR164" s="105" t="str">
        <f ca="1">IFERROR(OFFSET(Camp_List[P_Code],MATCH(Data_NFI_t[[#This Row],[Camp Name]],Camp_List[Camp Name],0)-1,0,1,1),"")</f>
        <v>MMR012CMP048</v>
      </c>
      <c r="AS164" s="421" t="str">
        <f ca="1">IFERROR(OFFSET(Camp_List[Status],MATCH(Data_NFI_t[[#This Row],[Camp Name]],Camp_List[Camp Name],0)-1,0,1,1),"")</f>
        <v>Open</v>
      </c>
      <c r="AT164" s="105"/>
    </row>
    <row r="165" spans="1:46" s="78" customFormat="1" ht="19.5" customHeight="1" x14ac:dyDescent="0.25">
      <c r="A165" s="208">
        <f t="shared" si="2"/>
        <v>32.733333333333334</v>
      </c>
      <c r="B165" s="208">
        <v>2015</v>
      </c>
      <c r="C165" s="744">
        <v>42208</v>
      </c>
      <c r="D165" s="402" t="s">
        <v>270</v>
      </c>
      <c r="E165" s="401" t="s">
        <v>270</v>
      </c>
      <c r="F165" s="402" t="s">
        <v>7</v>
      </c>
      <c r="G165" s="670" t="s">
        <v>15</v>
      </c>
      <c r="H165" s="670" t="s">
        <v>382</v>
      </c>
      <c r="I165" s="670">
        <v>0</v>
      </c>
      <c r="J165" s="670"/>
      <c r="K165" s="670"/>
      <c r="L165" s="42">
        <v>0</v>
      </c>
      <c r="M165" s="42">
        <v>0</v>
      </c>
      <c r="N165" s="42">
        <v>0</v>
      </c>
      <c r="O165" s="42">
        <v>217</v>
      </c>
      <c r="P165" s="42">
        <v>0</v>
      </c>
      <c r="Q165" s="42">
        <v>0</v>
      </c>
      <c r="R165" s="42">
        <v>0</v>
      </c>
      <c r="S165" s="42">
        <v>0</v>
      </c>
      <c r="T165" s="419">
        <v>0</v>
      </c>
      <c r="U165" s="42">
        <v>0</v>
      </c>
      <c r="V165" s="42"/>
      <c r="W165" s="42"/>
      <c r="X165" s="42"/>
      <c r="Y165" s="42"/>
      <c r="Z165" s="42"/>
      <c r="AA165" s="42"/>
      <c r="AB165" s="42"/>
      <c r="AC165" s="105">
        <f>IF(NFI_Expiration=1,IF($A165&lt;VLOOKUP(I$5,NFI,5,0),1,0)*Data_NFI_t[[#This Row],[Hygiene Kit]],0)</f>
        <v>0</v>
      </c>
      <c r="AD165" s="105">
        <f>IF(NFI_Expiration=1,IF($A165&lt;VLOOKUP(L$5,NFI,5,0),1,0)*Data_NFI_t[[#This Row],[NFI Core Kit]],0)</f>
        <v>0</v>
      </c>
      <c r="AE165" s="86">
        <f>IF(NFI_Expiration=1,IF($A165&lt;VLOOKUP(M$5,NFI,5,0),1,0)*Data_NFI_t[[#This Row],[Sanitary Kit]],0)</f>
        <v>0</v>
      </c>
      <c r="AF165" s="86">
        <f>IF(NFI_Expiration=1,IF($A165&lt;VLOOKUP(N$5,NFI,5,0),1,0)*Data_NFI_t[[#This Row],[Mosquito net]],0)</f>
        <v>0</v>
      </c>
      <c r="AG165" s="86">
        <f>IF(NFI_Expiration=1,IF($A165&lt;VLOOKUP(O$5,NFI,5,0),1,0)*Data_NFI_t[[#This Row],[Tarpaulin]],0)</f>
        <v>0</v>
      </c>
      <c r="AH165" s="86">
        <f>IF(NFI_Expiration=1,IF($A165&lt;VLOOKUP(P$5,NFI,5,0),1,0)*Data_NFI_t[[#This Row],[Blanket]],0)</f>
        <v>0</v>
      </c>
      <c r="AI165" s="86">
        <f>IF(NFI_Expiration=1,IF($A165&lt;VLOOKUP(Q$5,NFI,5,0),1,0)*Data_NFI_t[[#This Row],[Kitchen Set]],0)</f>
        <v>0</v>
      </c>
      <c r="AJ165" s="86">
        <f>IF(NFI_Expiration=1,IF($A165&lt;VLOOKUP(R$5,NFI,5,0),1,0)*Data_NFI_t[[#This Row],[Complementary Kit]],0)</f>
        <v>0</v>
      </c>
      <c r="AK165" s="86">
        <f>IF(NFI_Expiration=1,IF($A165&lt;VLOOKUP(S$5,NFI,5,0),1,0)*Data_NFI_t[[#This Row],[Plastic Bucket]],0)</f>
        <v>0</v>
      </c>
      <c r="AL165" s="86">
        <f>IF(NFI_Expiration=1,IF($A165&lt;VLOOKUP(T$5,NFI,5,0),1,0)*Data_NFI_t[[#This Row],[Jerry Can]],0)</f>
        <v>0</v>
      </c>
      <c r="AM165" s="105">
        <f>IF(NFI_Expiration=1,IF($A165&lt;VLOOKUP(U$5,NFI,5,0),1,0)*Data_NFI_t[[#This Row],[Plastic Mat]],0)*IF(Data_NFI_t[[#This Row],[Distribution Date]]&gt;"01-06-2015",1,2.5)</f>
        <v>0</v>
      </c>
      <c r="AN165" s="734">
        <f>IF(NFI_Expiration=1,IF($A165&lt;VLOOKUP(V$5,NFI,5,0),1,0)*Data_NFI_t[[#This Row],[Adult Clothes]],0)</f>
        <v>0</v>
      </c>
      <c r="AO165" s="105">
        <f>IF(NFI_Expiration=1,IF($A165&lt;VLOOKUP(W$5,NFI,5,0),1,0)*Data_NFI_t[[#This Row],[Children Clothes]],0)</f>
        <v>0</v>
      </c>
      <c r="AP165" s="105">
        <f>IF(NFI_Expiration=1,IF($A165&lt;VLOOKUP(X$5,NFI,5,0),1,0)*Data_NFI_t[[#This Row],[Sewing Kit]],0)</f>
        <v>0</v>
      </c>
      <c r="AQ165" s="734">
        <f>IF(NFI_Expiration=1,IF($A165&lt;VLOOKUP(X$5,NFI,5,0),1,0)*Data_NFI_t[[#This Row],[Solar Lantern]],0)</f>
        <v>0</v>
      </c>
      <c r="AR165" s="105" t="str">
        <f ca="1">IFERROR(OFFSET(Camp_List[P_Code],MATCH(Data_NFI_t[[#This Row],[Camp Name]],Camp_List[Camp Name],0)-1,0,1,1),"")</f>
        <v/>
      </c>
      <c r="AS165" s="421" t="str">
        <f ca="1">IFERROR(OFFSET(Camp_List[Status],MATCH(Data_NFI_t[[#This Row],[Camp Name]],Camp_List[Camp Name],0)-1,0,1,1),"")</f>
        <v/>
      </c>
      <c r="AT165" s="105"/>
    </row>
    <row r="166" spans="1:46" s="78" customFormat="1" ht="19.5" customHeight="1" x14ac:dyDescent="0.25">
      <c r="A166" s="208">
        <f t="shared" si="2"/>
        <v>32.733333333333334</v>
      </c>
      <c r="B166" s="208">
        <v>2015</v>
      </c>
      <c r="C166" s="744">
        <v>42208</v>
      </c>
      <c r="D166" s="402" t="s">
        <v>270</v>
      </c>
      <c r="E166" s="401" t="s">
        <v>270</v>
      </c>
      <c r="F166" s="402" t="s">
        <v>7</v>
      </c>
      <c r="G166" s="670" t="s">
        <v>15</v>
      </c>
      <c r="H166" s="670" t="s">
        <v>560</v>
      </c>
      <c r="I166" s="670">
        <v>0</v>
      </c>
      <c r="J166" s="670"/>
      <c r="K166" s="670"/>
      <c r="L166" s="42">
        <v>0</v>
      </c>
      <c r="M166" s="42">
        <v>0</v>
      </c>
      <c r="N166" s="42">
        <v>0</v>
      </c>
      <c r="O166" s="42">
        <v>167</v>
      </c>
      <c r="P166" s="42">
        <v>0</v>
      </c>
      <c r="Q166" s="42">
        <v>0</v>
      </c>
      <c r="R166" s="42">
        <v>0</v>
      </c>
      <c r="S166" s="42">
        <v>0</v>
      </c>
      <c r="T166" s="419">
        <v>0</v>
      </c>
      <c r="U166" s="42">
        <v>0</v>
      </c>
      <c r="V166" s="42"/>
      <c r="W166" s="42"/>
      <c r="X166" s="42"/>
      <c r="Y166" s="42"/>
      <c r="Z166" s="42"/>
      <c r="AA166" s="42"/>
      <c r="AB166" s="42"/>
      <c r="AC166" s="105">
        <f>IF(NFI_Expiration=1,IF($A166&lt;VLOOKUP(I$5,NFI,5,0),1,0)*Data_NFI_t[[#This Row],[Hygiene Kit]],0)</f>
        <v>0</v>
      </c>
      <c r="AD166" s="105">
        <f>IF(NFI_Expiration=1,IF($A166&lt;VLOOKUP(L$5,NFI,5,0),1,0)*Data_NFI_t[[#This Row],[NFI Core Kit]],0)</f>
        <v>0</v>
      </c>
      <c r="AE166" s="86">
        <f>IF(NFI_Expiration=1,IF($A166&lt;VLOOKUP(M$5,NFI,5,0),1,0)*Data_NFI_t[[#This Row],[Sanitary Kit]],0)</f>
        <v>0</v>
      </c>
      <c r="AF166" s="86">
        <f>IF(NFI_Expiration=1,IF($A166&lt;VLOOKUP(N$5,NFI,5,0),1,0)*Data_NFI_t[[#This Row],[Mosquito net]],0)</f>
        <v>0</v>
      </c>
      <c r="AG166" s="86">
        <f>IF(NFI_Expiration=1,IF($A166&lt;VLOOKUP(O$5,NFI,5,0),1,0)*Data_NFI_t[[#This Row],[Tarpaulin]],0)</f>
        <v>0</v>
      </c>
      <c r="AH166" s="86">
        <f>IF(NFI_Expiration=1,IF($A166&lt;VLOOKUP(P$5,NFI,5,0),1,0)*Data_NFI_t[[#This Row],[Blanket]],0)</f>
        <v>0</v>
      </c>
      <c r="AI166" s="86">
        <f>IF(NFI_Expiration=1,IF($A166&lt;VLOOKUP(Q$5,NFI,5,0),1,0)*Data_NFI_t[[#This Row],[Kitchen Set]],0)</f>
        <v>0</v>
      </c>
      <c r="AJ166" s="86">
        <f>IF(NFI_Expiration=1,IF($A166&lt;VLOOKUP(R$5,NFI,5,0),1,0)*Data_NFI_t[[#This Row],[Complementary Kit]],0)</f>
        <v>0</v>
      </c>
      <c r="AK166" s="86">
        <f>IF(NFI_Expiration=1,IF($A166&lt;VLOOKUP(S$5,NFI,5,0),1,0)*Data_NFI_t[[#This Row],[Plastic Bucket]],0)</f>
        <v>0</v>
      </c>
      <c r="AL166" s="86">
        <f>IF(NFI_Expiration=1,IF($A166&lt;VLOOKUP(T$5,NFI,5,0),1,0)*Data_NFI_t[[#This Row],[Jerry Can]],0)</f>
        <v>0</v>
      </c>
      <c r="AM166" s="105">
        <f>IF(NFI_Expiration=1,IF($A166&lt;VLOOKUP(U$5,NFI,5,0),1,0)*Data_NFI_t[[#This Row],[Plastic Mat]],0)*IF(Data_NFI_t[[#This Row],[Distribution Date]]&gt;"01-06-2015",1,2.5)</f>
        <v>0</v>
      </c>
      <c r="AN166" s="734">
        <f>IF(NFI_Expiration=1,IF($A166&lt;VLOOKUP(V$5,NFI,5,0),1,0)*Data_NFI_t[[#This Row],[Adult Clothes]],0)</f>
        <v>0</v>
      </c>
      <c r="AO166" s="105">
        <f>IF(NFI_Expiration=1,IF($A166&lt;VLOOKUP(W$5,NFI,5,0),1,0)*Data_NFI_t[[#This Row],[Children Clothes]],0)</f>
        <v>0</v>
      </c>
      <c r="AP166" s="105">
        <f>IF(NFI_Expiration=1,IF($A166&lt;VLOOKUP(X$5,NFI,5,0),1,0)*Data_NFI_t[[#This Row],[Sewing Kit]],0)</f>
        <v>0</v>
      </c>
      <c r="AQ166" s="734">
        <f>IF(NFI_Expiration=1,IF($A166&lt;VLOOKUP(X$5,NFI,5,0),1,0)*Data_NFI_t[[#This Row],[Solar Lantern]],0)</f>
        <v>0</v>
      </c>
      <c r="AR166" s="105" t="str">
        <f ca="1">IFERROR(OFFSET(Camp_List[P_Code],MATCH(Data_NFI_t[[#This Row],[Camp Name]],Camp_List[Camp Name],0)-1,0,1,1),"")</f>
        <v/>
      </c>
      <c r="AS166" s="421" t="str">
        <f ca="1">IFERROR(OFFSET(Camp_List[Status],MATCH(Data_NFI_t[[#This Row],[Camp Name]],Camp_List[Camp Name],0)-1,0,1,1),"")</f>
        <v/>
      </c>
      <c r="AT166" s="105"/>
    </row>
    <row r="167" spans="1:46" s="78" customFormat="1" ht="21.75" customHeight="1" x14ac:dyDescent="0.25">
      <c r="A167" s="208">
        <f t="shared" si="2"/>
        <v>33.200000000000003</v>
      </c>
      <c r="B167" s="208">
        <f>YEAR(Data_NFI_t[[#This Row],[Distribution Date]])</f>
        <v>2015</v>
      </c>
      <c r="C167" s="744">
        <v>42194</v>
      </c>
      <c r="D167" s="402" t="s">
        <v>270</v>
      </c>
      <c r="E167" s="401" t="s">
        <v>473</v>
      </c>
      <c r="F167" s="402" t="s">
        <v>7</v>
      </c>
      <c r="G167" s="670" t="s">
        <v>17</v>
      </c>
      <c r="H167" s="670" t="s">
        <v>580</v>
      </c>
      <c r="I167" s="670"/>
      <c r="J167" s="670"/>
      <c r="K167" s="670"/>
      <c r="L167" s="42">
        <v>624</v>
      </c>
      <c r="M167" s="42"/>
      <c r="N167" s="42">
        <v>1248</v>
      </c>
      <c r="O167" s="42">
        <v>624</v>
      </c>
      <c r="P167" s="42">
        <v>1248</v>
      </c>
      <c r="Q167" s="42">
        <v>624</v>
      </c>
      <c r="R167" s="42"/>
      <c r="S167" s="42">
        <v>624</v>
      </c>
      <c r="T167" s="419">
        <v>624</v>
      </c>
      <c r="U167" s="42">
        <v>3120</v>
      </c>
      <c r="V167" s="42"/>
      <c r="W167" s="42"/>
      <c r="X167" s="42"/>
      <c r="Y167" s="42"/>
      <c r="Z167" s="42"/>
      <c r="AA167" s="42"/>
      <c r="AB167" s="42"/>
      <c r="AC167" s="105">
        <f>IF(NFI_Expiration=1,IF($A167&lt;VLOOKUP(I$5,NFI,5,0),1,0)*Data_NFI_t[[#This Row],[Hygiene Kit]],0)</f>
        <v>0</v>
      </c>
      <c r="AD167" s="105">
        <f>IF(NFI_Expiration=1,IF($A167&lt;VLOOKUP(L$5,NFI,5,0),1,0)*Data_NFI_t[[#This Row],[NFI Core Kit]],0)</f>
        <v>0</v>
      </c>
      <c r="AE167" s="86">
        <f>IF(NFI_Expiration=1,IF($A167&lt;VLOOKUP(M$5,NFI,5,0),1,0)*Data_NFI_t[[#This Row],[Sanitary Kit]],0)</f>
        <v>0</v>
      </c>
      <c r="AF167" s="86">
        <f>IF(NFI_Expiration=1,IF($A167&lt;VLOOKUP(N$5,NFI,5,0),1,0)*Data_NFI_t[[#This Row],[Mosquito net]],0)</f>
        <v>0</v>
      </c>
      <c r="AG167" s="86">
        <f>IF(NFI_Expiration=1,IF($A167&lt;VLOOKUP(O$5,NFI,5,0),1,0)*Data_NFI_t[[#This Row],[Tarpaulin]],0)</f>
        <v>0</v>
      </c>
      <c r="AH167" s="86">
        <f>IF(NFI_Expiration=1,IF($A167&lt;VLOOKUP(P$5,NFI,5,0),1,0)*Data_NFI_t[[#This Row],[Blanket]],0)</f>
        <v>0</v>
      </c>
      <c r="AI167" s="86">
        <f>IF(NFI_Expiration=1,IF($A167&lt;VLOOKUP(Q$5,NFI,5,0),1,0)*Data_NFI_t[[#This Row],[Kitchen Set]],0)</f>
        <v>0</v>
      </c>
      <c r="AJ167" s="86">
        <f>IF(NFI_Expiration=1,IF($A167&lt;VLOOKUP(R$5,NFI,5,0),1,0)*Data_NFI_t[[#This Row],[Complementary Kit]],0)</f>
        <v>0</v>
      </c>
      <c r="AK167" s="86">
        <f>IF(NFI_Expiration=1,IF($A167&lt;VLOOKUP(S$5,NFI,5,0),1,0)*Data_NFI_t[[#This Row],[Plastic Bucket]],0)</f>
        <v>0</v>
      </c>
      <c r="AL167" s="86">
        <f>IF(NFI_Expiration=1,IF($A167&lt;VLOOKUP(T$5,NFI,5,0),1,0)*Data_NFI_t[[#This Row],[Jerry Can]],0)</f>
        <v>0</v>
      </c>
      <c r="AM167" s="105">
        <f>IF(NFI_Expiration=1,IF($A167&lt;VLOOKUP(U$5,NFI,5,0),1,0)*Data_NFI_t[[#This Row],[Plastic Mat]],0)*IF(Data_NFI_t[[#This Row],[Distribution Date]]&gt;"01-06-2015",1,2.5)</f>
        <v>0</v>
      </c>
      <c r="AN167" s="734">
        <f>IF(NFI_Expiration=1,IF($A167&lt;VLOOKUP(V$5,NFI,5,0),1,0)*Data_NFI_t[[#This Row],[Adult Clothes]],0)</f>
        <v>0</v>
      </c>
      <c r="AO167" s="105">
        <f>IF(NFI_Expiration=1,IF($A167&lt;VLOOKUP(W$5,NFI,5,0),1,0)*Data_NFI_t[[#This Row],[Children Clothes]],0)</f>
        <v>0</v>
      </c>
      <c r="AP167" s="105">
        <f>IF(NFI_Expiration=1,IF($A167&lt;VLOOKUP(X$5,NFI,5,0),1,0)*Data_NFI_t[[#This Row],[Sewing Kit]],0)</f>
        <v>0</v>
      </c>
      <c r="AQ167" s="734">
        <f>IF(NFI_Expiration=1,IF($A167&lt;VLOOKUP(X$5,NFI,5,0),1,0)*Data_NFI_t[[#This Row],[Solar Lantern]],0)</f>
        <v>0</v>
      </c>
      <c r="AR167" s="105" t="str">
        <f ca="1">IFERROR(OFFSET(Camp_List[P_Code],MATCH(Data_NFI_t[[#This Row],[Camp Name]],Camp_List[Camp Name],0)-1,0,1,1),"")</f>
        <v>MMR012CMP092</v>
      </c>
      <c r="AS167" s="421" t="str">
        <f ca="1">IFERROR(OFFSET(Camp_List[Status],MATCH(Data_NFI_t[[#This Row],[Camp Name]],Camp_List[Camp Name],0)-1,0,1,1),"")</f>
        <v>Open</v>
      </c>
      <c r="AT167" s="105"/>
    </row>
    <row r="168" spans="1:46" s="78" customFormat="1" ht="19.5" customHeight="1" x14ac:dyDescent="0.25">
      <c r="A168" s="208">
        <f t="shared" si="2"/>
        <v>33.633333333333333</v>
      </c>
      <c r="B168" s="208">
        <f>YEAR(Data_NFI_t[[#This Row],[Distribution Date]])</f>
        <v>2015</v>
      </c>
      <c r="C168" s="744">
        <v>42181</v>
      </c>
      <c r="D168" s="402" t="s">
        <v>270</v>
      </c>
      <c r="E168" s="401" t="s">
        <v>270</v>
      </c>
      <c r="F168" s="402" t="s">
        <v>7</v>
      </c>
      <c r="G168" s="670" t="s">
        <v>14</v>
      </c>
      <c r="H168" s="670" t="s">
        <v>50</v>
      </c>
      <c r="I168" s="670"/>
      <c r="J168" s="670"/>
      <c r="K168" s="670"/>
      <c r="L168" s="42"/>
      <c r="M168" s="42"/>
      <c r="N168" s="42"/>
      <c r="O168" s="42">
        <v>112</v>
      </c>
      <c r="P168" s="42"/>
      <c r="Q168" s="42"/>
      <c r="R168" s="42"/>
      <c r="S168" s="42"/>
      <c r="T168" s="419"/>
      <c r="U168" s="42"/>
      <c r="V168" s="42"/>
      <c r="W168" s="42"/>
      <c r="X168" s="42"/>
      <c r="Y168" s="42"/>
      <c r="Z168" s="42"/>
      <c r="AA168" s="42"/>
      <c r="AB168" s="42"/>
      <c r="AC168" s="105">
        <f>IF(NFI_Expiration=1,IF($A168&lt;VLOOKUP(I$5,NFI,5,0),1,0)*Data_NFI_t[[#This Row],[Hygiene Kit]],0)</f>
        <v>0</v>
      </c>
      <c r="AD168" s="105">
        <f>IF(NFI_Expiration=1,IF($A168&lt;VLOOKUP(L$5,NFI,5,0),1,0)*Data_NFI_t[[#This Row],[NFI Core Kit]],0)</f>
        <v>0</v>
      </c>
      <c r="AE168" s="86">
        <f>IF(NFI_Expiration=1,IF($A168&lt;VLOOKUP(M$5,NFI,5,0),1,0)*Data_NFI_t[[#This Row],[Sanitary Kit]],0)</f>
        <v>0</v>
      </c>
      <c r="AF168" s="86">
        <f>IF(NFI_Expiration=1,IF($A168&lt;VLOOKUP(N$5,NFI,5,0),1,0)*Data_NFI_t[[#This Row],[Mosquito net]],0)</f>
        <v>0</v>
      </c>
      <c r="AG168" s="86">
        <f>IF(NFI_Expiration=1,IF($A168&lt;VLOOKUP(O$5,NFI,5,0),1,0)*Data_NFI_t[[#This Row],[Tarpaulin]],0)</f>
        <v>0</v>
      </c>
      <c r="AH168" s="86">
        <f>IF(NFI_Expiration=1,IF($A168&lt;VLOOKUP(P$5,NFI,5,0),1,0)*Data_NFI_t[[#This Row],[Blanket]],0)</f>
        <v>0</v>
      </c>
      <c r="AI168" s="86">
        <f>IF(NFI_Expiration=1,IF($A168&lt;VLOOKUP(Q$5,NFI,5,0),1,0)*Data_NFI_t[[#This Row],[Kitchen Set]],0)</f>
        <v>0</v>
      </c>
      <c r="AJ168" s="86">
        <f>IF(NFI_Expiration=1,IF($A168&lt;VLOOKUP(R$5,NFI,5,0),1,0)*Data_NFI_t[[#This Row],[Complementary Kit]],0)</f>
        <v>0</v>
      </c>
      <c r="AK168" s="86">
        <f>IF(NFI_Expiration=1,IF($A168&lt;VLOOKUP(S$5,NFI,5,0),1,0)*Data_NFI_t[[#This Row],[Plastic Bucket]],0)</f>
        <v>0</v>
      </c>
      <c r="AL168" s="86">
        <f>IF(NFI_Expiration=1,IF($A168&lt;VLOOKUP(T$5,NFI,5,0),1,0)*Data_NFI_t[[#This Row],[Jerry Can]],0)</f>
        <v>0</v>
      </c>
      <c r="AM168" s="105">
        <f>IF(NFI_Expiration=1,IF($A168&lt;VLOOKUP(U$5,NFI,5,0),1,0)*Data_NFI_t[[#This Row],[Plastic Mat]],0)*IF(Data_NFI_t[[#This Row],[Distribution Date]]&gt;"01-06-2015",1,2.5)</f>
        <v>0</v>
      </c>
      <c r="AN168" s="734">
        <f>IF(NFI_Expiration=1,IF($A168&lt;VLOOKUP(V$5,NFI,5,0),1,0)*Data_NFI_t[[#This Row],[Adult Clothes]],0)</f>
        <v>0</v>
      </c>
      <c r="AO168" s="105">
        <f>IF(NFI_Expiration=1,IF($A168&lt;VLOOKUP(W$5,NFI,5,0),1,0)*Data_NFI_t[[#This Row],[Children Clothes]],0)</f>
        <v>0</v>
      </c>
      <c r="AP168" s="105">
        <f>IF(NFI_Expiration=1,IF($A168&lt;VLOOKUP(X$5,NFI,5,0),1,0)*Data_NFI_t[[#This Row],[Sewing Kit]],0)</f>
        <v>0</v>
      </c>
      <c r="AQ168" s="734">
        <f>IF(NFI_Expiration=1,IF($A168&lt;VLOOKUP(X$5,NFI,5,0),1,0)*Data_NFI_t[[#This Row],[Solar Lantern]],0)</f>
        <v>0</v>
      </c>
      <c r="AR168" s="105" t="str">
        <f ca="1">IFERROR(OFFSET(Camp_List[P_Code],MATCH(Data_NFI_t[[#This Row],[Camp Name]],Camp_List[Camp Name],0)-1,0,1,1),"")</f>
        <v>MMR012CMP028</v>
      </c>
      <c r="AS168" s="421" t="str">
        <f ca="1">IFERROR(OFFSET(Camp_List[Status],MATCH(Data_NFI_t[[#This Row],[Camp Name]],Camp_List[Camp Name],0)-1,0,1,1),"")</f>
        <v>Returned</v>
      </c>
      <c r="AT168" s="105"/>
    </row>
    <row r="169" spans="1:46" s="78" customFormat="1" ht="19.5" customHeight="1" x14ac:dyDescent="0.25">
      <c r="A169" s="208">
        <f t="shared" si="2"/>
        <v>33.633333333333333</v>
      </c>
      <c r="B169" s="208">
        <f>YEAR(Data_NFI_t[[#This Row],[Distribution Date]])</f>
        <v>2015</v>
      </c>
      <c r="C169" s="744">
        <v>42181</v>
      </c>
      <c r="D169" s="402" t="s">
        <v>270</v>
      </c>
      <c r="E169" s="401" t="s">
        <v>270</v>
      </c>
      <c r="F169" s="402" t="s">
        <v>7</v>
      </c>
      <c r="G169" s="670" t="s">
        <v>14</v>
      </c>
      <c r="H169" s="670" t="s">
        <v>51</v>
      </c>
      <c r="I169" s="670"/>
      <c r="J169" s="670"/>
      <c r="K169" s="670"/>
      <c r="L169" s="42"/>
      <c r="M169" s="42"/>
      <c r="N169" s="42"/>
      <c r="O169" s="42">
        <v>138</v>
      </c>
      <c r="P169" s="42"/>
      <c r="Q169" s="42"/>
      <c r="R169" s="42"/>
      <c r="S169" s="42"/>
      <c r="T169" s="419"/>
      <c r="U169" s="42"/>
      <c r="V169" s="42"/>
      <c r="W169" s="42"/>
      <c r="X169" s="42"/>
      <c r="Y169" s="42"/>
      <c r="Z169" s="42"/>
      <c r="AA169" s="42"/>
      <c r="AB169" s="42"/>
      <c r="AC169" s="105">
        <f>IF(NFI_Expiration=1,IF($A169&lt;VLOOKUP(I$5,NFI,5,0),1,0)*Data_NFI_t[[#This Row],[Hygiene Kit]],0)</f>
        <v>0</v>
      </c>
      <c r="AD169" s="105">
        <f>IF(NFI_Expiration=1,IF($A169&lt;VLOOKUP(L$5,NFI,5,0),1,0)*Data_NFI_t[[#This Row],[NFI Core Kit]],0)</f>
        <v>0</v>
      </c>
      <c r="AE169" s="86">
        <f>IF(NFI_Expiration=1,IF($A169&lt;VLOOKUP(M$5,NFI,5,0),1,0)*Data_NFI_t[[#This Row],[Sanitary Kit]],0)</f>
        <v>0</v>
      </c>
      <c r="AF169" s="86">
        <f>IF(NFI_Expiration=1,IF($A169&lt;VLOOKUP(N$5,NFI,5,0),1,0)*Data_NFI_t[[#This Row],[Mosquito net]],0)</f>
        <v>0</v>
      </c>
      <c r="AG169" s="86">
        <f>IF(NFI_Expiration=1,IF($A169&lt;VLOOKUP(O$5,NFI,5,0),1,0)*Data_NFI_t[[#This Row],[Tarpaulin]],0)</f>
        <v>0</v>
      </c>
      <c r="AH169" s="86">
        <f>IF(NFI_Expiration=1,IF($A169&lt;VLOOKUP(P$5,NFI,5,0),1,0)*Data_NFI_t[[#This Row],[Blanket]],0)</f>
        <v>0</v>
      </c>
      <c r="AI169" s="86">
        <f>IF(NFI_Expiration=1,IF($A169&lt;VLOOKUP(Q$5,NFI,5,0),1,0)*Data_NFI_t[[#This Row],[Kitchen Set]],0)</f>
        <v>0</v>
      </c>
      <c r="AJ169" s="86">
        <f>IF(NFI_Expiration=1,IF($A169&lt;VLOOKUP(R$5,NFI,5,0),1,0)*Data_NFI_t[[#This Row],[Complementary Kit]],0)</f>
        <v>0</v>
      </c>
      <c r="AK169" s="86">
        <f>IF(NFI_Expiration=1,IF($A169&lt;VLOOKUP(S$5,NFI,5,0),1,0)*Data_NFI_t[[#This Row],[Plastic Bucket]],0)</f>
        <v>0</v>
      </c>
      <c r="AL169" s="86">
        <f>IF(NFI_Expiration=1,IF($A169&lt;VLOOKUP(T$5,NFI,5,0),1,0)*Data_NFI_t[[#This Row],[Jerry Can]],0)</f>
        <v>0</v>
      </c>
      <c r="AM169" s="105">
        <f>IF(NFI_Expiration=1,IF($A169&lt;VLOOKUP(U$5,NFI,5,0),1,0)*Data_NFI_t[[#This Row],[Plastic Mat]],0)*IF(Data_NFI_t[[#This Row],[Distribution Date]]&gt;"01-06-2015",1,2.5)</f>
        <v>0</v>
      </c>
      <c r="AN169" s="734">
        <f>IF(NFI_Expiration=1,IF($A169&lt;VLOOKUP(V$5,NFI,5,0),1,0)*Data_NFI_t[[#This Row],[Adult Clothes]],0)</f>
        <v>0</v>
      </c>
      <c r="AO169" s="105">
        <f>IF(NFI_Expiration=1,IF($A169&lt;VLOOKUP(W$5,NFI,5,0),1,0)*Data_NFI_t[[#This Row],[Children Clothes]],0)</f>
        <v>0</v>
      </c>
      <c r="AP169" s="105">
        <f>IF(NFI_Expiration=1,IF($A169&lt;VLOOKUP(X$5,NFI,5,0),1,0)*Data_NFI_t[[#This Row],[Sewing Kit]],0)</f>
        <v>0</v>
      </c>
      <c r="AQ169" s="734">
        <f>IF(NFI_Expiration=1,IF($A169&lt;VLOOKUP(X$5,NFI,5,0),1,0)*Data_NFI_t[[#This Row],[Solar Lantern]],0)</f>
        <v>0</v>
      </c>
      <c r="AR169" s="105" t="str">
        <f ca="1">IFERROR(OFFSET(Camp_List[P_Code],MATCH(Data_NFI_t[[#This Row],[Camp Name]],Camp_List[Camp Name],0)-1,0,1,1),"")</f>
        <v>MMR012CMP029</v>
      </c>
      <c r="AS169" s="421" t="str">
        <f ca="1">IFERROR(OFFSET(Camp_List[Status],MATCH(Data_NFI_t[[#This Row],[Camp Name]],Camp_List[Camp Name],0)-1,0,1,1),"")</f>
        <v>Returned</v>
      </c>
      <c r="AT169" s="105"/>
    </row>
    <row r="170" spans="1:46" s="78" customFormat="1" ht="19.5" customHeight="1" x14ac:dyDescent="0.25">
      <c r="A170" s="208">
        <f t="shared" si="2"/>
        <v>33.666666666666664</v>
      </c>
      <c r="B170" s="208">
        <f>YEAR(Data_NFI_t[[#This Row],[Distribution Date]])</f>
        <v>2015</v>
      </c>
      <c r="C170" s="744">
        <v>42180</v>
      </c>
      <c r="D170" s="402" t="s">
        <v>270</v>
      </c>
      <c r="E170" s="401" t="s">
        <v>270</v>
      </c>
      <c r="F170" s="402" t="s">
        <v>7</v>
      </c>
      <c r="G170" s="670" t="s">
        <v>14</v>
      </c>
      <c r="H170" s="670" t="s">
        <v>45</v>
      </c>
      <c r="I170" s="670"/>
      <c r="J170" s="670"/>
      <c r="K170" s="670"/>
      <c r="L170" s="42"/>
      <c r="M170" s="42"/>
      <c r="N170" s="42"/>
      <c r="O170" s="42">
        <v>85</v>
      </c>
      <c r="P170" s="42"/>
      <c r="Q170" s="42"/>
      <c r="R170" s="42"/>
      <c r="S170" s="42"/>
      <c r="T170" s="419"/>
      <c r="U170" s="42"/>
      <c r="V170" s="42"/>
      <c r="W170" s="42"/>
      <c r="X170" s="42"/>
      <c r="Y170" s="42"/>
      <c r="Z170" s="42"/>
      <c r="AA170" s="42"/>
      <c r="AB170" s="42"/>
      <c r="AC170" s="105">
        <f>IF(NFI_Expiration=1,IF($A170&lt;VLOOKUP(I$5,NFI,5,0),1,0)*Data_NFI_t[[#This Row],[Hygiene Kit]],0)</f>
        <v>0</v>
      </c>
      <c r="AD170" s="105">
        <f>IF(NFI_Expiration=1,IF($A170&lt;VLOOKUP(L$5,NFI,5,0),1,0)*Data_NFI_t[[#This Row],[NFI Core Kit]],0)</f>
        <v>0</v>
      </c>
      <c r="AE170" s="86">
        <f>IF(NFI_Expiration=1,IF($A170&lt;VLOOKUP(M$5,NFI,5,0),1,0)*Data_NFI_t[[#This Row],[Sanitary Kit]],0)</f>
        <v>0</v>
      </c>
      <c r="AF170" s="86">
        <f>IF(NFI_Expiration=1,IF($A170&lt;VLOOKUP(N$5,NFI,5,0),1,0)*Data_NFI_t[[#This Row],[Mosquito net]],0)</f>
        <v>0</v>
      </c>
      <c r="AG170" s="86">
        <f>IF(NFI_Expiration=1,IF($A170&lt;VLOOKUP(O$5,NFI,5,0),1,0)*Data_NFI_t[[#This Row],[Tarpaulin]],0)</f>
        <v>0</v>
      </c>
      <c r="AH170" s="86">
        <f>IF(NFI_Expiration=1,IF($A170&lt;VLOOKUP(P$5,NFI,5,0),1,0)*Data_NFI_t[[#This Row],[Blanket]],0)</f>
        <v>0</v>
      </c>
      <c r="AI170" s="86">
        <f>IF(NFI_Expiration=1,IF($A170&lt;VLOOKUP(Q$5,NFI,5,0),1,0)*Data_NFI_t[[#This Row],[Kitchen Set]],0)</f>
        <v>0</v>
      </c>
      <c r="AJ170" s="86">
        <f>IF(NFI_Expiration=1,IF($A170&lt;VLOOKUP(R$5,NFI,5,0),1,0)*Data_NFI_t[[#This Row],[Complementary Kit]],0)</f>
        <v>0</v>
      </c>
      <c r="AK170" s="86">
        <f>IF(NFI_Expiration=1,IF($A170&lt;VLOOKUP(S$5,NFI,5,0),1,0)*Data_NFI_t[[#This Row],[Plastic Bucket]],0)</f>
        <v>0</v>
      </c>
      <c r="AL170" s="86">
        <f>IF(NFI_Expiration=1,IF($A170&lt;VLOOKUP(T$5,NFI,5,0),1,0)*Data_NFI_t[[#This Row],[Jerry Can]],0)</f>
        <v>0</v>
      </c>
      <c r="AM170" s="105">
        <f>IF(NFI_Expiration=1,IF($A170&lt;VLOOKUP(U$5,NFI,5,0),1,0)*Data_NFI_t[[#This Row],[Plastic Mat]],0)*IF(Data_NFI_t[[#This Row],[Distribution Date]]&gt;"01-06-2015",1,2.5)</f>
        <v>0</v>
      </c>
      <c r="AN170" s="734">
        <f>IF(NFI_Expiration=1,IF($A170&lt;VLOOKUP(V$5,NFI,5,0),1,0)*Data_NFI_t[[#This Row],[Adult Clothes]],0)</f>
        <v>0</v>
      </c>
      <c r="AO170" s="105">
        <f>IF(NFI_Expiration=1,IF($A170&lt;VLOOKUP(W$5,NFI,5,0),1,0)*Data_NFI_t[[#This Row],[Children Clothes]],0)</f>
        <v>0</v>
      </c>
      <c r="AP170" s="105">
        <f>IF(NFI_Expiration=1,IF($A170&lt;VLOOKUP(X$5,NFI,5,0),1,0)*Data_NFI_t[[#This Row],[Sewing Kit]],0)</f>
        <v>0</v>
      </c>
      <c r="AQ170" s="734">
        <f>IF(NFI_Expiration=1,IF($A170&lt;VLOOKUP(X$5,NFI,5,0),1,0)*Data_NFI_t[[#This Row],[Solar Lantern]],0)</f>
        <v>0</v>
      </c>
      <c r="AR170" s="105" t="str">
        <f ca="1">IFERROR(OFFSET(Camp_List[P_Code],MATCH(Data_NFI_t[[#This Row],[Camp Name]],Camp_List[Camp Name],0)-1,0,1,1),"")</f>
        <v>MMR012CMP023</v>
      </c>
      <c r="AS170" s="421" t="str">
        <f ca="1">IFERROR(OFFSET(Camp_List[Status],MATCH(Data_NFI_t[[#This Row],[Camp Name]],Camp_List[Camp Name],0)-1,0,1,1),"")</f>
        <v>Open</v>
      </c>
      <c r="AT170" s="105"/>
    </row>
    <row r="171" spans="1:46" s="78" customFormat="1" ht="19.5" customHeight="1" x14ac:dyDescent="0.25">
      <c r="A171" s="208">
        <f t="shared" si="2"/>
        <v>33.666666666666664</v>
      </c>
      <c r="B171" s="208">
        <f>YEAR(Data_NFI_t[[#This Row],[Distribution Date]])</f>
        <v>2015</v>
      </c>
      <c r="C171" s="744">
        <v>42180</v>
      </c>
      <c r="D171" s="402" t="s">
        <v>270</v>
      </c>
      <c r="E171" s="401" t="s">
        <v>270</v>
      </c>
      <c r="F171" s="402" t="s">
        <v>7</v>
      </c>
      <c r="G171" s="670" t="s">
        <v>14</v>
      </c>
      <c r="H171" s="670" t="s">
        <v>52</v>
      </c>
      <c r="I171" s="670"/>
      <c r="J171" s="670"/>
      <c r="K171" s="670"/>
      <c r="L171" s="42"/>
      <c r="M171" s="42"/>
      <c r="N171" s="42"/>
      <c r="O171" s="42">
        <v>97</v>
      </c>
      <c r="P171" s="42"/>
      <c r="Q171" s="42"/>
      <c r="R171" s="42"/>
      <c r="S171" s="42"/>
      <c r="T171" s="419"/>
      <c r="U171" s="42"/>
      <c r="V171" s="42"/>
      <c r="W171" s="42"/>
      <c r="X171" s="42"/>
      <c r="Y171" s="42"/>
      <c r="Z171" s="42"/>
      <c r="AA171" s="42"/>
      <c r="AB171" s="42"/>
      <c r="AC171" s="105">
        <f>IF(NFI_Expiration=1,IF($A171&lt;VLOOKUP(I$5,NFI,5,0),1,0)*Data_NFI_t[[#This Row],[Hygiene Kit]],0)</f>
        <v>0</v>
      </c>
      <c r="AD171" s="105">
        <f>IF(NFI_Expiration=1,IF($A171&lt;VLOOKUP(L$5,NFI,5,0),1,0)*Data_NFI_t[[#This Row],[NFI Core Kit]],0)</f>
        <v>0</v>
      </c>
      <c r="AE171" s="86">
        <f>IF(NFI_Expiration=1,IF($A171&lt;VLOOKUP(M$5,NFI,5,0),1,0)*Data_NFI_t[[#This Row],[Sanitary Kit]],0)</f>
        <v>0</v>
      </c>
      <c r="AF171" s="86">
        <f>IF(NFI_Expiration=1,IF($A171&lt;VLOOKUP(N$5,NFI,5,0),1,0)*Data_NFI_t[[#This Row],[Mosquito net]],0)</f>
        <v>0</v>
      </c>
      <c r="AG171" s="86">
        <f>IF(NFI_Expiration=1,IF($A171&lt;VLOOKUP(O$5,NFI,5,0),1,0)*Data_NFI_t[[#This Row],[Tarpaulin]],0)</f>
        <v>0</v>
      </c>
      <c r="AH171" s="86">
        <f>IF(NFI_Expiration=1,IF($A171&lt;VLOOKUP(P$5,NFI,5,0),1,0)*Data_NFI_t[[#This Row],[Blanket]],0)</f>
        <v>0</v>
      </c>
      <c r="AI171" s="86">
        <f>IF(NFI_Expiration=1,IF($A171&lt;VLOOKUP(Q$5,NFI,5,0),1,0)*Data_NFI_t[[#This Row],[Kitchen Set]],0)</f>
        <v>0</v>
      </c>
      <c r="AJ171" s="86">
        <f>IF(NFI_Expiration=1,IF($A171&lt;VLOOKUP(R$5,NFI,5,0),1,0)*Data_NFI_t[[#This Row],[Complementary Kit]],0)</f>
        <v>0</v>
      </c>
      <c r="AK171" s="86">
        <f>IF(NFI_Expiration=1,IF($A171&lt;VLOOKUP(S$5,NFI,5,0),1,0)*Data_NFI_t[[#This Row],[Plastic Bucket]],0)</f>
        <v>0</v>
      </c>
      <c r="AL171" s="86">
        <f>IF(NFI_Expiration=1,IF($A171&lt;VLOOKUP(T$5,NFI,5,0),1,0)*Data_NFI_t[[#This Row],[Jerry Can]],0)</f>
        <v>0</v>
      </c>
      <c r="AM171" s="105">
        <f>IF(NFI_Expiration=1,IF($A171&lt;VLOOKUP(U$5,NFI,5,0),1,0)*Data_NFI_t[[#This Row],[Plastic Mat]],0)*IF(Data_NFI_t[[#This Row],[Distribution Date]]&gt;"01-06-2015",1,2.5)</f>
        <v>0</v>
      </c>
      <c r="AN171" s="734">
        <f>IF(NFI_Expiration=1,IF($A171&lt;VLOOKUP(V$5,NFI,5,0),1,0)*Data_NFI_t[[#This Row],[Adult Clothes]],0)</f>
        <v>0</v>
      </c>
      <c r="AO171" s="105">
        <f>IF(NFI_Expiration=1,IF($A171&lt;VLOOKUP(W$5,NFI,5,0),1,0)*Data_NFI_t[[#This Row],[Children Clothes]],0)</f>
        <v>0</v>
      </c>
      <c r="AP171" s="105">
        <f>IF(NFI_Expiration=1,IF($A171&lt;VLOOKUP(X$5,NFI,5,0),1,0)*Data_NFI_t[[#This Row],[Sewing Kit]],0)</f>
        <v>0</v>
      </c>
      <c r="AQ171" s="734">
        <f>IF(NFI_Expiration=1,IF($A171&lt;VLOOKUP(X$5,NFI,5,0),1,0)*Data_NFI_t[[#This Row],[Solar Lantern]],0)</f>
        <v>0</v>
      </c>
      <c r="AR171" s="105" t="str">
        <f ca="1">IFERROR(OFFSET(Camp_List[P_Code],MATCH(Data_NFI_t[[#This Row],[Camp Name]],Camp_List[Camp Name],0)-1,0,1,1),"")</f>
        <v>MMR012CMP030</v>
      </c>
      <c r="AS171" s="421" t="str">
        <f ca="1">IFERROR(OFFSET(Camp_List[Status],MATCH(Data_NFI_t[[#This Row],[Camp Name]],Camp_List[Camp Name],0)-1,0,1,1),"")</f>
        <v>Relocated</v>
      </c>
      <c r="AT171" s="105"/>
    </row>
    <row r="172" spans="1:46" s="78" customFormat="1" ht="19.5" customHeight="1" x14ac:dyDescent="0.25">
      <c r="A172" s="208">
        <f t="shared" si="2"/>
        <v>33.700000000000003</v>
      </c>
      <c r="B172" s="208">
        <f>YEAR(Data_NFI_t[[#This Row],[Distribution Date]])</f>
        <v>2015</v>
      </c>
      <c r="C172" s="744">
        <v>42179</v>
      </c>
      <c r="D172" s="402" t="s">
        <v>270</v>
      </c>
      <c r="E172" s="401" t="s">
        <v>270</v>
      </c>
      <c r="F172" s="402" t="s">
        <v>7</v>
      </c>
      <c r="G172" s="670" t="s">
        <v>14</v>
      </c>
      <c r="H172" s="670" t="s">
        <v>48</v>
      </c>
      <c r="I172" s="670"/>
      <c r="J172" s="670"/>
      <c r="K172" s="670"/>
      <c r="L172" s="42"/>
      <c r="M172" s="42"/>
      <c r="N172" s="42"/>
      <c r="O172" s="42">
        <v>236</v>
      </c>
      <c r="P172" s="42"/>
      <c r="Q172" s="42"/>
      <c r="R172" s="42"/>
      <c r="S172" s="42"/>
      <c r="T172" s="419"/>
      <c r="U172" s="42"/>
      <c r="V172" s="42"/>
      <c r="W172" s="42"/>
      <c r="X172" s="42"/>
      <c r="Y172" s="42"/>
      <c r="Z172" s="42"/>
      <c r="AA172" s="42"/>
      <c r="AB172" s="42"/>
      <c r="AC172" s="105">
        <f>IF(NFI_Expiration=1,IF($A172&lt;VLOOKUP(I$5,NFI,5,0),1,0)*Data_NFI_t[[#This Row],[Hygiene Kit]],0)</f>
        <v>0</v>
      </c>
      <c r="AD172" s="105">
        <f>IF(NFI_Expiration=1,IF($A172&lt;VLOOKUP(L$5,NFI,5,0),1,0)*Data_NFI_t[[#This Row],[NFI Core Kit]],0)</f>
        <v>0</v>
      </c>
      <c r="AE172" s="86">
        <f>IF(NFI_Expiration=1,IF($A172&lt;VLOOKUP(M$5,NFI,5,0),1,0)*Data_NFI_t[[#This Row],[Sanitary Kit]],0)</f>
        <v>0</v>
      </c>
      <c r="AF172" s="86">
        <f>IF(NFI_Expiration=1,IF($A172&lt;VLOOKUP(N$5,NFI,5,0),1,0)*Data_NFI_t[[#This Row],[Mosquito net]],0)</f>
        <v>0</v>
      </c>
      <c r="AG172" s="86">
        <f>IF(NFI_Expiration=1,IF($A172&lt;VLOOKUP(O$5,NFI,5,0),1,0)*Data_NFI_t[[#This Row],[Tarpaulin]],0)</f>
        <v>0</v>
      </c>
      <c r="AH172" s="86">
        <f>IF(NFI_Expiration=1,IF($A172&lt;VLOOKUP(P$5,NFI,5,0),1,0)*Data_NFI_t[[#This Row],[Blanket]],0)</f>
        <v>0</v>
      </c>
      <c r="AI172" s="86">
        <f>IF(NFI_Expiration=1,IF($A172&lt;VLOOKUP(Q$5,NFI,5,0),1,0)*Data_NFI_t[[#This Row],[Kitchen Set]],0)</f>
        <v>0</v>
      </c>
      <c r="AJ172" s="86">
        <f>IF(NFI_Expiration=1,IF($A172&lt;VLOOKUP(R$5,NFI,5,0),1,0)*Data_NFI_t[[#This Row],[Complementary Kit]],0)</f>
        <v>0</v>
      </c>
      <c r="AK172" s="86">
        <f>IF(NFI_Expiration=1,IF($A172&lt;VLOOKUP(S$5,NFI,5,0),1,0)*Data_NFI_t[[#This Row],[Plastic Bucket]],0)</f>
        <v>0</v>
      </c>
      <c r="AL172" s="86">
        <f>IF(NFI_Expiration=1,IF($A172&lt;VLOOKUP(T$5,NFI,5,0),1,0)*Data_NFI_t[[#This Row],[Jerry Can]],0)</f>
        <v>0</v>
      </c>
      <c r="AM172" s="105">
        <f>IF(NFI_Expiration=1,IF($A172&lt;VLOOKUP(U$5,NFI,5,0),1,0)*Data_NFI_t[[#This Row],[Plastic Mat]],0)*IF(Data_NFI_t[[#This Row],[Distribution Date]]&gt;"01-06-2015",1,2.5)</f>
        <v>0</v>
      </c>
      <c r="AN172" s="734">
        <f>IF(NFI_Expiration=1,IF($A172&lt;VLOOKUP(V$5,NFI,5,0),1,0)*Data_NFI_t[[#This Row],[Adult Clothes]],0)</f>
        <v>0</v>
      </c>
      <c r="AO172" s="105">
        <f>IF(NFI_Expiration=1,IF($A172&lt;VLOOKUP(W$5,NFI,5,0),1,0)*Data_NFI_t[[#This Row],[Children Clothes]],0)</f>
        <v>0</v>
      </c>
      <c r="AP172" s="105">
        <f>IF(NFI_Expiration=1,IF($A172&lt;VLOOKUP(X$5,NFI,5,0),1,0)*Data_NFI_t[[#This Row],[Sewing Kit]],0)</f>
        <v>0</v>
      </c>
      <c r="AQ172" s="734">
        <f>IF(NFI_Expiration=1,IF($A172&lt;VLOOKUP(X$5,NFI,5,0),1,0)*Data_NFI_t[[#This Row],[Solar Lantern]],0)</f>
        <v>0</v>
      </c>
      <c r="AR172" s="105" t="str">
        <f ca="1">IFERROR(OFFSET(Camp_List[P_Code],MATCH(Data_NFI_t[[#This Row],[Camp Name]],Camp_List[Camp Name],0)-1,0,1,1),"")</f>
        <v>MMR012CMP026</v>
      </c>
      <c r="AS172" s="421" t="str">
        <f ca="1">IFERROR(OFFSET(Camp_List[Status],MATCH(Data_NFI_t[[#This Row],[Camp Name]],Camp_List[Camp Name],0)-1,0,1,1),"")</f>
        <v>Returned</v>
      </c>
      <c r="AT172" s="105"/>
    </row>
    <row r="173" spans="1:46" s="78" customFormat="1" ht="19.5" customHeight="1" x14ac:dyDescent="0.25">
      <c r="A173" s="208">
        <f t="shared" si="2"/>
        <v>33.700000000000003</v>
      </c>
      <c r="B173" s="208">
        <f>YEAR(Data_NFI_t[[#This Row],[Distribution Date]])</f>
        <v>2015</v>
      </c>
      <c r="C173" s="744">
        <v>42179</v>
      </c>
      <c r="D173" s="402" t="s">
        <v>270</v>
      </c>
      <c r="E173" s="401" t="s">
        <v>270</v>
      </c>
      <c r="F173" s="402" t="s">
        <v>7</v>
      </c>
      <c r="G173" s="670" t="s">
        <v>14</v>
      </c>
      <c r="H173" s="670" t="s">
        <v>46</v>
      </c>
      <c r="I173" s="670"/>
      <c r="J173" s="670"/>
      <c r="K173" s="670"/>
      <c r="L173" s="42"/>
      <c r="M173" s="42"/>
      <c r="N173" s="42"/>
      <c r="O173" s="42">
        <v>92</v>
      </c>
      <c r="P173" s="42"/>
      <c r="Q173" s="42"/>
      <c r="R173" s="42"/>
      <c r="S173" s="42"/>
      <c r="T173" s="419"/>
      <c r="U173" s="42"/>
      <c r="V173" s="42"/>
      <c r="W173" s="42"/>
      <c r="X173" s="42"/>
      <c r="Y173" s="42"/>
      <c r="Z173" s="42"/>
      <c r="AA173" s="42"/>
      <c r="AB173" s="42"/>
      <c r="AC173" s="105">
        <f>IF(NFI_Expiration=1,IF($A173&lt;VLOOKUP(I$5,NFI,5,0),1,0)*Data_NFI_t[[#This Row],[Hygiene Kit]],0)</f>
        <v>0</v>
      </c>
      <c r="AD173" s="105">
        <f>IF(NFI_Expiration=1,IF($A173&lt;VLOOKUP(L$5,NFI,5,0),1,0)*Data_NFI_t[[#This Row],[NFI Core Kit]],0)</f>
        <v>0</v>
      </c>
      <c r="AE173" s="86">
        <f>IF(NFI_Expiration=1,IF($A173&lt;VLOOKUP(M$5,NFI,5,0),1,0)*Data_NFI_t[[#This Row],[Sanitary Kit]],0)</f>
        <v>0</v>
      </c>
      <c r="AF173" s="86">
        <f>IF(NFI_Expiration=1,IF($A173&lt;VLOOKUP(N$5,NFI,5,0),1,0)*Data_NFI_t[[#This Row],[Mosquito net]],0)</f>
        <v>0</v>
      </c>
      <c r="AG173" s="86">
        <f>IF(NFI_Expiration=1,IF($A173&lt;VLOOKUP(O$5,NFI,5,0),1,0)*Data_NFI_t[[#This Row],[Tarpaulin]],0)</f>
        <v>0</v>
      </c>
      <c r="AH173" s="86">
        <f>IF(NFI_Expiration=1,IF($A173&lt;VLOOKUP(P$5,NFI,5,0),1,0)*Data_NFI_t[[#This Row],[Blanket]],0)</f>
        <v>0</v>
      </c>
      <c r="AI173" s="86">
        <f>IF(NFI_Expiration=1,IF($A173&lt;VLOOKUP(Q$5,NFI,5,0),1,0)*Data_NFI_t[[#This Row],[Kitchen Set]],0)</f>
        <v>0</v>
      </c>
      <c r="AJ173" s="86">
        <f>IF(NFI_Expiration=1,IF($A173&lt;VLOOKUP(R$5,NFI,5,0),1,0)*Data_NFI_t[[#This Row],[Complementary Kit]],0)</f>
        <v>0</v>
      </c>
      <c r="AK173" s="86">
        <f>IF(NFI_Expiration=1,IF($A173&lt;VLOOKUP(S$5,NFI,5,0),1,0)*Data_NFI_t[[#This Row],[Plastic Bucket]],0)</f>
        <v>0</v>
      </c>
      <c r="AL173" s="86">
        <f>IF(NFI_Expiration=1,IF($A173&lt;VLOOKUP(T$5,NFI,5,0),1,0)*Data_NFI_t[[#This Row],[Jerry Can]],0)</f>
        <v>0</v>
      </c>
      <c r="AM173" s="105">
        <f>IF(NFI_Expiration=1,IF($A173&lt;VLOOKUP(U$5,NFI,5,0),1,0)*Data_NFI_t[[#This Row],[Plastic Mat]],0)*IF(Data_NFI_t[[#This Row],[Distribution Date]]&gt;"01-06-2015",1,2.5)</f>
        <v>0</v>
      </c>
      <c r="AN173" s="734">
        <f>IF(NFI_Expiration=1,IF($A173&lt;VLOOKUP(V$5,NFI,5,0),1,0)*Data_NFI_t[[#This Row],[Adult Clothes]],0)</f>
        <v>0</v>
      </c>
      <c r="AO173" s="105">
        <f>IF(NFI_Expiration=1,IF($A173&lt;VLOOKUP(W$5,NFI,5,0),1,0)*Data_NFI_t[[#This Row],[Children Clothes]],0)</f>
        <v>0</v>
      </c>
      <c r="AP173" s="105">
        <f>IF(NFI_Expiration=1,IF($A173&lt;VLOOKUP(X$5,NFI,5,0),1,0)*Data_NFI_t[[#This Row],[Sewing Kit]],0)</f>
        <v>0</v>
      </c>
      <c r="AQ173" s="734">
        <f>IF(NFI_Expiration=1,IF($A173&lt;VLOOKUP(X$5,NFI,5,0),1,0)*Data_NFI_t[[#This Row],[Solar Lantern]],0)</f>
        <v>0</v>
      </c>
      <c r="AR173" s="105" t="str">
        <f ca="1">IFERROR(OFFSET(Camp_List[P_Code],MATCH(Data_NFI_t[[#This Row],[Camp Name]],Camp_List[Camp Name],0)-1,0,1,1),"")</f>
        <v>MMR012CMP024</v>
      </c>
      <c r="AS173" s="421" t="str">
        <f ca="1">IFERROR(OFFSET(Camp_List[Status],MATCH(Data_NFI_t[[#This Row],[Camp Name]],Camp_List[Camp Name],0)-1,0,1,1),"")</f>
        <v>Returned</v>
      </c>
      <c r="AT173" s="105"/>
    </row>
    <row r="174" spans="1:46" s="78" customFormat="1" ht="19.5" customHeight="1" x14ac:dyDescent="0.25">
      <c r="A174" s="208">
        <f t="shared" si="2"/>
        <v>33.700000000000003</v>
      </c>
      <c r="B174" s="208">
        <f>YEAR(Data_NFI_t[[#This Row],[Distribution Date]])</f>
        <v>2015</v>
      </c>
      <c r="C174" s="744">
        <v>42179</v>
      </c>
      <c r="D174" s="402" t="s">
        <v>270</v>
      </c>
      <c r="E174" s="401" t="s">
        <v>270</v>
      </c>
      <c r="F174" s="402" t="s">
        <v>7</v>
      </c>
      <c r="G174" s="670" t="s">
        <v>14</v>
      </c>
      <c r="H174" s="670" t="s">
        <v>49</v>
      </c>
      <c r="I174" s="670"/>
      <c r="J174" s="670"/>
      <c r="K174" s="670"/>
      <c r="L174" s="42"/>
      <c r="M174" s="42"/>
      <c r="N174" s="42"/>
      <c r="O174" s="42">
        <v>116</v>
      </c>
      <c r="P174" s="42"/>
      <c r="Q174" s="42"/>
      <c r="R174" s="42"/>
      <c r="S174" s="42"/>
      <c r="T174" s="419"/>
      <c r="U174" s="42"/>
      <c r="V174" s="42"/>
      <c r="W174" s="42"/>
      <c r="X174" s="42"/>
      <c r="Y174" s="42"/>
      <c r="Z174" s="42"/>
      <c r="AA174" s="42"/>
      <c r="AB174" s="42"/>
      <c r="AC174" s="105">
        <f>IF(NFI_Expiration=1,IF($A174&lt;VLOOKUP(I$5,NFI,5,0),1,0)*Data_NFI_t[[#This Row],[Hygiene Kit]],0)</f>
        <v>0</v>
      </c>
      <c r="AD174" s="105">
        <f>IF(NFI_Expiration=1,IF($A174&lt;VLOOKUP(L$5,NFI,5,0),1,0)*Data_NFI_t[[#This Row],[NFI Core Kit]],0)</f>
        <v>0</v>
      </c>
      <c r="AE174" s="86">
        <f>IF(NFI_Expiration=1,IF($A174&lt;VLOOKUP(M$5,NFI,5,0),1,0)*Data_NFI_t[[#This Row],[Sanitary Kit]],0)</f>
        <v>0</v>
      </c>
      <c r="AF174" s="86">
        <f>IF(NFI_Expiration=1,IF($A174&lt;VLOOKUP(N$5,NFI,5,0),1,0)*Data_NFI_t[[#This Row],[Mosquito net]],0)</f>
        <v>0</v>
      </c>
      <c r="AG174" s="86">
        <f>IF(NFI_Expiration=1,IF($A174&lt;VLOOKUP(O$5,NFI,5,0),1,0)*Data_NFI_t[[#This Row],[Tarpaulin]],0)</f>
        <v>0</v>
      </c>
      <c r="AH174" s="86">
        <f>IF(NFI_Expiration=1,IF($A174&lt;VLOOKUP(P$5,NFI,5,0),1,0)*Data_NFI_t[[#This Row],[Blanket]],0)</f>
        <v>0</v>
      </c>
      <c r="AI174" s="86">
        <f>IF(NFI_Expiration=1,IF($A174&lt;VLOOKUP(Q$5,NFI,5,0),1,0)*Data_NFI_t[[#This Row],[Kitchen Set]],0)</f>
        <v>0</v>
      </c>
      <c r="AJ174" s="86">
        <f>IF(NFI_Expiration=1,IF($A174&lt;VLOOKUP(R$5,NFI,5,0),1,0)*Data_NFI_t[[#This Row],[Complementary Kit]],0)</f>
        <v>0</v>
      </c>
      <c r="AK174" s="86">
        <f>IF(NFI_Expiration=1,IF($A174&lt;VLOOKUP(S$5,NFI,5,0),1,0)*Data_NFI_t[[#This Row],[Plastic Bucket]],0)</f>
        <v>0</v>
      </c>
      <c r="AL174" s="86">
        <f>IF(NFI_Expiration=1,IF($A174&lt;VLOOKUP(T$5,NFI,5,0),1,0)*Data_NFI_t[[#This Row],[Jerry Can]],0)</f>
        <v>0</v>
      </c>
      <c r="AM174" s="105">
        <f>IF(NFI_Expiration=1,IF($A174&lt;VLOOKUP(U$5,NFI,5,0),1,0)*Data_NFI_t[[#This Row],[Plastic Mat]],0)*IF(Data_NFI_t[[#This Row],[Distribution Date]]&gt;"01-06-2015",1,2.5)</f>
        <v>0</v>
      </c>
      <c r="AN174" s="734">
        <f>IF(NFI_Expiration=1,IF($A174&lt;VLOOKUP(V$5,NFI,5,0),1,0)*Data_NFI_t[[#This Row],[Adult Clothes]],0)</f>
        <v>0</v>
      </c>
      <c r="AO174" s="105">
        <f>IF(NFI_Expiration=1,IF($A174&lt;VLOOKUP(W$5,NFI,5,0),1,0)*Data_NFI_t[[#This Row],[Children Clothes]],0)</f>
        <v>0</v>
      </c>
      <c r="AP174" s="105">
        <f>IF(NFI_Expiration=1,IF($A174&lt;VLOOKUP(X$5,NFI,5,0),1,0)*Data_NFI_t[[#This Row],[Sewing Kit]],0)</f>
        <v>0</v>
      </c>
      <c r="AQ174" s="734">
        <f>IF(NFI_Expiration=1,IF($A174&lt;VLOOKUP(X$5,NFI,5,0),1,0)*Data_NFI_t[[#This Row],[Solar Lantern]],0)</f>
        <v>0</v>
      </c>
      <c r="AR174" s="105" t="str">
        <f ca="1">IFERROR(OFFSET(Camp_List[P_Code],MATCH(Data_NFI_t[[#This Row],[Camp Name]],Camp_List[Camp Name],0)-1,0,1,1),"")</f>
        <v>MMR012CMP027</v>
      </c>
      <c r="AS174" s="421" t="str">
        <f ca="1">IFERROR(OFFSET(Camp_List[Status],MATCH(Data_NFI_t[[#This Row],[Camp Name]],Camp_List[Camp Name],0)-1,0,1,1),"")</f>
        <v>Returned</v>
      </c>
      <c r="AT174" s="105"/>
    </row>
    <row r="175" spans="1:46" s="78" customFormat="1" ht="19.5" customHeight="1" x14ac:dyDescent="0.25">
      <c r="A175" s="208">
        <f t="shared" si="2"/>
        <v>33.733333333333334</v>
      </c>
      <c r="B175" s="208">
        <f>YEAR(Data_NFI_t[[#This Row],[Distribution Date]])</f>
        <v>2015</v>
      </c>
      <c r="C175" s="744">
        <v>42178</v>
      </c>
      <c r="D175" s="402" t="s">
        <v>270</v>
      </c>
      <c r="E175" s="401" t="s">
        <v>270</v>
      </c>
      <c r="F175" s="402" t="s">
        <v>7</v>
      </c>
      <c r="G175" s="670" t="s">
        <v>11</v>
      </c>
      <c r="H175" s="670" t="s">
        <v>24</v>
      </c>
      <c r="I175" s="670"/>
      <c r="J175" s="670"/>
      <c r="K175" s="670"/>
      <c r="L175" s="42"/>
      <c r="M175" s="42"/>
      <c r="N175" s="42"/>
      <c r="O175" s="42">
        <v>16</v>
      </c>
      <c r="P175" s="42"/>
      <c r="Q175" s="42"/>
      <c r="R175" s="42"/>
      <c r="S175" s="42"/>
      <c r="T175" s="419"/>
      <c r="U175" s="42"/>
      <c r="V175" s="42"/>
      <c r="W175" s="42"/>
      <c r="X175" s="42"/>
      <c r="Y175" s="42"/>
      <c r="Z175" s="42"/>
      <c r="AA175" s="42"/>
      <c r="AB175" s="42"/>
      <c r="AC175" s="105">
        <f>IF(NFI_Expiration=1,IF($A175&lt;VLOOKUP(I$5,NFI,5,0),1,0)*Data_NFI_t[[#This Row],[Hygiene Kit]],0)</f>
        <v>0</v>
      </c>
      <c r="AD175" s="105">
        <f>IF(NFI_Expiration=1,IF($A175&lt;VLOOKUP(L$5,NFI,5,0),1,0)*Data_NFI_t[[#This Row],[NFI Core Kit]],0)</f>
        <v>0</v>
      </c>
      <c r="AE175" s="86">
        <f>IF(NFI_Expiration=1,IF($A175&lt;VLOOKUP(M$5,NFI,5,0),1,0)*Data_NFI_t[[#This Row],[Sanitary Kit]],0)</f>
        <v>0</v>
      </c>
      <c r="AF175" s="86">
        <f>IF(NFI_Expiration=1,IF($A175&lt;VLOOKUP(N$5,NFI,5,0),1,0)*Data_NFI_t[[#This Row],[Mosquito net]],0)</f>
        <v>0</v>
      </c>
      <c r="AG175" s="86">
        <f>IF(NFI_Expiration=1,IF($A175&lt;VLOOKUP(O$5,NFI,5,0),1,0)*Data_NFI_t[[#This Row],[Tarpaulin]],0)</f>
        <v>0</v>
      </c>
      <c r="AH175" s="86">
        <f>IF(NFI_Expiration=1,IF($A175&lt;VLOOKUP(P$5,NFI,5,0),1,0)*Data_NFI_t[[#This Row],[Blanket]],0)</f>
        <v>0</v>
      </c>
      <c r="AI175" s="86">
        <f>IF(NFI_Expiration=1,IF($A175&lt;VLOOKUP(Q$5,NFI,5,0),1,0)*Data_NFI_t[[#This Row],[Kitchen Set]],0)</f>
        <v>0</v>
      </c>
      <c r="AJ175" s="86">
        <f>IF(NFI_Expiration=1,IF($A175&lt;VLOOKUP(R$5,NFI,5,0),1,0)*Data_NFI_t[[#This Row],[Complementary Kit]],0)</f>
        <v>0</v>
      </c>
      <c r="AK175" s="86">
        <f>IF(NFI_Expiration=1,IF($A175&lt;VLOOKUP(S$5,NFI,5,0),1,0)*Data_NFI_t[[#This Row],[Plastic Bucket]],0)</f>
        <v>0</v>
      </c>
      <c r="AL175" s="86">
        <f>IF(NFI_Expiration=1,IF($A175&lt;VLOOKUP(T$5,NFI,5,0),1,0)*Data_NFI_t[[#This Row],[Jerry Can]],0)</f>
        <v>0</v>
      </c>
      <c r="AM175" s="105">
        <f>IF(NFI_Expiration=1,IF($A175&lt;VLOOKUP(U$5,NFI,5,0),1,0)*Data_NFI_t[[#This Row],[Plastic Mat]],0)*IF(Data_NFI_t[[#This Row],[Distribution Date]]&gt;"01-06-2015",1,2.5)</f>
        <v>0</v>
      </c>
      <c r="AN175" s="734">
        <f>IF(NFI_Expiration=1,IF($A175&lt;VLOOKUP(V$5,NFI,5,0),1,0)*Data_NFI_t[[#This Row],[Adult Clothes]],0)</f>
        <v>0</v>
      </c>
      <c r="AO175" s="105">
        <f>IF(NFI_Expiration=1,IF($A175&lt;VLOOKUP(W$5,NFI,5,0),1,0)*Data_NFI_t[[#This Row],[Children Clothes]],0)</f>
        <v>0</v>
      </c>
      <c r="AP175" s="105">
        <f>IF(NFI_Expiration=1,IF($A175&lt;VLOOKUP(X$5,NFI,5,0),1,0)*Data_NFI_t[[#This Row],[Sewing Kit]],0)</f>
        <v>0</v>
      </c>
      <c r="AQ175" s="734">
        <f>IF(NFI_Expiration=1,IF($A175&lt;VLOOKUP(X$5,NFI,5,0),1,0)*Data_NFI_t[[#This Row],[Solar Lantern]],0)</f>
        <v>0</v>
      </c>
      <c r="AR175" s="105" t="str">
        <f ca="1">IFERROR(OFFSET(Camp_List[P_Code],MATCH(Data_NFI_t[[#This Row],[Camp Name]],Camp_List[Camp Name],0)-1,0,1,1),"")</f>
        <v>MMR012CMP002</v>
      </c>
      <c r="AS175" s="421" t="str">
        <f ca="1">IFERROR(OFFSET(Camp_List[Status],MATCH(Data_NFI_t[[#This Row],[Camp Name]],Camp_List[Camp Name],0)-1,0,1,1),"")</f>
        <v>Returned</v>
      </c>
      <c r="AT175" s="105"/>
    </row>
    <row r="176" spans="1:46" s="78" customFormat="1" ht="19.5" customHeight="1" x14ac:dyDescent="0.25">
      <c r="A176" s="208">
        <f t="shared" si="2"/>
        <v>34</v>
      </c>
      <c r="B176" s="208">
        <v>2015</v>
      </c>
      <c r="C176" s="744">
        <v>42170</v>
      </c>
      <c r="D176" s="402" t="s">
        <v>270</v>
      </c>
      <c r="E176" s="401" t="s">
        <v>882</v>
      </c>
      <c r="F176" s="402" t="s">
        <v>7</v>
      </c>
      <c r="G176" s="670" t="s">
        <v>15</v>
      </c>
      <c r="H176" s="670" t="s">
        <v>382</v>
      </c>
      <c r="I176" s="670">
        <v>0</v>
      </c>
      <c r="J176" s="670"/>
      <c r="K176" s="670"/>
      <c r="L176" s="42">
        <v>0</v>
      </c>
      <c r="M176" s="42">
        <v>0</v>
      </c>
      <c r="N176" s="42">
        <v>0</v>
      </c>
      <c r="O176" s="42">
        <v>10</v>
      </c>
      <c r="P176" s="42">
        <v>0</v>
      </c>
      <c r="Q176" s="42">
        <v>0</v>
      </c>
      <c r="R176" s="42">
        <v>0</v>
      </c>
      <c r="S176" s="42">
        <v>0</v>
      </c>
      <c r="T176" s="419">
        <v>0</v>
      </c>
      <c r="U176" s="42">
        <v>0</v>
      </c>
      <c r="V176" s="42"/>
      <c r="W176" s="42"/>
      <c r="X176" s="42"/>
      <c r="Y176" s="42"/>
      <c r="Z176" s="42"/>
      <c r="AA176" s="42"/>
      <c r="AB176" s="42"/>
      <c r="AC176" s="105">
        <f>IF(NFI_Expiration=1,IF($A176&lt;VLOOKUP(I$5,NFI,5,0),1,0)*Data_NFI_t[[#This Row],[Hygiene Kit]],0)</f>
        <v>0</v>
      </c>
      <c r="AD176" s="105">
        <f>IF(NFI_Expiration=1,IF($A176&lt;VLOOKUP(L$5,NFI,5,0),1,0)*Data_NFI_t[[#This Row],[NFI Core Kit]],0)</f>
        <v>0</v>
      </c>
      <c r="AE176" s="86">
        <f>IF(NFI_Expiration=1,IF($A176&lt;VLOOKUP(M$5,NFI,5,0),1,0)*Data_NFI_t[[#This Row],[Sanitary Kit]],0)</f>
        <v>0</v>
      </c>
      <c r="AF176" s="86">
        <f>IF(NFI_Expiration=1,IF($A176&lt;VLOOKUP(N$5,NFI,5,0),1,0)*Data_NFI_t[[#This Row],[Mosquito net]],0)</f>
        <v>0</v>
      </c>
      <c r="AG176" s="86">
        <f>IF(NFI_Expiration=1,IF($A176&lt;VLOOKUP(O$5,NFI,5,0),1,0)*Data_NFI_t[[#This Row],[Tarpaulin]],0)</f>
        <v>0</v>
      </c>
      <c r="AH176" s="86">
        <f>IF(NFI_Expiration=1,IF($A176&lt;VLOOKUP(P$5,NFI,5,0),1,0)*Data_NFI_t[[#This Row],[Blanket]],0)</f>
        <v>0</v>
      </c>
      <c r="AI176" s="86">
        <f>IF(NFI_Expiration=1,IF($A176&lt;VLOOKUP(Q$5,NFI,5,0),1,0)*Data_NFI_t[[#This Row],[Kitchen Set]],0)</f>
        <v>0</v>
      </c>
      <c r="AJ176" s="86">
        <f>IF(NFI_Expiration=1,IF($A176&lt;VLOOKUP(R$5,NFI,5,0),1,0)*Data_NFI_t[[#This Row],[Complementary Kit]],0)</f>
        <v>0</v>
      </c>
      <c r="AK176" s="86">
        <f>IF(NFI_Expiration=1,IF($A176&lt;VLOOKUP(S$5,NFI,5,0),1,0)*Data_NFI_t[[#This Row],[Plastic Bucket]],0)</f>
        <v>0</v>
      </c>
      <c r="AL176" s="86">
        <f>IF(NFI_Expiration=1,IF($A176&lt;VLOOKUP(T$5,NFI,5,0),1,0)*Data_NFI_t[[#This Row],[Jerry Can]],0)</f>
        <v>0</v>
      </c>
      <c r="AM176" s="105">
        <f>IF(NFI_Expiration=1,IF($A176&lt;VLOOKUP(U$5,NFI,5,0),1,0)*Data_NFI_t[[#This Row],[Plastic Mat]],0)*IF(Data_NFI_t[[#This Row],[Distribution Date]]&gt;"01-06-2015",1,2.5)</f>
        <v>0</v>
      </c>
      <c r="AN176" s="734">
        <f>IF(NFI_Expiration=1,IF($A176&lt;VLOOKUP(V$5,NFI,5,0),1,0)*Data_NFI_t[[#This Row],[Adult Clothes]],0)</f>
        <v>0</v>
      </c>
      <c r="AO176" s="105">
        <f>IF(NFI_Expiration=1,IF($A176&lt;VLOOKUP(W$5,NFI,5,0),1,0)*Data_NFI_t[[#This Row],[Children Clothes]],0)</f>
        <v>0</v>
      </c>
      <c r="AP176" s="105">
        <f>IF(NFI_Expiration=1,IF($A176&lt;VLOOKUP(X$5,NFI,5,0),1,0)*Data_NFI_t[[#This Row],[Sewing Kit]],0)</f>
        <v>0</v>
      </c>
      <c r="AQ176" s="734">
        <f>IF(NFI_Expiration=1,IF($A176&lt;VLOOKUP(X$5,NFI,5,0),1,0)*Data_NFI_t[[#This Row],[Solar Lantern]],0)</f>
        <v>0</v>
      </c>
      <c r="AR176" s="105" t="str">
        <f ca="1">IFERROR(OFFSET(Camp_List[P_Code],MATCH(Data_NFI_t[[#This Row],[Camp Name]],Camp_List[Camp Name],0)-1,0,1,1),"")</f>
        <v/>
      </c>
      <c r="AS176" s="421" t="str">
        <f ca="1">IFERROR(OFFSET(Camp_List[Status],MATCH(Data_NFI_t[[#This Row],[Camp Name]],Camp_List[Camp Name],0)-1,0,1,1),"")</f>
        <v/>
      </c>
      <c r="AT176" s="105"/>
    </row>
    <row r="177" spans="1:46" s="78" customFormat="1" ht="19.5" customHeight="1" x14ac:dyDescent="0.25">
      <c r="A177" s="208">
        <f t="shared" si="2"/>
        <v>34</v>
      </c>
      <c r="B177" s="208">
        <v>2015</v>
      </c>
      <c r="C177" s="744">
        <v>42170</v>
      </c>
      <c r="D177" s="402" t="s">
        <v>270</v>
      </c>
      <c r="E177" s="401" t="s">
        <v>882</v>
      </c>
      <c r="F177" s="402" t="s">
        <v>7</v>
      </c>
      <c r="G177" s="670" t="s">
        <v>15</v>
      </c>
      <c r="H177" s="670" t="s">
        <v>560</v>
      </c>
      <c r="I177" s="670">
        <v>0</v>
      </c>
      <c r="J177" s="670"/>
      <c r="K177" s="670"/>
      <c r="L177" s="42">
        <v>0</v>
      </c>
      <c r="M177" s="42">
        <v>0</v>
      </c>
      <c r="N177" s="42">
        <v>0</v>
      </c>
      <c r="O177" s="42">
        <v>20</v>
      </c>
      <c r="P177" s="42">
        <v>0</v>
      </c>
      <c r="Q177" s="42">
        <v>0</v>
      </c>
      <c r="R177" s="42">
        <v>0</v>
      </c>
      <c r="S177" s="42">
        <v>0</v>
      </c>
      <c r="T177" s="419">
        <v>0</v>
      </c>
      <c r="U177" s="42">
        <v>0</v>
      </c>
      <c r="V177" s="42"/>
      <c r="W177" s="42"/>
      <c r="X177" s="42"/>
      <c r="Y177" s="42"/>
      <c r="Z177" s="42"/>
      <c r="AA177" s="42"/>
      <c r="AB177" s="42"/>
      <c r="AC177" s="105">
        <f>IF(NFI_Expiration=1,IF($A177&lt;VLOOKUP(I$5,NFI,5,0),1,0)*Data_NFI_t[[#This Row],[Hygiene Kit]],0)</f>
        <v>0</v>
      </c>
      <c r="AD177" s="105">
        <f>IF(NFI_Expiration=1,IF($A177&lt;VLOOKUP(L$5,NFI,5,0),1,0)*Data_NFI_t[[#This Row],[NFI Core Kit]],0)</f>
        <v>0</v>
      </c>
      <c r="AE177" s="86">
        <f>IF(NFI_Expiration=1,IF($A177&lt;VLOOKUP(M$5,NFI,5,0),1,0)*Data_NFI_t[[#This Row],[Sanitary Kit]],0)</f>
        <v>0</v>
      </c>
      <c r="AF177" s="86">
        <f>IF(NFI_Expiration=1,IF($A177&lt;VLOOKUP(N$5,NFI,5,0),1,0)*Data_NFI_t[[#This Row],[Mosquito net]],0)</f>
        <v>0</v>
      </c>
      <c r="AG177" s="86">
        <f>IF(NFI_Expiration=1,IF($A177&lt;VLOOKUP(O$5,NFI,5,0),1,0)*Data_NFI_t[[#This Row],[Tarpaulin]],0)</f>
        <v>0</v>
      </c>
      <c r="AH177" s="86">
        <f>IF(NFI_Expiration=1,IF($A177&lt;VLOOKUP(P$5,NFI,5,0),1,0)*Data_NFI_t[[#This Row],[Blanket]],0)</f>
        <v>0</v>
      </c>
      <c r="AI177" s="86">
        <f>IF(NFI_Expiration=1,IF($A177&lt;VLOOKUP(Q$5,NFI,5,0),1,0)*Data_NFI_t[[#This Row],[Kitchen Set]],0)</f>
        <v>0</v>
      </c>
      <c r="AJ177" s="86">
        <f>IF(NFI_Expiration=1,IF($A177&lt;VLOOKUP(R$5,NFI,5,0),1,0)*Data_NFI_t[[#This Row],[Complementary Kit]],0)</f>
        <v>0</v>
      </c>
      <c r="AK177" s="86">
        <f>IF(NFI_Expiration=1,IF($A177&lt;VLOOKUP(S$5,NFI,5,0),1,0)*Data_NFI_t[[#This Row],[Plastic Bucket]],0)</f>
        <v>0</v>
      </c>
      <c r="AL177" s="86">
        <f>IF(NFI_Expiration=1,IF($A177&lt;VLOOKUP(T$5,NFI,5,0),1,0)*Data_NFI_t[[#This Row],[Jerry Can]],0)</f>
        <v>0</v>
      </c>
      <c r="AM177" s="105">
        <f>IF(NFI_Expiration=1,IF($A177&lt;VLOOKUP(U$5,NFI,5,0),1,0)*Data_NFI_t[[#This Row],[Plastic Mat]],0)*IF(Data_NFI_t[[#This Row],[Distribution Date]]&gt;"01-06-2015",1,2.5)</f>
        <v>0</v>
      </c>
      <c r="AN177" s="734">
        <f>IF(NFI_Expiration=1,IF($A177&lt;VLOOKUP(V$5,NFI,5,0),1,0)*Data_NFI_t[[#This Row],[Adult Clothes]],0)</f>
        <v>0</v>
      </c>
      <c r="AO177" s="105">
        <f>IF(NFI_Expiration=1,IF($A177&lt;VLOOKUP(W$5,NFI,5,0),1,0)*Data_NFI_t[[#This Row],[Children Clothes]],0)</f>
        <v>0</v>
      </c>
      <c r="AP177" s="105">
        <f>IF(NFI_Expiration=1,IF($A177&lt;VLOOKUP(X$5,NFI,5,0),1,0)*Data_NFI_t[[#This Row],[Sewing Kit]],0)</f>
        <v>0</v>
      </c>
      <c r="AQ177" s="734">
        <f>IF(NFI_Expiration=1,IF($A177&lt;VLOOKUP(X$5,NFI,5,0),1,0)*Data_NFI_t[[#This Row],[Solar Lantern]],0)</f>
        <v>0</v>
      </c>
      <c r="AR177" s="105" t="str">
        <f ca="1">IFERROR(OFFSET(Camp_List[P_Code],MATCH(Data_NFI_t[[#This Row],[Camp Name]],Camp_List[Camp Name],0)-1,0,1,1),"")</f>
        <v/>
      </c>
      <c r="AS177" s="421" t="str">
        <f ca="1">IFERROR(OFFSET(Camp_List[Status],MATCH(Data_NFI_t[[#This Row],[Camp Name]],Camp_List[Camp Name],0)-1,0,1,1),"")</f>
        <v/>
      </c>
      <c r="AT177" s="105"/>
    </row>
    <row r="178" spans="1:46" s="78" customFormat="1" ht="19.5" customHeight="1" x14ac:dyDescent="0.25">
      <c r="A178" s="208">
        <f t="shared" si="2"/>
        <v>34</v>
      </c>
      <c r="B178" s="208">
        <v>2015</v>
      </c>
      <c r="C178" s="744">
        <v>42170</v>
      </c>
      <c r="D178" s="402" t="s">
        <v>270</v>
      </c>
      <c r="E178" s="401" t="s">
        <v>882</v>
      </c>
      <c r="F178" s="402" t="s">
        <v>7</v>
      </c>
      <c r="G178" s="670" t="s">
        <v>15</v>
      </c>
      <c r="H178" s="670" t="s">
        <v>55</v>
      </c>
      <c r="I178" s="670">
        <v>0</v>
      </c>
      <c r="J178" s="670"/>
      <c r="K178" s="670"/>
      <c r="L178" s="42">
        <v>0</v>
      </c>
      <c r="M178" s="42">
        <v>0</v>
      </c>
      <c r="N178" s="42">
        <v>0</v>
      </c>
      <c r="O178" s="42">
        <v>10</v>
      </c>
      <c r="P178" s="42">
        <v>0</v>
      </c>
      <c r="Q178" s="42">
        <v>0</v>
      </c>
      <c r="R178" s="42">
        <v>0</v>
      </c>
      <c r="S178" s="42">
        <v>0</v>
      </c>
      <c r="T178" s="419">
        <v>0</v>
      </c>
      <c r="U178" s="42">
        <v>0</v>
      </c>
      <c r="V178" s="42"/>
      <c r="W178" s="42"/>
      <c r="X178" s="42"/>
      <c r="Y178" s="42"/>
      <c r="Z178" s="42"/>
      <c r="AA178" s="42"/>
      <c r="AB178" s="42"/>
      <c r="AC178" s="105">
        <f>IF(NFI_Expiration=1,IF($A178&lt;VLOOKUP(I$5,NFI,5,0),1,0)*Data_NFI_t[[#This Row],[Hygiene Kit]],0)</f>
        <v>0</v>
      </c>
      <c r="AD178" s="105">
        <f>IF(NFI_Expiration=1,IF($A178&lt;VLOOKUP(L$5,NFI,5,0),1,0)*Data_NFI_t[[#This Row],[NFI Core Kit]],0)</f>
        <v>0</v>
      </c>
      <c r="AE178" s="86">
        <f>IF(NFI_Expiration=1,IF($A178&lt;VLOOKUP(M$5,NFI,5,0),1,0)*Data_NFI_t[[#This Row],[Sanitary Kit]],0)</f>
        <v>0</v>
      </c>
      <c r="AF178" s="86">
        <f>IF(NFI_Expiration=1,IF($A178&lt;VLOOKUP(N$5,NFI,5,0),1,0)*Data_NFI_t[[#This Row],[Mosquito net]],0)</f>
        <v>0</v>
      </c>
      <c r="AG178" s="86">
        <f>IF(NFI_Expiration=1,IF($A178&lt;VLOOKUP(O$5,NFI,5,0),1,0)*Data_NFI_t[[#This Row],[Tarpaulin]],0)</f>
        <v>0</v>
      </c>
      <c r="AH178" s="86">
        <f>IF(NFI_Expiration=1,IF($A178&lt;VLOOKUP(P$5,NFI,5,0),1,0)*Data_NFI_t[[#This Row],[Blanket]],0)</f>
        <v>0</v>
      </c>
      <c r="AI178" s="86">
        <f>IF(NFI_Expiration=1,IF($A178&lt;VLOOKUP(Q$5,NFI,5,0),1,0)*Data_NFI_t[[#This Row],[Kitchen Set]],0)</f>
        <v>0</v>
      </c>
      <c r="AJ178" s="86">
        <f>IF(NFI_Expiration=1,IF($A178&lt;VLOOKUP(R$5,NFI,5,0),1,0)*Data_NFI_t[[#This Row],[Complementary Kit]],0)</f>
        <v>0</v>
      </c>
      <c r="AK178" s="86">
        <f>IF(NFI_Expiration=1,IF($A178&lt;VLOOKUP(S$5,NFI,5,0),1,0)*Data_NFI_t[[#This Row],[Plastic Bucket]],0)</f>
        <v>0</v>
      </c>
      <c r="AL178" s="86">
        <f>IF(NFI_Expiration=1,IF($A178&lt;VLOOKUP(T$5,NFI,5,0),1,0)*Data_NFI_t[[#This Row],[Jerry Can]],0)</f>
        <v>0</v>
      </c>
      <c r="AM178" s="105">
        <f>IF(NFI_Expiration=1,IF($A178&lt;VLOOKUP(U$5,NFI,5,0),1,0)*Data_NFI_t[[#This Row],[Plastic Mat]],0)*IF(Data_NFI_t[[#This Row],[Distribution Date]]&gt;"01-06-2015",1,2.5)</f>
        <v>0</v>
      </c>
      <c r="AN178" s="734">
        <f>IF(NFI_Expiration=1,IF($A178&lt;VLOOKUP(V$5,NFI,5,0),1,0)*Data_NFI_t[[#This Row],[Adult Clothes]],0)</f>
        <v>0</v>
      </c>
      <c r="AO178" s="105">
        <f>IF(NFI_Expiration=1,IF($A178&lt;VLOOKUP(W$5,NFI,5,0),1,0)*Data_NFI_t[[#This Row],[Children Clothes]],0)</f>
        <v>0</v>
      </c>
      <c r="AP178" s="105">
        <f>IF(NFI_Expiration=1,IF($A178&lt;VLOOKUP(X$5,NFI,5,0),1,0)*Data_NFI_t[[#This Row],[Sewing Kit]],0)</f>
        <v>0</v>
      </c>
      <c r="AQ178" s="734">
        <f>IF(NFI_Expiration=1,IF($A178&lt;VLOOKUP(X$5,NFI,5,0),1,0)*Data_NFI_t[[#This Row],[Solar Lantern]],0)</f>
        <v>0</v>
      </c>
      <c r="AR178" s="105" t="str">
        <f ca="1">IFERROR(OFFSET(Camp_List[P_Code],MATCH(Data_NFI_t[[#This Row],[Camp Name]],Camp_List[Camp Name],0)-1,0,1,1),"")</f>
        <v/>
      </c>
      <c r="AS178" s="421" t="str">
        <f ca="1">IFERROR(OFFSET(Camp_List[Status],MATCH(Data_NFI_t[[#This Row],[Camp Name]],Camp_List[Camp Name],0)-1,0,1,1),"")</f>
        <v/>
      </c>
      <c r="AT178" s="105"/>
    </row>
    <row r="179" spans="1:46" s="78" customFormat="1" ht="19.5" customHeight="1" x14ac:dyDescent="0.25">
      <c r="A179" s="208">
        <f t="shared" si="2"/>
        <v>34.133333333333333</v>
      </c>
      <c r="B179" s="208">
        <f>YEAR(Data_NFI_t[[#This Row],[Distribution Date]])</f>
        <v>2015</v>
      </c>
      <c r="C179" s="744">
        <v>42166</v>
      </c>
      <c r="D179" s="402" t="s">
        <v>270</v>
      </c>
      <c r="E179" s="401" t="s">
        <v>270</v>
      </c>
      <c r="F179" s="402" t="s">
        <v>7</v>
      </c>
      <c r="G179" s="670" t="s">
        <v>11</v>
      </c>
      <c r="H179" s="670" t="s">
        <v>24</v>
      </c>
      <c r="I179" s="670"/>
      <c r="J179" s="670"/>
      <c r="K179" s="670"/>
      <c r="L179" s="42"/>
      <c r="M179" s="42"/>
      <c r="N179" s="42"/>
      <c r="O179" s="42">
        <v>187</v>
      </c>
      <c r="P179" s="42"/>
      <c r="Q179" s="42"/>
      <c r="R179" s="42"/>
      <c r="S179" s="42"/>
      <c r="T179" s="419"/>
      <c r="U179" s="42"/>
      <c r="V179" s="42"/>
      <c r="W179" s="42"/>
      <c r="X179" s="42"/>
      <c r="Y179" s="42"/>
      <c r="Z179" s="42"/>
      <c r="AA179" s="42"/>
      <c r="AB179" s="42"/>
      <c r="AC179" s="105">
        <f>IF(NFI_Expiration=1,IF($A179&lt;VLOOKUP(I$5,NFI,5,0),1,0)*Data_NFI_t[[#This Row],[Hygiene Kit]],0)</f>
        <v>0</v>
      </c>
      <c r="AD179" s="105">
        <f>IF(NFI_Expiration=1,IF($A179&lt;VLOOKUP(L$5,NFI,5,0),1,0)*Data_NFI_t[[#This Row],[NFI Core Kit]],0)</f>
        <v>0</v>
      </c>
      <c r="AE179" s="86">
        <f>IF(NFI_Expiration=1,IF($A179&lt;VLOOKUP(M$5,NFI,5,0),1,0)*Data_NFI_t[[#This Row],[Sanitary Kit]],0)</f>
        <v>0</v>
      </c>
      <c r="AF179" s="86">
        <f>IF(NFI_Expiration=1,IF($A179&lt;VLOOKUP(N$5,NFI,5,0),1,0)*Data_NFI_t[[#This Row],[Mosquito net]],0)</f>
        <v>0</v>
      </c>
      <c r="AG179" s="86">
        <f>IF(NFI_Expiration=1,IF($A179&lt;VLOOKUP(O$5,NFI,5,0),1,0)*Data_NFI_t[[#This Row],[Tarpaulin]],0)</f>
        <v>0</v>
      </c>
      <c r="AH179" s="86">
        <f>IF(NFI_Expiration=1,IF($A179&lt;VLOOKUP(P$5,NFI,5,0),1,0)*Data_NFI_t[[#This Row],[Blanket]],0)</f>
        <v>0</v>
      </c>
      <c r="AI179" s="86">
        <f>IF(NFI_Expiration=1,IF($A179&lt;VLOOKUP(Q$5,NFI,5,0),1,0)*Data_NFI_t[[#This Row],[Kitchen Set]],0)</f>
        <v>0</v>
      </c>
      <c r="AJ179" s="86">
        <f>IF(NFI_Expiration=1,IF($A179&lt;VLOOKUP(R$5,NFI,5,0),1,0)*Data_NFI_t[[#This Row],[Complementary Kit]],0)</f>
        <v>0</v>
      </c>
      <c r="AK179" s="86">
        <f>IF(NFI_Expiration=1,IF($A179&lt;VLOOKUP(S$5,NFI,5,0),1,0)*Data_NFI_t[[#This Row],[Plastic Bucket]],0)</f>
        <v>0</v>
      </c>
      <c r="AL179" s="86">
        <f>IF(NFI_Expiration=1,IF($A179&lt;VLOOKUP(T$5,NFI,5,0),1,0)*Data_NFI_t[[#This Row],[Jerry Can]],0)</f>
        <v>0</v>
      </c>
      <c r="AM179" s="105">
        <f>IF(NFI_Expiration=1,IF($A179&lt;VLOOKUP(U$5,NFI,5,0),1,0)*Data_NFI_t[[#This Row],[Plastic Mat]],0)*IF(Data_NFI_t[[#This Row],[Distribution Date]]&gt;"01-06-2015",1,2.5)</f>
        <v>0</v>
      </c>
      <c r="AN179" s="734">
        <f>IF(NFI_Expiration=1,IF($A179&lt;VLOOKUP(V$5,NFI,5,0),1,0)*Data_NFI_t[[#This Row],[Adult Clothes]],0)</f>
        <v>0</v>
      </c>
      <c r="AO179" s="105">
        <f>IF(NFI_Expiration=1,IF($A179&lt;VLOOKUP(W$5,NFI,5,0),1,0)*Data_NFI_t[[#This Row],[Children Clothes]],0)</f>
        <v>0</v>
      </c>
      <c r="AP179" s="105">
        <f>IF(NFI_Expiration=1,IF($A179&lt;VLOOKUP(X$5,NFI,5,0),1,0)*Data_NFI_t[[#This Row],[Sewing Kit]],0)</f>
        <v>0</v>
      </c>
      <c r="AQ179" s="734">
        <f>IF(NFI_Expiration=1,IF($A179&lt;VLOOKUP(X$5,NFI,5,0),1,0)*Data_NFI_t[[#This Row],[Solar Lantern]],0)</f>
        <v>0</v>
      </c>
      <c r="AR179" s="105" t="str">
        <f ca="1">IFERROR(OFFSET(Camp_List[P_Code],MATCH(Data_NFI_t[[#This Row],[Camp Name]],Camp_List[Camp Name],0)-1,0,1,1),"")</f>
        <v>MMR012CMP002</v>
      </c>
      <c r="AS179" s="421" t="str">
        <f ca="1">IFERROR(OFFSET(Camp_List[Status],MATCH(Data_NFI_t[[#This Row],[Camp Name]],Camp_List[Camp Name],0)-1,0,1,1),"")</f>
        <v>Returned</v>
      </c>
      <c r="AT179" s="105"/>
    </row>
    <row r="180" spans="1:46" s="78" customFormat="1" ht="19.5" customHeight="1" x14ac:dyDescent="0.25">
      <c r="A180" s="208">
        <f t="shared" si="2"/>
        <v>34.133333333333333</v>
      </c>
      <c r="B180" s="208">
        <f>YEAR(Data_NFI_t[[#This Row],[Distribution Date]])</f>
        <v>2015</v>
      </c>
      <c r="C180" s="744">
        <v>42166</v>
      </c>
      <c r="D180" s="402" t="s">
        <v>270</v>
      </c>
      <c r="E180" s="401" t="s">
        <v>270</v>
      </c>
      <c r="F180" s="402" t="s">
        <v>7</v>
      </c>
      <c r="G180" s="670" t="s">
        <v>11</v>
      </c>
      <c r="H180" s="670" t="s">
        <v>25</v>
      </c>
      <c r="I180" s="670"/>
      <c r="J180" s="670"/>
      <c r="K180" s="670"/>
      <c r="L180" s="42"/>
      <c r="M180" s="42"/>
      <c r="N180" s="42"/>
      <c r="O180" s="42">
        <v>90</v>
      </c>
      <c r="P180" s="42"/>
      <c r="Q180" s="42"/>
      <c r="R180" s="42"/>
      <c r="S180" s="42"/>
      <c r="T180" s="419"/>
      <c r="U180" s="42"/>
      <c r="V180" s="42"/>
      <c r="W180" s="42"/>
      <c r="X180" s="42"/>
      <c r="Y180" s="42"/>
      <c r="Z180" s="42"/>
      <c r="AA180" s="42"/>
      <c r="AB180" s="42"/>
      <c r="AC180" s="105">
        <f>IF(NFI_Expiration=1,IF($A180&lt;VLOOKUP(I$5,NFI,5,0),1,0)*Data_NFI_t[[#This Row],[Hygiene Kit]],0)</f>
        <v>0</v>
      </c>
      <c r="AD180" s="105">
        <f>IF(NFI_Expiration=1,IF($A180&lt;VLOOKUP(L$5,NFI,5,0),1,0)*Data_NFI_t[[#This Row],[NFI Core Kit]],0)</f>
        <v>0</v>
      </c>
      <c r="AE180" s="86">
        <f>IF(NFI_Expiration=1,IF($A180&lt;VLOOKUP(M$5,NFI,5,0),1,0)*Data_NFI_t[[#This Row],[Sanitary Kit]],0)</f>
        <v>0</v>
      </c>
      <c r="AF180" s="86">
        <f>IF(NFI_Expiration=1,IF($A180&lt;VLOOKUP(N$5,NFI,5,0),1,0)*Data_NFI_t[[#This Row],[Mosquito net]],0)</f>
        <v>0</v>
      </c>
      <c r="AG180" s="86">
        <f>IF(NFI_Expiration=1,IF($A180&lt;VLOOKUP(O$5,NFI,5,0),1,0)*Data_NFI_t[[#This Row],[Tarpaulin]],0)</f>
        <v>0</v>
      </c>
      <c r="AH180" s="86">
        <f>IF(NFI_Expiration=1,IF($A180&lt;VLOOKUP(P$5,NFI,5,0),1,0)*Data_NFI_t[[#This Row],[Blanket]],0)</f>
        <v>0</v>
      </c>
      <c r="AI180" s="86">
        <f>IF(NFI_Expiration=1,IF($A180&lt;VLOOKUP(Q$5,NFI,5,0),1,0)*Data_NFI_t[[#This Row],[Kitchen Set]],0)</f>
        <v>0</v>
      </c>
      <c r="AJ180" s="86">
        <f>IF(NFI_Expiration=1,IF($A180&lt;VLOOKUP(R$5,NFI,5,0),1,0)*Data_NFI_t[[#This Row],[Complementary Kit]],0)</f>
        <v>0</v>
      </c>
      <c r="AK180" s="86">
        <f>IF(NFI_Expiration=1,IF($A180&lt;VLOOKUP(S$5,NFI,5,0),1,0)*Data_NFI_t[[#This Row],[Plastic Bucket]],0)</f>
        <v>0</v>
      </c>
      <c r="AL180" s="86">
        <f>IF(NFI_Expiration=1,IF($A180&lt;VLOOKUP(T$5,NFI,5,0),1,0)*Data_NFI_t[[#This Row],[Jerry Can]],0)</f>
        <v>0</v>
      </c>
      <c r="AM180" s="105">
        <f>IF(NFI_Expiration=1,IF($A180&lt;VLOOKUP(U$5,NFI,5,0),1,0)*Data_NFI_t[[#This Row],[Plastic Mat]],0)*IF(Data_NFI_t[[#This Row],[Distribution Date]]&gt;"01-06-2015",1,2.5)</f>
        <v>0</v>
      </c>
      <c r="AN180" s="734">
        <f>IF(NFI_Expiration=1,IF($A180&lt;VLOOKUP(V$5,NFI,5,0),1,0)*Data_NFI_t[[#This Row],[Adult Clothes]],0)</f>
        <v>0</v>
      </c>
      <c r="AO180" s="105">
        <f>IF(NFI_Expiration=1,IF($A180&lt;VLOOKUP(W$5,NFI,5,0),1,0)*Data_NFI_t[[#This Row],[Children Clothes]],0)</f>
        <v>0</v>
      </c>
      <c r="AP180" s="105">
        <f>IF(NFI_Expiration=1,IF($A180&lt;VLOOKUP(X$5,NFI,5,0),1,0)*Data_NFI_t[[#This Row],[Sewing Kit]],0)</f>
        <v>0</v>
      </c>
      <c r="AQ180" s="734">
        <f>IF(NFI_Expiration=1,IF($A180&lt;VLOOKUP(X$5,NFI,5,0),1,0)*Data_NFI_t[[#This Row],[Solar Lantern]],0)</f>
        <v>0</v>
      </c>
      <c r="AR180" s="105" t="str">
        <f ca="1">IFERROR(OFFSET(Camp_List[P_Code],MATCH(Data_NFI_t[[#This Row],[Camp Name]],Camp_List[Camp Name],0)-1,0,1,1),"")</f>
        <v>MMR012CMP003</v>
      </c>
      <c r="AS180" s="421" t="str">
        <f ca="1">IFERROR(OFFSET(Camp_List[Status],MATCH(Data_NFI_t[[#This Row],[Camp Name]],Camp_List[Camp Name],0)-1,0,1,1),"")</f>
        <v>Returned</v>
      </c>
      <c r="AT180" s="105"/>
    </row>
    <row r="181" spans="1:46" s="78" customFormat="1" ht="19.5" customHeight="1" x14ac:dyDescent="0.25">
      <c r="A181" s="208">
        <f t="shared" si="2"/>
        <v>34.133333333333333</v>
      </c>
      <c r="B181" s="208">
        <f>YEAR(Data_NFI_t[[#This Row],[Distribution Date]])</f>
        <v>2015</v>
      </c>
      <c r="C181" s="744">
        <v>42166</v>
      </c>
      <c r="D181" s="402" t="s">
        <v>270</v>
      </c>
      <c r="E181" s="401" t="s">
        <v>270</v>
      </c>
      <c r="F181" s="402" t="s">
        <v>7</v>
      </c>
      <c r="G181" s="670" t="s">
        <v>11</v>
      </c>
      <c r="H181" s="670" t="s">
        <v>28</v>
      </c>
      <c r="I181" s="670"/>
      <c r="J181" s="670"/>
      <c r="K181" s="670"/>
      <c r="L181" s="42"/>
      <c r="M181" s="42"/>
      <c r="N181" s="42"/>
      <c r="O181" s="42">
        <v>86</v>
      </c>
      <c r="P181" s="42"/>
      <c r="Q181" s="42"/>
      <c r="R181" s="42"/>
      <c r="S181" s="42"/>
      <c r="T181" s="419"/>
      <c r="U181" s="42"/>
      <c r="V181" s="42"/>
      <c r="W181" s="42"/>
      <c r="X181" s="42"/>
      <c r="Y181" s="42"/>
      <c r="Z181" s="42"/>
      <c r="AA181" s="42"/>
      <c r="AB181" s="42"/>
      <c r="AC181" s="105">
        <f>IF(NFI_Expiration=1,IF($A181&lt;VLOOKUP(I$5,NFI,5,0),1,0)*Data_NFI_t[[#This Row],[Hygiene Kit]],0)</f>
        <v>0</v>
      </c>
      <c r="AD181" s="105">
        <f>IF(NFI_Expiration=1,IF($A181&lt;VLOOKUP(L$5,NFI,5,0),1,0)*Data_NFI_t[[#This Row],[NFI Core Kit]],0)</f>
        <v>0</v>
      </c>
      <c r="AE181" s="86">
        <f>IF(NFI_Expiration=1,IF($A181&lt;VLOOKUP(M$5,NFI,5,0),1,0)*Data_NFI_t[[#This Row],[Sanitary Kit]],0)</f>
        <v>0</v>
      </c>
      <c r="AF181" s="86">
        <f>IF(NFI_Expiration=1,IF($A181&lt;VLOOKUP(N$5,NFI,5,0),1,0)*Data_NFI_t[[#This Row],[Mosquito net]],0)</f>
        <v>0</v>
      </c>
      <c r="AG181" s="86">
        <f>IF(NFI_Expiration=1,IF($A181&lt;VLOOKUP(O$5,NFI,5,0),1,0)*Data_NFI_t[[#This Row],[Tarpaulin]],0)</f>
        <v>0</v>
      </c>
      <c r="AH181" s="86">
        <f>IF(NFI_Expiration=1,IF($A181&lt;VLOOKUP(P$5,NFI,5,0),1,0)*Data_NFI_t[[#This Row],[Blanket]],0)</f>
        <v>0</v>
      </c>
      <c r="AI181" s="86">
        <f>IF(NFI_Expiration=1,IF($A181&lt;VLOOKUP(Q$5,NFI,5,0),1,0)*Data_NFI_t[[#This Row],[Kitchen Set]],0)</f>
        <v>0</v>
      </c>
      <c r="AJ181" s="86">
        <f>IF(NFI_Expiration=1,IF($A181&lt;VLOOKUP(R$5,NFI,5,0),1,0)*Data_NFI_t[[#This Row],[Complementary Kit]],0)</f>
        <v>0</v>
      </c>
      <c r="AK181" s="86">
        <f>IF(NFI_Expiration=1,IF($A181&lt;VLOOKUP(S$5,NFI,5,0),1,0)*Data_NFI_t[[#This Row],[Plastic Bucket]],0)</f>
        <v>0</v>
      </c>
      <c r="AL181" s="86">
        <f>IF(NFI_Expiration=1,IF($A181&lt;VLOOKUP(T$5,NFI,5,0),1,0)*Data_NFI_t[[#This Row],[Jerry Can]],0)</f>
        <v>0</v>
      </c>
      <c r="AM181" s="105">
        <f>IF(NFI_Expiration=1,IF($A181&lt;VLOOKUP(U$5,NFI,5,0),1,0)*Data_NFI_t[[#This Row],[Plastic Mat]],0)*IF(Data_NFI_t[[#This Row],[Distribution Date]]&gt;"01-06-2015",1,2.5)</f>
        <v>0</v>
      </c>
      <c r="AN181" s="734">
        <f>IF(NFI_Expiration=1,IF($A181&lt;VLOOKUP(V$5,NFI,5,0),1,0)*Data_NFI_t[[#This Row],[Adult Clothes]],0)</f>
        <v>0</v>
      </c>
      <c r="AO181" s="105">
        <f>IF(NFI_Expiration=1,IF($A181&lt;VLOOKUP(W$5,NFI,5,0),1,0)*Data_NFI_t[[#This Row],[Children Clothes]],0)</f>
        <v>0</v>
      </c>
      <c r="AP181" s="105">
        <f>IF(NFI_Expiration=1,IF($A181&lt;VLOOKUP(X$5,NFI,5,0),1,0)*Data_NFI_t[[#This Row],[Sewing Kit]],0)</f>
        <v>0</v>
      </c>
      <c r="AQ181" s="734">
        <f>IF(NFI_Expiration=1,IF($A181&lt;VLOOKUP(X$5,NFI,5,0),1,0)*Data_NFI_t[[#This Row],[Solar Lantern]],0)</f>
        <v>0</v>
      </c>
      <c r="AR181" s="105" t="str">
        <f ca="1">IFERROR(OFFSET(Camp_List[P_Code],MATCH(Data_NFI_t[[#This Row],[Camp Name]],Camp_List[Camp Name],0)-1,0,1,1),"")</f>
        <v>MMR012CMP006</v>
      </c>
      <c r="AS181" s="421" t="str">
        <f ca="1">IFERROR(OFFSET(Camp_List[Status],MATCH(Data_NFI_t[[#This Row],[Camp Name]],Camp_List[Camp Name],0)-1,0,1,1),"")</f>
        <v>Returned</v>
      </c>
      <c r="AT181" s="105"/>
    </row>
    <row r="182" spans="1:46" s="78" customFormat="1" ht="19.5" customHeight="1" x14ac:dyDescent="0.25">
      <c r="A182" s="208">
        <f t="shared" si="2"/>
        <v>34.133333333333333</v>
      </c>
      <c r="B182" s="208">
        <f>YEAR(Data_NFI_t[[#This Row],[Distribution Date]])</f>
        <v>2015</v>
      </c>
      <c r="C182" s="744">
        <v>42166</v>
      </c>
      <c r="D182" s="402" t="s">
        <v>270</v>
      </c>
      <c r="E182" s="401" t="s">
        <v>270</v>
      </c>
      <c r="F182" s="402" t="s">
        <v>7</v>
      </c>
      <c r="G182" s="670" t="s">
        <v>11</v>
      </c>
      <c r="H182" s="670" t="s">
        <v>30</v>
      </c>
      <c r="I182" s="670"/>
      <c r="J182" s="670"/>
      <c r="K182" s="670"/>
      <c r="L182" s="42"/>
      <c r="M182" s="42"/>
      <c r="N182" s="42"/>
      <c r="O182" s="42">
        <v>225</v>
      </c>
      <c r="P182" s="42"/>
      <c r="Q182" s="42"/>
      <c r="R182" s="42"/>
      <c r="S182" s="42"/>
      <c r="T182" s="419"/>
      <c r="U182" s="42"/>
      <c r="V182" s="42"/>
      <c r="W182" s="42"/>
      <c r="X182" s="42"/>
      <c r="Y182" s="42"/>
      <c r="Z182" s="42"/>
      <c r="AA182" s="42"/>
      <c r="AB182" s="42"/>
      <c r="AC182" s="105">
        <f>IF(NFI_Expiration=1,IF($A182&lt;VLOOKUP(I$5,NFI,5,0),1,0)*Data_NFI_t[[#This Row],[Hygiene Kit]],0)</f>
        <v>0</v>
      </c>
      <c r="AD182" s="105">
        <f>IF(NFI_Expiration=1,IF($A182&lt;VLOOKUP(L$5,NFI,5,0),1,0)*Data_NFI_t[[#This Row],[NFI Core Kit]],0)</f>
        <v>0</v>
      </c>
      <c r="AE182" s="86">
        <f>IF(NFI_Expiration=1,IF($A182&lt;VLOOKUP(M$5,NFI,5,0),1,0)*Data_NFI_t[[#This Row],[Sanitary Kit]],0)</f>
        <v>0</v>
      </c>
      <c r="AF182" s="86">
        <f>IF(NFI_Expiration=1,IF($A182&lt;VLOOKUP(N$5,NFI,5,0),1,0)*Data_NFI_t[[#This Row],[Mosquito net]],0)</f>
        <v>0</v>
      </c>
      <c r="AG182" s="86">
        <f>IF(NFI_Expiration=1,IF($A182&lt;VLOOKUP(O$5,NFI,5,0),1,0)*Data_NFI_t[[#This Row],[Tarpaulin]],0)</f>
        <v>0</v>
      </c>
      <c r="AH182" s="86">
        <f>IF(NFI_Expiration=1,IF($A182&lt;VLOOKUP(P$5,NFI,5,0),1,0)*Data_NFI_t[[#This Row],[Blanket]],0)</f>
        <v>0</v>
      </c>
      <c r="AI182" s="86">
        <f>IF(NFI_Expiration=1,IF($A182&lt;VLOOKUP(Q$5,NFI,5,0),1,0)*Data_NFI_t[[#This Row],[Kitchen Set]],0)</f>
        <v>0</v>
      </c>
      <c r="AJ182" s="86">
        <f>IF(NFI_Expiration=1,IF($A182&lt;VLOOKUP(R$5,NFI,5,0),1,0)*Data_NFI_t[[#This Row],[Complementary Kit]],0)</f>
        <v>0</v>
      </c>
      <c r="AK182" s="86">
        <f>IF(NFI_Expiration=1,IF($A182&lt;VLOOKUP(S$5,NFI,5,0),1,0)*Data_NFI_t[[#This Row],[Plastic Bucket]],0)</f>
        <v>0</v>
      </c>
      <c r="AL182" s="86">
        <f>IF(NFI_Expiration=1,IF($A182&lt;VLOOKUP(T$5,NFI,5,0),1,0)*Data_NFI_t[[#This Row],[Jerry Can]],0)</f>
        <v>0</v>
      </c>
      <c r="AM182" s="105">
        <f>IF(NFI_Expiration=1,IF($A182&lt;VLOOKUP(U$5,NFI,5,0),1,0)*Data_NFI_t[[#This Row],[Plastic Mat]],0)*IF(Data_NFI_t[[#This Row],[Distribution Date]]&gt;"01-06-2015",1,2.5)</f>
        <v>0</v>
      </c>
      <c r="AN182" s="734">
        <f>IF(NFI_Expiration=1,IF($A182&lt;VLOOKUP(V$5,NFI,5,0),1,0)*Data_NFI_t[[#This Row],[Adult Clothes]],0)</f>
        <v>0</v>
      </c>
      <c r="AO182" s="105">
        <f>IF(NFI_Expiration=1,IF($A182&lt;VLOOKUP(W$5,NFI,5,0),1,0)*Data_NFI_t[[#This Row],[Children Clothes]],0)</f>
        <v>0</v>
      </c>
      <c r="AP182" s="105">
        <f>IF(NFI_Expiration=1,IF($A182&lt;VLOOKUP(X$5,NFI,5,0),1,0)*Data_NFI_t[[#This Row],[Sewing Kit]],0)</f>
        <v>0</v>
      </c>
      <c r="AQ182" s="734">
        <f>IF(NFI_Expiration=1,IF($A182&lt;VLOOKUP(X$5,NFI,5,0),1,0)*Data_NFI_t[[#This Row],[Solar Lantern]],0)</f>
        <v>0</v>
      </c>
      <c r="AR182" s="105" t="str">
        <f ca="1">IFERROR(OFFSET(Camp_List[P_Code],MATCH(Data_NFI_t[[#This Row],[Camp Name]],Camp_List[Camp Name],0)-1,0,1,1),"")</f>
        <v>MMR012CMP008</v>
      </c>
      <c r="AS182" s="421" t="str">
        <f ca="1">IFERROR(OFFSET(Camp_List[Status],MATCH(Data_NFI_t[[#This Row],[Camp Name]],Camp_List[Camp Name],0)-1,0,1,1),"")</f>
        <v>Returned</v>
      </c>
      <c r="AT182" s="105"/>
    </row>
    <row r="183" spans="1:46" s="78" customFormat="1" ht="19.5" customHeight="1" x14ac:dyDescent="0.25">
      <c r="A183" s="208">
        <f t="shared" si="2"/>
        <v>34.166666666666664</v>
      </c>
      <c r="B183" s="208">
        <f>YEAR(Data_NFI_t[[#This Row],[Distribution Date]])</f>
        <v>2015</v>
      </c>
      <c r="C183" s="744">
        <v>42165</v>
      </c>
      <c r="D183" s="402" t="s">
        <v>270</v>
      </c>
      <c r="E183" s="401" t="s">
        <v>270</v>
      </c>
      <c r="F183" s="402" t="s">
        <v>7</v>
      </c>
      <c r="G183" s="670" t="s">
        <v>941</v>
      </c>
      <c r="H183" s="670" t="s">
        <v>31</v>
      </c>
      <c r="I183" s="670"/>
      <c r="J183" s="670"/>
      <c r="K183" s="670"/>
      <c r="L183" s="42"/>
      <c r="M183" s="42"/>
      <c r="N183" s="42"/>
      <c r="O183" s="42">
        <v>56</v>
      </c>
      <c r="P183" s="42"/>
      <c r="Q183" s="42"/>
      <c r="R183" s="42"/>
      <c r="S183" s="42"/>
      <c r="T183" s="419"/>
      <c r="U183" s="42"/>
      <c r="V183" s="42"/>
      <c r="W183" s="42"/>
      <c r="X183" s="42"/>
      <c r="Y183" s="42"/>
      <c r="Z183" s="42"/>
      <c r="AA183" s="42"/>
      <c r="AB183" s="42"/>
      <c r="AC183" s="105">
        <f>IF(NFI_Expiration=1,IF($A183&lt;VLOOKUP(I$5,NFI,5,0),1,0)*Data_NFI_t[[#This Row],[Hygiene Kit]],0)</f>
        <v>0</v>
      </c>
      <c r="AD183" s="105">
        <f>IF(NFI_Expiration=1,IF($A183&lt;VLOOKUP(L$5,NFI,5,0),1,0)*Data_NFI_t[[#This Row],[NFI Core Kit]],0)</f>
        <v>0</v>
      </c>
      <c r="AE183" s="86">
        <f>IF(NFI_Expiration=1,IF($A183&lt;VLOOKUP(M$5,NFI,5,0),1,0)*Data_NFI_t[[#This Row],[Sanitary Kit]],0)</f>
        <v>0</v>
      </c>
      <c r="AF183" s="86">
        <f>IF(NFI_Expiration=1,IF($A183&lt;VLOOKUP(N$5,NFI,5,0),1,0)*Data_NFI_t[[#This Row],[Mosquito net]],0)</f>
        <v>0</v>
      </c>
      <c r="AG183" s="86">
        <f>IF(NFI_Expiration=1,IF($A183&lt;VLOOKUP(O$5,NFI,5,0),1,0)*Data_NFI_t[[#This Row],[Tarpaulin]],0)</f>
        <v>0</v>
      </c>
      <c r="AH183" s="86">
        <f>IF(NFI_Expiration=1,IF($A183&lt;VLOOKUP(P$5,NFI,5,0),1,0)*Data_NFI_t[[#This Row],[Blanket]],0)</f>
        <v>0</v>
      </c>
      <c r="AI183" s="86">
        <f>IF(NFI_Expiration=1,IF($A183&lt;VLOOKUP(Q$5,NFI,5,0),1,0)*Data_NFI_t[[#This Row],[Kitchen Set]],0)</f>
        <v>0</v>
      </c>
      <c r="AJ183" s="86">
        <f>IF(NFI_Expiration=1,IF($A183&lt;VLOOKUP(R$5,NFI,5,0),1,0)*Data_NFI_t[[#This Row],[Complementary Kit]],0)</f>
        <v>0</v>
      </c>
      <c r="AK183" s="86">
        <f>IF(NFI_Expiration=1,IF($A183&lt;VLOOKUP(S$5,NFI,5,0),1,0)*Data_NFI_t[[#This Row],[Plastic Bucket]],0)</f>
        <v>0</v>
      </c>
      <c r="AL183" s="86">
        <f>IF(NFI_Expiration=1,IF($A183&lt;VLOOKUP(T$5,NFI,5,0),1,0)*Data_NFI_t[[#This Row],[Jerry Can]],0)</f>
        <v>0</v>
      </c>
      <c r="AM183" s="105">
        <f>IF(NFI_Expiration=1,IF($A183&lt;VLOOKUP(U$5,NFI,5,0),1,0)*Data_NFI_t[[#This Row],[Plastic Mat]],0)*IF(Data_NFI_t[[#This Row],[Distribution Date]]&gt;"01-06-2015",1,2.5)</f>
        <v>0</v>
      </c>
      <c r="AN183" s="734">
        <f>IF(NFI_Expiration=1,IF($A183&lt;VLOOKUP(V$5,NFI,5,0),1,0)*Data_NFI_t[[#This Row],[Adult Clothes]],0)</f>
        <v>0</v>
      </c>
      <c r="AO183" s="105">
        <f>IF(NFI_Expiration=1,IF($A183&lt;VLOOKUP(W$5,NFI,5,0),1,0)*Data_NFI_t[[#This Row],[Children Clothes]],0)</f>
        <v>0</v>
      </c>
      <c r="AP183" s="105">
        <f>IF(NFI_Expiration=1,IF($A183&lt;VLOOKUP(X$5,NFI,5,0),1,0)*Data_NFI_t[[#This Row],[Sewing Kit]],0)</f>
        <v>0</v>
      </c>
      <c r="AQ183" s="734">
        <f>IF(NFI_Expiration=1,IF($A183&lt;VLOOKUP(X$5,NFI,5,0),1,0)*Data_NFI_t[[#This Row],[Solar Lantern]],0)</f>
        <v>0</v>
      </c>
      <c r="AR183" s="105" t="str">
        <f ca="1">IFERROR(OFFSET(Camp_List[P_Code],MATCH(Data_NFI_t[[#This Row],[Camp Name]],Camp_List[Camp Name],0)-1,0,1,1),"")</f>
        <v>MMR012CMP009</v>
      </c>
      <c r="AS183" s="421" t="str">
        <f ca="1">IFERROR(OFFSET(Camp_List[Status],MATCH(Data_NFI_t[[#This Row],[Camp Name]],Camp_List[Camp Name],0)-1,0,1,1),"")</f>
        <v>Returned</v>
      </c>
      <c r="AT183" s="105"/>
    </row>
    <row r="184" spans="1:46" s="78" customFormat="1" ht="19.5" customHeight="1" x14ac:dyDescent="0.25">
      <c r="A184" s="208">
        <f t="shared" si="2"/>
        <v>34.166666666666664</v>
      </c>
      <c r="B184" s="208">
        <f>YEAR(Data_NFI_t[[#This Row],[Distribution Date]])</f>
        <v>2015</v>
      </c>
      <c r="C184" s="744">
        <v>42165</v>
      </c>
      <c r="D184" s="402" t="s">
        <v>270</v>
      </c>
      <c r="E184" s="401" t="s">
        <v>270</v>
      </c>
      <c r="F184" s="402" t="s">
        <v>7</v>
      </c>
      <c r="G184" s="670" t="s">
        <v>941</v>
      </c>
      <c r="H184" s="670" t="s">
        <v>32</v>
      </c>
      <c r="I184" s="670"/>
      <c r="J184" s="670"/>
      <c r="K184" s="670"/>
      <c r="L184" s="42"/>
      <c r="M184" s="42"/>
      <c r="N184" s="42"/>
      <c r="O184" s="42">
        <v>55</v>
      </c>
      <c r="P184" s="42"/>
      <c r="Q184" s="42"/>
      <c r="R184" s="42"/>
      <c r="S184" s="42"/>
      <c r="T184" s="419"/>
      <c r="U184" s="42"/>
      <c r="V184" s="42"/>
      <c r="W184" s="42"/>
      <c r="X184" s="42"/>
      <c r="Y184" s="42"/>
      <c r="Z184" s="42"/>
      <c r="AA184" s="42"/>
      <c r="AB184" s="42"/>
      <c r="AC184" s="105">
        <f>IF(NFI_Expiration=1,IF($A184&lt;VLOOKUP(I$5,NFI,5,0),1,0)*Data_NFI_t[[#This Row],[Hygiene Kit]],0)</f>
        <v>0</v>
      </c>
      <c r="AD184" s="105">
        <f>IF(NFI_Expiration=1,IF($A184&lt;VLOOKUP(L$5,NFI,5,0),1,0)*Data_NFI_t[[#This Row],[NFI Core Kit]],0)</f>
        <v>0</v>
      </c>
      <c r="AE184" s="86">
        <f>IF(NFI_Expiration=1,IF($A184&lt;VLOOKUP(M$5,NFI,5,0),1,0)*Data_NFI_t[[#This Row],[Sanitary Kit]],0)</f>
        <v>0</v>
      </c>
      <c r="AF184" s="86">
        <f>IF(NFI_Expiration=1,IF($A184&lt;VLOOKUP(N$5,NFI,5,0),1,0)*Data_NFI_t[[#This Row],[Mosquito net]],0)</f>
        <v>0</v>
      </c>
      <c r="AG184" s="86">
        <f>IF(NFI_Expiration=1,IF($A184&lt;VLOOKUP(O$5,NFI,5,0),1,0)*Data_NFI_t[[#This Row],[Tarpaulin]],0)</f>
        <v>0</v>
      </c>
      <c r="AH184" s="86">
        <f>IF(NFI_Expiration=1,IF($A184&lt;VLOOKUP(P$5,NFI,5,0),1,0)*Data_NFI_t[[#This Row],[Blanket]],0)</f>
        <v>0</v>
      </c>
      <c r="AI184" s="86">
        <f>IF(NFI_Expiration=1,IF($A184&lt;VLOOKUP(Q$5,NFI,5,0),1,0)*Data_NFI_t[[#This Row],[Kitchen Set]],0)</f>
        <v>0</v>
      </c>
      <c r="AJ184" s="86">
        <f>IF(NFI_Expiration=1,IF($A184&lt;VLOOKUP(R$5,NFI,5,0),1,0)*Data_NFI_t[[#This Row],[Complementary Kit]],0)</f>
        <v>0</v>
      </c>
      <c r="AK184" s="86">
        <f>IF(NFI_Expiration=1,IF($A184&lt;VLOOKUP(S$5,NFI,5,0),1,0)*Data_NFI_t[[#This Row],[Plastic Bucket]],0)</f>
        <v>0</v>
      </c>
      <c r="AL184" s="86">
        <f>IF(NFI_Expiration=1,IF($A184&lt;VLOOKUP(T$5,NFI,5,0),1,0)*Data_NFI_t[[#This Row],[Jerry Can]],0)</f>
        <v>0</v>
      </c>
      <c r="AM184" s="105">
        <f>IF(NFI_Expiration=1,IF($A184&lt;VLOOKUP(U$5,NFI,5,0),1,0)*Data_NFI_t[[#This Row],[Plastic Mat]],0)*IF(Data_NFI_t[[#This Row],[Distribution Date]]&gt;"01-06-2015",1,2.5)</f>
        <v>0</v>
      </c>
      <c r="AN184" s="734">
        <f>IF(NFI_Expiration=1,IF($A184&lt;VLOOKUP(V$5,NFI,5,0),1,0)*Data_NFI_t[[#This Row],[Adult Clothes]],0)</f>
        <v>0</v>
      </c>
      <c r="AO184" s="105">
        <f>IF(NFI_Expiration=1,IF($A184&lt;VLOOKUP(W$5,NFI,5,0),1,0)*Data_NFI_t[[#This Row],[Children Clothes]],0)</f>
        <v>0</v>
      </c>
      <c r="AP184" s="105">
        <f>IF(NFI_Expiration=1,IF($A184&lt;VLOOKUP(X$5,NFI,5,0),1,0)*Data_NFI_t[[#This Row],[Sewing Kit]],0)</f>
        <v>0</v>
      </c>
      <c r="AQ184" s="734">
        <f>IF(NFI_Expiration=1,IF($A184&lt;VLOOKUP(X$5,NFI,5,0),1,0)*Data_NFI_t[[#This Row],[Solar Lantern]],0)</f>
        <v>0</v>
      </c>
      <c r="AR184" s="105" t="str">
        <f ca="1">IFERROR(OFFSET(Camp_List[P_Code],MATCH(Data_NFI_t[[#This Row],[Camp Name]],Camp_List[Camp Name],0)-1,0,1,1),"")</f>
        <v>MMR012CMP010</v>
      </c>
      <c r="AS184" s="421" t="str">
        <f ca="1">IFERROR(OFFSET(Camp_List[Status],MATCH(Data_NFI_t[[#This Row],[Camp Name]],Camp_List[Camp Name],0)-1,0,1,1),"")</f>
        <v>Returned</v>
      </c>
      <c r="AT184" s="105"/>
    </row>
    <row r="185" spans="1:46" s="78" customFormat="1" ht="19.5" customHeight="1" x14ac:dyDescent="0.25">
      <c r="A185" s="208">
        <f t="shared" si="2"/>
        <v>34.166666666666664</v>
      </c>
      <c r="B185" s="208">
        <f>YEAR(Data_NFI_t[[#This Row],[Distribution Date]])</f>
        <v>2015</v>
      </c>
      <c r="C185" s="744">
        <v>42165</v>
      </c>
      <c r="D185" s="402" t="s">
        <v>270</v>
      </c>
      <c r="E185" s="401" t="s">
        <v>270</v>
      </c>
      <c r="F185" s="402" t="s">
        <v>7</v>
      </c>
      <c r="G185" s="670" t="s">
        <v>11</v>
      </c>
      <c r="H185" s="670" t="s">
        <v>27</v>
      </c>
      <c r="I185" s="670"/>
      <c r="J185" s="670"/>
      <c r="K185" s="670"/>
      <c r="L185" s="42"/>
      <c r="M185" s="42"/>
      <c r="N185" s="42"/>
      <c r="O185" s="42">
        <v>275</v>
      </c>
      <c r="P185" s="42"/>
      <c r="Q185" s="42"/>
      <c r="R185" s="42"/>
      <c r="S185" s="42"/>
      <c r="T185" s="419"/>
      <c r="U185" s="42"/>
      <c r="V185" s="42"/>
      <c r="W185" s="42"/>
      <c r="X185" s="42"/>
      <c r="Y185" s="42"/>
      <c r="Z185" s="42"/>
      <c r="AA185" s="42"/>
      <c r="AB185" s="42"/>
      <c r="AC185" s="105">
        <f>IF(NFI_Expiration=1,IF($A185&lt;VLOOKUP(I$5,NFI,5,0),1,0)*Data_NFI_t[[#This Row],[Hygiene Kit]],0)</f>
        <v>0</v>
      </c>
      <c r="AD185" s="105">
        <f>IF(NFI_Expiration=1,IF($A185&lt;VLOOKUP(L$5,NFI,5,0),1,0)*Data_NFI_t[[#This Row],[NFI Core Kit]],0)</f>
        <v>0</v>
      </c>
      <c r="AE185" s="86">
        <f>IF(NFI_Expiration=1,IF($A185&lt;VLOOKUP(M$5,NFI,5,0),1,0)*Data_NFI_t[[#This Row],[Sanitary Kit]],0)</f>
        <v>0</v>
      </c>
      <c r="AF185" s="86">
        <f>IF(NFI_Expiration=1,IF($A185&lt;VLOOKUP(N$5,NFI,5,0),1,0)*Data_NFI_t[[#This Row],[Mosquito net]],0)</f>
        <v>0</v>
      </c>
      <c r="AG185" s="86">
        <f>IF(NFI_Expiration=1,IF($A185&lt;VLOOKUP(O$5,NFI,5,0),1,0)*Data_NFI_t[[#This Row],[Tarpaulin]],0)</f>
        <v>0</v>
      </c>
      <c r="AH185" s="86">
        <f>IF(NFI_Expiration=1,IF($A185&lt;VLOOKUP(P$5,NFI,5,0),1,0)*Data_NFI_t[[#This Row],[Blanket]],0)</f>
        <v>0</v>
      </c>
      <c r="AI185" s="86">
        <f>IF(NFI_Expiration=1,IF($A185&lt;VLOOKUP(Q$5,NFI,5,0),1,0)*Data_NFI_t[[#This Row],[Kitchen Set]],0)</f>
        <v>0</v>
      </c>
      <c r="AJ185" s="86">
        <f>IF(NFI_Expiration=1,IF($A185&lt;VLOOKUP(R$5,NFI,5,0),1,0)*Data_NFI_t[[#This Row],[Complementary Kit]],0)</f>
        <v>0</v>
      </c>
      <c r="AK185" s="86">
        <f>IF(NFI_Expiration=1,IF($A185&lt;VLOOKUP(S$5,NFI,5,0),1,0)*Data_NFI_t[[#This Row],[Plastic Bucket]],0)</f>
        <v>0</v>
      </c>
      <c r="AL185" s="86">
        <f>IF(NFI_Expiration=1,IF($A185&lt;VLOOKUP(T$5,NFI,5,0),1,0)*Data_NFI_t[[#This Row],[Jerry Can]],0)</f>
        <v>0</v>
      </c>
      <c r="AM185" s="105">
        <f>IF(NFI_Expiration=1,IF($A185&lt;VLOOKUP(U$5,NFI,5,0),1,0)*Data_NFI_t[[#This Row],[Plastic Mat]],0)*IF(Data_NFI_t[[#This Row],[Distribution Date]]&gt;"01-06-2015",1,2.5)</f>
        <v>0</v>
      </c>
      <c r="AN185" s="734">
        <f>IF(NFI_Expiration=1,IF($A185&lt;VLOOKUP(V$5,NFI,5,0),1,0)*Data_NFI_t[[#This Row],[Adult Clothes]],0)</f>
        <v>0</v>
      </c>
      <c r="AO185" s="105">
        <f>IF(NFI_Expiration=1,IF($A185&lt;VLOOKUP(W$5,NFI,5,0),1,0)*Data_NFI_t[[#This Row],[Children Clothes]],0)</f>
        <v>0</v>
      </c>
      <c r="AP185" s="105">
        <f>IF(NFI_Expiration=1,IF($A185&lt;VLOOKUP(X$5,NFI,5,0),1,0)*Data_NFI_t[[#This Row],[Sewing Kit]],0)</f>
        <v>0</v>
      </c>
      <c r="AQ185" s="734">
        <f>IF(NFI_Expiration=1,IF($A185&lt;VLOOKUP(X$5,NFI,5,0),1,0)*Data_NFI_t[[#This Row],[Solar Lantern]],0)</f>
        <v>0</v>
      </c>
      <c r="AR185" s="105" t="str">
        <f ca="1">IFERROR(OFFSET(Camp_List[P_Code],MATCH(Data_NFI_t[[#This Row],[Camp Name]],Camp_List[Camp Name],0)-1,0,1,1),"")</f>
        <v>MMR012CMP005</v>
      </c>
      <c r="AS185" s="421" t="str">
        <f ca="1">IFERROR(OFFSET(Camp_List[Status],MATCH(Data_NFI_t[[#This Row],[Camp Name]],Camp_List[Camp Name],0)-1,0,1,1),"")</f>
        <v>Returned</v>
      </c>
      <c r="AT185" s="105"/>
    </row>
    <row r="186" spans="1:46" s="78" customFormat="1" ht="19.5" customHeight="1" x14ac:dyDescent="0.25">
      <c r="A186" s="208">
        <f t="shared" si="2"/>
        <v>34.866666666666667</v>
      </c>
      <c r="B186" s="208">
        <f>YEAR(Data_NFI_t[[#This Row],[Distribution Date]])</f>
        <v>2015</v>
      </c>
      <c r="C186" s="744">
        <v>42144</v>
      </c>
      <c r="D186" s="402" t="s">
        <v>270</v>
      </c>
      <c r="E186" s="401" t="s">
        <v>273</v>
      </c>
      <c r="F186" s="402" t="s">
        <v>7</v>
      </c>
      <c r="G186" s="670" t="s">
        <v>17</v>
      </c>
      <c r="H186" s="670" t="s">
        <v>585</v>
      </c>
      <c r="I186" s="670">
        <v>0</v>
      </c>
      <c r="J186" s="670"/>
      <c r="K186" s="670"/>
      <c r="L186" s="42">
        <v>140</v>
      </c>
      <c r="M186" s="42">
        <v>0</v>
      </c>
      <c r="N186" s="42">
        <v>1298</v>
      </c>
      <c r="O186" s="42">
        <v>649</v>
      </c>
      <c r="P186" s="42">
        <v>1298</v>
      </c>
      <c r="Q186" s="42">
        <v>649</v>
      </c>
      <c r="R186" s="42">
        <v>509</v>
      </c>
      <c r="S186" s="42">
        <v>649</v>
      </c>
      <c r="T186" s="419">
        <v>649</v>
      </c>
      <c r="U186" s="42">
        <v>3245</v>
      </c>
      <c r="V186" s="42"/>
      <c r="W186" s="42"/>
      <c r="X186" s="42"/>
      <c r="Y186" s="42"/>
      <c r="Z186" s="42"/>
      <c r="AA186" s="42"/>
      <c r="AB186" s="42"/>
      <c r="AC186" s="105">
        <f>IF(NFI_Expiration=1,IF($A186&lt;VLOOKUP(I$5,NFI,5,0),1,0)*Data_NFI_t[[#This Row],[Hygiene Kit]],0)</f>
        <v>0</v>
      </c>
      <c r="AD186" s="105">
        <f>IF(NFI_Expiration=1,IF($A186&lt;VLOOKUP(L$5,NFI,5,0),1,0)*Data_NFI_t[[#This Row],[NFI Core Kit]],0)</f>
        <v>0</v>
      </c>
      <c r="AE186" s="86">
        <f>IF(NFI_Expiration=1,IF($A186&lt;VLOOKUP(M$5,NFI,5,0),1,0)*Data_NFI_t[[#This Row],[Sanitary Kit]],0)</f>
        <v>0</v>
      </c>
      <c r="AF186" s="86">
        <f>IF(NFI_Expiration=1,IF($A186&lt;VLOOKUP(N$5,NFI,5,0),1,0)*Data_NFI_t[[#This Row],[Mosquito net]],0)</f>
        <v>0</v>
      </c>
      <c r="AG186" s="86">
        <f>IF(NFI_Expiration=1,IF($A186&lt;VLOOKUP(O$5,NFI,5,0),1,0)*Data_NFI_t[[#This Row],[Tarpaulin]],0)</f>
        <v>0</v>
      </c>
      <c r="AH186" s="86">
        <f>IF(NFI_Expiration=1,IF($A186&lt;VLOOKUP(P$5,NFI,5,0),1,0)*Data_NFI_t[[#This Row],[Blanket]],0)</f>
        <v>0</v>
      </c>
      <c r="AI186" s="86">
        <f>IF(NFI_Expiration=1,IF($A186&lt;VLOOKUP(Q$5,NFI,5,0),1,0)*Data_NFI_t[[#This Row],[Kitchen Set]],0)</f>
        <v>0</v>
      </c>
      <c r="AJ186" s="86">
        <f>IF(NFI_Expiration=1,IF($A186&lt;VLOOKUP(R$5,NFI,5,0),1,0)*Data_NFI_t[[#This Row],[Complementary Kit]],0)</f>
        <v>0</v>
      </c>
      <c r="AK186" s="86">
        <f>IF(NFI_Expiration=1,IF($A186&lt;VLOOKUP(S$5,NFI,5,0),1,0)*Data_NFI_t[[#This Row],[Plastic Bucket]],0)</f>
        <v>0</v>
      </c>
      <c r="AL186" s="86">
        <f>IF(NFI_Expiration=1,IF($A186&lt;VLOOKUP(T$5,NFI,5,0),1,0)*Data_NFI_t[[#This Row],[Jerry Can]],0)</f>
        <v>0</v>
      </c>
      <c r="AM186" s="105">
        <f>IF(NFI_Expiration=1,IF($A186&lt;VLOOKUP(U$5,NFI,5,0),1,0)*Data_NFI_t[[#This Row],[Plastic Mat]],0)*IF(Data_NFI_t[[#This Row],[Distribution Date]]&gt;"01-06-2015",1,2.5)</f>
        <v>0</v>
      </c>
      <c r="AN186" s="734">
        <f>IF(NFI_Expiration=1,IF($A186&lt;VLOOKUP(V$5,NFI,5,0),1,0)*Data_NFI_t[[#This Row],[Adult Clothes]],0)</f>
        <v>0</v>
      </c>
      <c r="AO186" s="105">
        <f>IF(NFI_Expiration=1,IF($A186&lt;VLOOKUP(W$5,NFI,5,0),1,0)*Data_NFI_t[[#This Row],[Children Clothes]],0)</f>
        <v>0</v>
      </c>
      <c r="AP186" s="105">
        <f>IF(NFI_Expiration=1,IF($A186&lt;VLOOKUP(X$5,NFI,5,0),1,0)*Data_NFI_t[[#This Row],[Sewing Kit]],0)</f>
        <v>0</v>
      </c>
      <c r="AQ186" s="734">
        <f>IF(NFI_Expiration=1,IF($A186&lt;VLOOKUP(X$5,NFI,5,0),1,0)*Data_NFI_t[[#This Row],[Solar Lantern]],0)</f>
        <v>0</v>
      </c>
      <c r="AR186" s="105" t="str">
        <f ca="1">IFERROR(OFFSET(Camp_List[P_Code],MATCH(Data_NFI_t[[#This Row],[Camp Name]],Camp_List[Camp Name],0)-1,0,1,1),"")</f>
        <v>MMR012CMP098</v>
      </c>
      <c r="AS186" s="421" t="str">
        <f ca="1">IFERROR(OFFSET(Camp_List[Status],MATCH(Data_NFI_t[[#This Row],[Camp Name]],Camp_List[Camp Name],0)-1,0,1,1),"")</f>
        <v>Open</v>
      </c>
      <c r="AT186" s="105"/>
    </row>
    <row r="187" spans="1:46" s="78" customFormat="1" ht="19.5" customHeight="1" x14ac:dyDescent="0.25">
      <c r="A187" s="208">
        <f t="shared" si="2"/>
        <v>35.133333333333333</v>
      </c>
      <c r="B187" s="208">
        <f>YEAR(Data_NFI_t[[#This Row],[Distribution Date]])</f>
        <v>2015</v>
      </c>
      <c r="C187" s="744">
        <v>42136</v>
      </c>
      <c r="D187" s="402" t="s">
        <v>270</v>
      </c>
      <c r="E187" s="401" t="s">
        <v>473</v>
      </c>
      <c r="F187" s="402" t="s">
        <v>7</v>
      </c>
      <c r="G187" s="670" t="s">
        <v>17</v>
      </c>
      <c r="H187" s="670" t="s">
        <v>590</v>
      </c>
      <c r="I187" s="670">
        <v>0</v>
      </c>
      <c r="J187" s="670"/>
      <c r="K187" s="670"/>
      <c r="L187" s="42"/>
      <c r="M187" s="42">
        <v>0</v>
      </c>
      <c r="N187" s="42">
        <v>498</v>
      </c>
      <c r="O187" s="42">
        <v>249</v>
      </c>
      <c r="P187" s="42">
        <v>498</v>
      </c>
      <c r="Q187" s="42">
        <v>249</v>
      </c>
      <c r="R187" s="42">
        <v>0</v>
      </c>
      <c r="S187" s="42">
        <v>249</v>
      </c>
      <c r="T187" s="419">
        <v>249</v>
      </c>
      <c r="U187" s="42">
        <v>1245</v>
      </c>
      <c r="V187" s="42"/>
      <c r="W187" s="42"/>
      <c r="X187" s="42"/>
      <c r="Y187" s="42"/>
      <c r="Z187" s="42"/>
      <c r="AA187" s="42"/>
      <c r="AB187" s="42"/>
      <c r="AC187" s="105">
        <f>IF(NFI_Expiration=1,IF($A187&lt;VLOOKUP(I$5,NFI,5,0),1,0)*Data_NFI_t[[#This Row],[Hygiene Kit]],0)</f>
        <v>0</v>
      </c>
      <c r="AD187" s="105">
        <f>IF(NFI_Expiration=1,IF($A187&lt;VLOOKUP(L$5,NFI,5,0),1,0)*Data_NFI_t[[#This Row],[NFI Core Kit]],0)</f>
        <v>0</v>
      </c>
      <c r="AE187" s="86">
        <f>IF(NFI_Expiration=1,IF($A187&lt;VLOOKUP(M$5,NFI,5,0),1,0)*Data_NFI_t[[#This Row],[Sanitary Kit]],0)</f>
        <v>0</v>
      </c>
      <c r="AF187" s="86">
        <f>IF(NFI_Expiration=1,IF($A187&lt;VLOOKUP(N$5,NFI,5,0),1,0)*Data_NFI_t[[#This Row],[Mosquito net]],0)</f>
        <v>0</v>
      </c>
      <c r="AG187" s="86">
        <f>IF(NFI_Expiration=1,IF($A187&lt;VLOOKUP(O$5,NFI,5,0),1,0)*Data_NFI_t[[#This Row],[Tarpaulin]],0)</f>
        <v>0</v>
      </c>
      <c r="AH187" s="86">
        <f>IF(NFI_Expiration=1,IF($A187&lt;VLOOKUP(P$5,NFI,5,0),1,0)*Data_NFI_t[[#This Row],[Blanket]],0)</f>
        <v>0</v>
      </c>
      <c r="AI187" s="86">
        <f>IF(NFI_Expiration=1,IF($A187&lt;VLOOKUP(Q$5,NFI,5,0),1,0)*Data_NFI_t[[#This Row],[Kitchen Set]],0)</f>
        <v>0</v>
      </c>
      <c r="AJ187" s="86">
        <f>IF(NFI_Expiration=1,IF($A187&lt;VLOOKUP(R$5,NFI,5,0),1,0)*Data_NFI_t[[#This Row],[Complementary Kit]],0)</f>
        <v>0</v>
      </c>
      <c r="AK187" s="86">
        <f>IF(NFI_Expiration=1,IF($A187&lt;VLOOKUP(S$5,NFI,5,0),1,0)*Data_NFI_t[[#This Row],[Plastic Bucket]],0)</f>
        <v>0</v>
      </c>
      <c r="AL187" s="86">
        <f>IF(NFI_Expiration=1,IF($A187&lt;VLOOKUP(T$5,NFI,5,0),1,0)*Data_NFI_t[[#This Row],[Jerry Can]],0)</f>
        <v>0</v>
      </c>
      <c r="AM187" s="105">
        <f>IF(NFI_Expiration=1,IF($A187&lt;VLOOKUP(U$5,NFI,5,0),1,0)*Data_NFI_t[[#This Row],[Plastic Mat]],0)*IF(Data_NFI_t[[#This Row],[Distribution Date]]&gt;"01-06-2015",1,2.5)</f>
        <v>0</v>
      </c>
      <c r="AN187" s="734">
        <f>IF(NFI_Expiration=1,IF($A187&lt;VLOOKUP(V$5,NFI,5,0),1,0)*Data_NFI_t[[#This Row],[Adult Clothes]],0)</f>
        <v>0</v>
      </c>
      <c r="AO187" s="105">
        <f>IF(NFI_Expiration=1,IF($A187&lt;VLOOKUP(W$5,NFI,5,0),1,0)*Data_NFI_t[[#This Row],[Children Clothes]],0)</f>
        <v>0</v>
      </c>
      <c r="AP187" s="105">
        <f>IF(NFI_Expiration=1,IF($A187&lt;VLOOKUP(X$5,NFI,5,0),1,0)*Data_NFI_t[[#This Row],[Sewing Kit]],0)</f>
        <v>0</v>
      </c>
      <c r="AQ187" s="734">
        <f>IF(NFI_Expiration=1,IF($A187&lt;VLOOKUP(X$5,NFI,5,0),1,0)*Data_NFI_t[[#This Row],[Solar Lantern]],0)</f>
        <v>0</v>
      </c>
      <c r="AR187" s="105" t="str">
        <f ca="1">IFERROR(OFFSET(Camp_List[P_Code],MATCH(Data_NFI_t[[#This Row],[Camp Name]],Camp_List[Camp Name],0)-1,0,1,1),"")</f>
        <v>MMR012CMP111</v>
      </c>
      <c r="AS187" s="421" t="str">
        <f ca="1">IFERROR(OFFSET(Camp_List[Status],MATCH(Data_NFI_t[[#This Row],[Camp Name]],Camp_List[Camp Name],0)-1,0,1,1),"")</f>
        <v>Relocated</v>
      </c>
      <c r="AT187" s="105"/>
    </row>
    <row r="188" spans="1:46" s="78" customFormat="1" ht="19.5" customHeight="1" x14ac:dyDescent="0.25">
      <c r="A188" s="208">
        <f t="shared" si="2"/>
        <v>35.299999999999997</v>
      </c>
      <c r="B188" s="208">
        <f>YEAR(Data_NFI_t[[#This Row],[Distribution Date]])</f>
        <v>2015</v>
      </c>
      <c r="C188" s="744">
        <v>42131</v>
      </c>
      <c r="D188" s="402" t="s">
        <v>270</v>
      </c>
      <c r="E188" s="401" t="s">
        <v>575</v>
      </c>
      <c r="F188" s="402" t="s">
        <v>7</v>
      </c>
      <c r="G188" s="670" t="s">
        <v>17</v>
      </c>
      <c r="H188" s="670" t="s">
        <v>66</v>
      </c>
      <c r="I188" s="670"/>
      <c r="J188" s="670"/>
      <c r="K188" s="670"/>
      <c r="L188" s="42">
        <v>2145</v>
      </c>
      <c r="M188" s="42"/>
      <c r="N188" s="42">
        <v>4290</v>
      </c>
      <c r="O188" s="42">
        <v>2145</v>
      </c>
      <c r="P188" s="42">
        <v>4290</v>
      </c>
      <c r="Q188" s="42">
        <v>2145</v>
      </c>
      <c r="R188" s="42"/>
      <c r="S188" s="42">
        <v>2145</v>
      </c>
      <c r="T188" s="419">
        <v>2145</v>
      </c>
      <c r="U188" s="42">
        <v>10725</v>
      </c>
      <c r="V188" s="42"/>
      <c r="W188" s="42"/>
      <c r="X188" s="42"/>
      <c r="Y188" s="42"/>
      <c r="Z188" s="42"/>
      <c r="AA188" s="42"/>
      <c r="AB188" s="42"/>
      <c r="AC188" s="105">
        <f>IF(NFI_Expiration=1,IF($A188&lt;VLOOKUP(I$5,NFI,5,0),1,0)*Data_NFI_t[[#This Row],[Hygiene Kit]],0)</f>
        <v>0</v>
      </c>
      <c r="AD188" s="105">
        <f>IF(NFI_Expiration=1,IF($A188&lt;VLOOKUP(L$5,NFI,5,0),1,0)*Data_NFI_t[[#This Row],[NFI Core Kit]],0)</f>
        <v>0</v>
      </c>
      <c r="AE188" s="86">
        <f>IF(NFI_Expiration=1,IF($A188&lt;VLOOKUP(M$5,NFI,5,0),1,0)*Data_NFI_t[[#This Row],[Sanitary Kit]],0)</f>
        <v>0</v>
      </c>
      <c r="AF188" s="86">
        <f>IF(NFI_Expiration=1,IF($A188&lt;VLOOKUP(N$5,NFI,5,0),1,0)*Data_NFI_t[[#This Row],[Mosquito net]],0)</f>
        <v>0</v>
      </c>
      <c r="AG188" s="86">
        <f>IF(NFI_Expiration=1,IF($A188&lt;VLOOKUP(O$5,NFI,5,0),1,0)*Data_NFI_t[[#This Row],[Tarpaulin]],0)</f>
        <v>0</v>
      </c>
      <c r="AH188" s="86">
        <f>IF(NFI_Expiration=1,IF($A188&lt;VLOOKUP(P$5,NFI,5,0),1,0)*Data_NFI_t[[#This Row],[Blanket]],0)</f>
        <v>0</v>
      </c>
      <c r="AI188" s="86">
        <f>IF(NFI_Expiration=1,IF($A188&lt;VLOOKUP(Q$5,NFI,5,0),1,0)*Data_NFI_t[[#This Row],[Kitchen Set]],0)</f>
        <v>0</v>
      </c>
      <c r="AJ188" s="86">
        <f>IF(NFI_Expiration=1,IF($A188&lt;VLOOKUP(R$5,NFI,5,0),1,0)*Data_NFI_t[[#This Row],[Complementary Kit]],0)</f>
        <v>0</v>
      </c>
      <c r="AK188" s="86">
        <f>IF(NFI_Expiration=1,IF($A188&lt;VLOOKUP(S$5,NFI,5,0),1,0)*Data_NFI_t[[#This Row],[Plastic Bucket]],0)</f>
        <v>0</v>
      </c>
      <c r="AL188" s="86">
        <f>IF(NFI_Expiration=1,IF($A188&lt;VLOOKUP(T$5,NFI,5,0),1,0)*Data_NFI_t[[#This Row],[Jerry Can]],0)</f>
        <v>0</v>
      </c>
      <c r="AM188" s="105">
        <f>IF(NFI_Expiration=1,IF($A188&lt;VLOOKUP(U$5,NFI,5,0),1,0)*Data_NFI_t[[#This Row],[Plastic Mat]],0)*IF(Data_NFI_t[[#This Row],[Distribution Date]]&gt;"01-06-2015",1,2.5)</f>
        <v>0</v>
      </c>
      <c r="AN188" s="734">
        <f>IF(NFI_Expiration=1,IF($A188&lt;VLOOKUP(V$5,NFI,5,0),1,0)*Data_NFI_t[[#This Row],[Adult Clothes]],0)</f>
        <v>0</v>
      </c>
      <c r="AO188" s="105">
        <f>IF(NFI_Expiration=1,IF($A188&lt;VLOOKUP(W$5,NFI,5,0),1,0)*Data_NFI_t[[#This Row],[Children Clothes]],0)</f>
        <v>0</v>
      </c>
      <c r="AP188" s="105">
        <f>IF(NFI_Expiration=1,IF($A188&lt;VLOOKUP(X$5,NFI,5,0),1,0)*Data_NFI_t[[#This Row],[Sewing Kit]],0)</f>
        <v>0</v>
      </c>
      <c r="AQ188" s="734">
        <f>IF(NFI_Expiration=1,IF($A188&lt;VLOOKUP(X$5,NFI,5,0),1,0)*Data_NFI_t[[#This Row],[Solar Lantern]],0)</f>
        <v>0</v>
      </c>
      <c r="AR188" s="105" t="str">
        <f ca="1">IFERROR(OFFSET(Camp_List[P_Code],MATCH(Data_NFI_t[[#This Row],[Camp Name]],Camp_List[Camp Name],0)-1,0,1,1),"")</f>
        <v>MMR012CMP046</v>
      </c>
      <c r="AS188" s="421" t="str">
        <f ca="1">IFERROR(OFFSET(Camp_List[Status],MATCH(Data_NFI_t[[#This Row],[Camp Name]],Camp_List[Camp Name],0)-1,0,1,1),"")</f>
        <v>Open</v>
      </c>
      <c r="AT188" s="105"/>
    </row>
    <row r="189" spans="1:46" s="78" customFormat="1" ht="19.5" customHeight="1" x14ac:dyDescent="0.25">
      <c r="A189" s="208">
        <f t="shared" si="2"/>
        <v>35.333333333333336</v>
      </c>
      <c r="B189" s="208">
        <f>YEAR(Data_NFI_t[[#This Row],[Distribution Date]])</f>
        <v>2015</v>
      </c>
      <c r="C189" s="744">
        <v>42130</v>
      </c>
      <c r="D189" s="402" t="s">
        <v>273</v>
      </c>
      <c r="E189" s="401" t="s">
        <v>273</v>
      </c>
      <c r="F189" s="402" t="s">
        <v>7</v>
      </c>
      <c r="G189" s="670" t="s">
        <v>17</v>
      </c>
      <c r="H189" s="670" t="s">
        <v>61</v>
      </c>
      <c r="I189" s="670">
        <v>0</v>
      </c>
      <c r="J189" s="670"/>
      <c r="K189" s="670"/>
      <c r="L189" s="42">
        <v>1364</v>
      </c>
      <c r="M189" s="42">
        <v>0</v>
      </c>
      <c r="N189" s="42">
        <v>2728</v>
      </c>
      <c r="O189" s="42">
        <v>1364</v>
      </c>
      <c r="P189" s="42">
        <v>2728</v>
      </c>
      <c r="Q189" s="42">
        <v>1364</v>
      </c>
      <c r="R189" s="42">
        <v>0</v>
      </c>
      <c r="S189" s="42">
        <v>1364</v>
      </c>
      <c r="T189" s="419">
        <v>1364</v>
      </c>
      <c r="U189" s="42">
        <v>6820</v>
      </c>
      <c r="V189" s="42"/>
      <c r="W189" s="42"/>
      <c r="X189" s="42"/>
      <c r="Y189" s="42"/>
      <c r="Z189" s="42"/>
      <c r="AA189" s="42"/>
      <c r="AB189" s="42"/>
      <c r="AC189" s="105">
        <f>IF(NFI_Expiration=1,IF($A189&lt;VLOOKUP(I$5,NFI,5,0),1,0)*Data_NFI_t[[#This Row],[Hygiene Kit]],0)</f>
        <v>0</v>
      </c>
      <c r="AD189" s="105">
        <f>IF(NFI_Expiration=1,IF($A189&lt;VLOOKUP(L$5,NFI,5,0),1,0)*Data_NFI_t[[#This Row],[NFI Core Kit]],0)</f>
        <v>0</v>
      </c>
      <c r="AE189" s="86">
        <f>IF(NFI_Expiration=1,IF($A189&lt;VLOOKUP(M$5,NFI,5,0),1,0)*Data_NFI_t[[#This Row],[Sanitary Kit]],0)</f>
        <v>0</v>
      </c>
      <c r="AF189" s="86">
        <f>IF(NFI_Expiration=1,IF($A189&lt;VLOOKUP(N$5,NFI,5,0),1,0)*Data_NFI_t[[#This Row],[Mosquito net]],0)</f>
        <v>0</v>
      </c>
      <c r="AG189" s="86">
        <f>IF(NFI_Expiration=1,IF($A189&lt;VLOOKUP(O$5,NFI,5,0),1,0)*Data_NFI_t[[#This Row],[Tarpaulin]],0)</f>
        <v>0</v>
      </c>
      <c r="AH189" s="86">
        <f>IF(NFI_Expiration=1,IF($A189&lt;VLOOKUP(P$5,NFI,5,0),1,0)*Data_NFI_t[[#This Row],[Blanket]],0)</f>
        <v>0</v>
      </c>
      <c r="AI189" s="86">
        <f>IF(NFI_Expiration=1,IF($A189&lt;VLOOKUP(Q$5,NFI,5,0),1,0)*Data_NFI_t[[#This Row],[Kitchen Set]],0)</f>
        <v>0</v>
      </c>
      <c r="AJ189" s="86">
        <f>IF(NFI_Expiration=1,IF($A189&lt;VLOOKUP(R$5,NFI,5,0),1,0)*Data_NFI_t[[#This Row],[Complementary Kit]],0)</f>
        <v>0</v>
      </c>
      <c r="AK189" s="86">
        <f>IF(NFI_Expiration=1,IF($A189&lt;VLOOKUP(S$5,NFI,5,0),1,0)*Data_NFI_t[[#This Row],[Plastic Bucket]],0)</f>
        <v>0</v>
      </c>
      <c r="AL189" s="86">
        <f>IF(NFI_Expiration=1,IF($A189&lt;VLOOKUP(T$5,NFI,5,0),1,0)*Data_NFI_t[[#This Row],[Jerry Can]],0)</f>
        <v>0</v>
      </c>
      <c r="AM189" s="105">
        <f>IF(NFI_Expiration=1,IF($A189&lt;VLOOKUP(U$5,NFI,5,0),1,0)*Data_NFI_t[[#This Row],[Plastic Mat]],0)*IF(Data_NFI_t[[#This Row],[Distribution Date]]&gt;"01-06-2015",1,2.5)</f>
        <v>0</v>
      </c>
      <c r="AN189" s="734">
        <f>IF(NFI_Expiration=1,IF($A189&lt;VLOOKUP(V$5,NFI,5,0),1,0)*Data_NFI_t[[#This Row],[Adult Clothes]],0)</f>
        <v>0</v>
      </c>
      <c r="AO189" s="105">
        <f>IF(NFI_Expiration=1,IF($A189&lt;VLOOKUP(W$5,NFI,5,0),1,0)*Data_NFI_t[[#This Row],[Children Clothes]],0)</f>
        <v>0</v>
      </c>
      <c r="AP189" s="105">
        <f>IF(NFI_Expiration=1,IF($A189&lt;VLOOKUP(X$5,NFI,5,0),1,0)*Data_NFI_t[[#This Row],[Sewing Kit]],0)</f>
        <v>0</v>
      </c>
      <c r="AQ189" s="734">
        <f>IF(NFI_Expiration=1,IF($A189&lt;VLOOKUP(X$5,NFI,5,0),1,0)*Data_NFI_t[[#This Row],[Solar Lantern]],0)</f>
        <v>0</v>
      </c>
      <c r="AR189" s="105" t="str">
        <f ca="1">IFERROR(OFFSET(Camp_List[P_Code],MATCH(Data_NFI_t[[#This Row],[Camp Name]],Camp_List[Camp Name],0)-1,0,1,1),"")</f>
        <v>MMR012CMP041</v>
      </c>
      <c r="AS189" s="421" t="str">
        <f ca="1">IFERROR(OFFSET(Camp_List[Status],MATCH(Data_NFI_t[[#This Row],[Camp Name]],Camp_List[Camp Name],0)-1,0,1,1),"")</f>
        <v>Open</v>
      </c>
      <c r="AT189" s="105"/>
    </row>
    <row r="190" spans="1:46" s="78" customFormat="1" ht="19.5" customHeight="1" x14ac:dyDescent="0.25">
      <c r="A190" s="208">
        <f t="shared" si="2"/>
        <v>35.366666666666667</v>
      </c>
      <c r="B190" s="208">
        <v>2015</v>
      </c>
      <c r="C190" s="744">
        <v>42129</v>
      </c>
      <c r="D190" s="402" t="s">
        <v>270</v>
      </c>
      <c r="E190" s="401" t="s">
        <v>270</v>
      </c>
      <c r="F190" s="402" t="s">
        <v>7</v>
      </c>
      <c r="G190" s="670" t="s">
        <v>15</v>
      </c>
      <c r="H190" s="670" t="s">
        <v>560</v>
      </c>
      <c r="I190" s="670">
        <v>0</v>
      </c>
      <c r="J190" s="670"/>
      <c r="K190" s="670"/>
      <c r="L190" s="42">
        <v>7</v>
      </c>
      <c r="M190" s="42">
        <v>7</v>
      </c>
      <c r="N190" s="42">
        <v>14</v>
      </c>
      <c r="O190" s="42">
        <v>5</v>
      </c>
      <c r="P190" s="42">
        <v>14</v>
      </c>
      <c r="Q190" s="42">
        <v>5</v>
      </c>
      <c r="R190" s="42">
        <v>0</v>
      </c>
      <c r="S190" s="42">
        <v>7</v>
      </c>
      <c r="T190" s="419">
        <v>7</v>
      </c>
      <c r="U190" s="42">
        <v>21</v>
      </c>
      <c r="V190" s="42"/>
      <c r="W190" s="42"/>
      <c r="X190" s="42"/>
      <c r="Y190" s="42"/>
      <c r="Z190" s="42"/>
      <c r="AA190" s="42"/>
      <c r="AB190" s="42"/>
      <c r="AC190" s="105">
        <f>IF(NFI_Expiration=1,IF($A190&lt;VLOOKUP(I$5,NFI,5,0),1,0)*Data_NFI_t[[#This Row],[Hygiene Kit]],0)</f>
        <v>0</v>
      </c>
      <c r="AD190" s="105">
        <f>IF(NFI_Expiration=1,IF($A190&lt;VLOOKUP(L$5,NFI,5,0),1,0)*Data_NFI_t[[#This Row],[NFI Core Kit]],0)</f>
        <v>0</v>
      </c>
      <c r="AE190" s="86">
        <f>IF(NFI_Expiration=1,IF($A190&lt;VLOOKUP(M$5,NFI,5,0),1,0)*Data_NFI_t[[#This Row],[Sanitary Kit]],0)</f>
        <v>0</v>
      </c>
      <c r="AF190" s="86">
        <f>IF(NFI_Expiration=1,IF($A190&lt;VLOOKUP(N$5,NFI,5,0),1,0)*Data_NFI_t[[#This Row],[Mosquito net]],0)</f>
        <v>0</v>
      </c>
      <c r="AG190" s="86">
        <f>IF(NFI_Expiration=1,IF($A190&lt;VLOOKUP(O$5,NFI,5,0),1,0)*Data_NFI_t[[#This Row],[Tarpaulin]],0)</f>
        <v>0</v>
      </c>
      <c r="AH190" s="86">
        <f>IF(NFI_Expiration=1,IF($A190&lt;VLOOKUP(P$5,NFI,5,0),1,0)*Data_NFI_t[[#This Row],[Blanket]],0)</f>
        <v>0</v>
      </c>
      <c r="AI190" s="86">
        <f>IF(NFI_Expiration=1,IF($A190&lt;VLOOKUP(Q$5,NFI,5,0),1,0)*Data_NFI_t[[#This Row],[Kitchen Set]],0)</f>
        <v>0</v>
      </c>
      <c r="AJ190" s="86">
        <f>IF(NFI_Expiration=1,IF($A190&lt;VLOOKUP(R$5,NFI,5,0),1,0)*Data_NFI_t[[#This Row],[Complementary Kit]],0)</f>
        <v>0</v>
      </c>
      <c r="AK190" s="86">
        <f>IF(NFI_Expiration=1,IF($A190&lt;VLOOKUP(S$5,NFI,5,0),1,0)*Data_NFI_t[[#This Row],[Plastic Bucket]],0)</f>
        <v>0</v>
      </c>
      <c r="AL190" s="86">
        <f>IF(NFI_Expiration=1,IF($A190&lt;VLOOKUP(T$5,NFI,5,0),1,0)*Data_NFI_t[[#This Row],[Jerry Can]],0)</f>
        <v>0</v>
      </c>
      <c r="AM190" s="105">
        <f>IF(NFI_Expiration=1,IF($A190&lt;VLOOKUP(U$5,NFI,5,0),1,0)*Data_NFI_t[[#This Row],[Plastic Mat]],0)*IF(Data_NFI_t[[#This Row],[Distribution Date]]&gt;"01-06-2015",1,2.5)</f>
        <v>0</v>
      </c>
      <c r="AN190" s="734">
        <f>IF(NFI_Expiration=1,IF($A190&lt;VLOOKUP(V$5,NFI,5,0),1,0)*Data_NFI_t[[#This Row],[Adult Clothes]],0)</f>
        <v>0</v>
      </c>
      <c r="AO190" s="105">
        <f>IF(NFI_Expiration=1,IF($A190&lt;VLOOKUP(W$5,NFI,5,0),1,0)*Data_NFI_t[[#This Row],[Children Clothes]],0)</f>
        <v>0</v>
      </c>
      <c r="AP190" s="105">
        <f>IF(NFI_Expiration=1,IF($A190&lt;VLOOKUP(X$5,NFI,5,0),1,0)*Data_NFI_t[[#This Row],[Sewing Kit]],0)</f>
        <v>0</v>
      </c>
      <c r="AQ190" s="734">
        <f>IF(NFI_Expiration=1,IF($A190&lt;VLOOKUP(X$5,NFI,5,0),1,0)*Data_NFI_t[[#This Row],[Solar Lantern]],0)</f>
        <v>0</v>
      </c>
      <c r="AR190" s="105" t="str">
        <f ca="1">IFERROR(OFFSET(Camp_List[P_Code],MATCH(Data_NFI_t[[#This Row],[Camp Name]],Camp_List[Camp Name],0)-1,0,1,1),"")</f>
        <v/>
      </c>
      <c r="AS190" s="421" t="str">
        <f ca="1">IFERROR(OFFSET(Camp_List[Status],MATCH(Data_NFI_t[[#This Row],[Camp Name]],Camp_List[Camp Name],0)-1,0,1,1),"")</f>
        <v/>
      </c>
      <c r="AT190" s="105"/>
    </row>
    <row r="191" spans="1:46" s="78" customFormat="1" ht="19.5" customHeight="1" x14ac:dyDescent="0.25">
      <c r="A191" s="208">
        <f t="shared" si="2"/>
        <v>35.633333333333333</v>
      </c>
      <c r="B191" s="208">
        <f>YEAR(Data_NFI_t[[#This Row],[Distribution Date]])</f>
        <v>2015</v>
      </c>
      <c r="C191" s="744">
        <v>42121</v>
      </c>
      <c r="D191" s="402" t="s">
        <v>270</v>
      </c>
      <c r="E191" s="401" t="s">
        <v>270</v>
      </c>
      <c r="F191" s="402" t="s">
        <v>7</v>
      </c>
      <c r="G191" s="670" t="s">
        <v>17</v>
      </c>
      <c r="H191" s="670" t="s">
        <v>591</v>
      </c>
      <c r="I191" s="670">
        <v>0</v>
      </c>
      <c r="J191" s="670"/>
      <c r="K191" s="670"/>
      <c r="L191" s="42"/>
      <c r="M191" s="42">
        <v>0</v>
      </c>
      <c r="N191" s="42">
        <v>836</v>
      </c>
      <c r="O191" s="42">
        <v>418</v>
      </c>
      <c r="P191" s="42">
        <v>836</v>
      </c>
      <c r="Q191" s="42">
        <v>418</v>
      </c>
      <c r="R191" s="42">
        <v>0</v>
      </c>
      <c r="S191" s="42">
        <v>418</v>
      </c>
      <c r="T191" s="419">
        <v>418</v>
      </c>
      <c r="U191" s="42">
        <v>2090</v>
      </c>
      <c r="V191" s="42"/>
      <c r="W191" s="42"/>
      <c r="X191" s="42"/>
      <c r="Y191" s="42"/>
      <c r="Z191" s="42"/>
      <c r="AA191" s="42"/>
      <c r="AB191" s="42"/>
      <c r="AC191" s="105">
        <f>IF(NFI_Expiration=1,IF($A191&lt;VLOOKUP(I$5,NFI,5,0),1,0)*Data_NFI_t[[#This Row],[Hygiene Kit]],0)</f>
        <v>0</v>
      </c>
      <c r="AD191" s="105">
        <f>IF(NFI_Expiration=1,IF($A191&lt;VLOOKUP(L$5,NFI,5,0),1,0)*Data_NFI_t[[#This Row],[NFI Core Kit]],0)</f>
        <v>0</v>
      </c>
      <c r="AE191" s="86">
        <f>IF(NFI_Expiration=1,IF($A191&lt;VLOOKUP(M$5,NFI,5,0),1,0)*Data_NFI_t[[#This Row],[Sanitary Kit]],0)</f>
        <v>0</v>
      </c>
      <c r="AF191" s="86">
        <f>IF(NFI_Expiration=1,IF($A191&lt;VLOOKUP(N$5,NFI,5,0),1,0)*Data_NFI_t[[#This Row],[Mosquito net]],0)</f>
        <v>0</v>
      </c>
      <c r="AG191" s="86">
        <f>IF(NFI_Expiration=1,IF($A191&lt;VLOOKUP(O$5,NFI,5,0),1,0)*Data_NFI_t[[#This Row],[Tarpaulin]],0)</f>
        <v>0</v>
      </c>
      <c r="AH191" s="86">
        <f>IF(NFI_Expiration=1,IF($A191&lt;VLOOKUP(P$5,NFI,5,0),1,0)*Data_NFI_t[[#This Row],[Blanket]],0)</f>
        <v>0</v>
      </c>
      <c r="AI191" s="86">
        <f>IF(NFI_Expiration=1,IF($A191&lt;VLOOKUP(Q$5,NFI,5,0),1,0)*Data_NFI_t[[#This Row],[Kitchen Set]],0)</f>
        <v>0</v>
      </c>
      <c r="AJ191" s="86">
        <f>IF(NFI_Expiration=1,IF($A191&lt;VLOOKUP(R$5,NFI,5,0),1,0)*Data_NFI_t[[#This Row],[Complementary Kit]],0)</f>
        <v>0</v>
      </c>
      <c r="AK191" s="86">
        <f>IF(NFI_Expiration=1,IF($A191&lt;VLOOKUP(S$5,NFI,5,0),1,0)*Data_NFI_t[[#This Row],[Plastic Bucket]],0)</f>
        <v>0</v>
      </c>
      <c r="AL191" s="86">
        <f>IF(NFI_Expiration=1,IF($A191&lt;VLOOKUP(T$5,NFI,5,0),1,0)*Data_NFI_t[[#This Row],[Jerry Can]],0)</f>
        <v>0</v>
      </c>
      <c r="AM191" s="105">
        <f>IF(NFI_Expiration=1,IF($A191&lt;VLOOKUP(U$5,NFI,5,0),1,0)*Data_NFI_t[[#This Row],[Plastic Mat]],0)*IF(Data_NFI_t[[#This Row],[Distribution Date]]&gt;"01-06-2015",1,2.5)</f>
        <v>0</v>
      </c>
      <c r="AN191" s="734">
        <f>IF(NFI_Expiration=1,IF($A191&lt;VLOOKUP(V$5,NFI,5,0),1,0)*Data_NFI_t[[#This Row],[Adult Clothes]],0)</f>
        <v>0</v>
      </c>
      <c r="AO191" s="105">
        <f>IF(NFI_Expiration=1,IF($A191&lt;VLOOKUP(W$5,NFI,5,0),1,0)*Data_NFI_t[[#This Row],[Children Clothes]],0)</f>
        <v>0</v>
      </c>
      <c r="AP191" s="105">
        <f>IF(NFI_Expiration=1,IF($A191&lt;VLOOKUP(X$5,NFI,5,0),1,0)*Data_NFI_t[[#This Row],[Sewing Kit]],0)</f>
        <v>0</v>
      </c>
      <c r="AQ191" s="734">
        <f>IF(NFI_Expiration=1,IF($A191&lt;VLOOKUP(X$5,NFI,5,0),1,0)*Data_NFI_t[[#This Row],[Solar Lantern]],0)</f>
        <v>0</v>
      </c>
      <c r="AR191" s="105" t="str">
        <f ca="1">IFERROR(OFFSET(Camp_List[P_Code],MATCH(Data_NFI_t[[#This Row],[Camp Name]],Camp_List[Camp Name],0)-1,0,1,1),"")</f>
        <v>MMR012CMP112</v>
      </c>
      <c r="AS191" s="421" t="str">
        <f ca="1">IFERROR(OFFSET(Camp_List[Status],MATCH(Data_NFI_t[[#This Row],[Camp Name]],Camp_List[Camp Name],0)-1,0,1,1),"")</f>
        <v>Relocated</v>
      </c>
      <c r="AT191" s="105"/>
    </row>
    <row r="192" spans="1:46" s="78" customFormat="1" ht="19.5" customHeight="1" x14ac:dyDescent="0.25">
      <c r="A192" s="208">
        <f t="shared" si="2"/>
        <v>35.633333333333333</v>
      </c>
      <c r="B192" s="208">
        <f>YEAR(Data_NFI_t[[#This Row],[Distribution Date]])</f>
        <v>2015</v>
      </c>
      <c r="C192" s="744">
        <v>42121</v>
      </c>
      <c r="D192" s="402" t="s">
        <v>270</v>
      </c>
      <c r="E192" s="401" t="s">
        <v>575</v>
      </c>
      <c r="F192" s="402" t="s">
        <v>7</v>
      </c>
      <c r="G192" s="670" t="s">
        <v>17</v>
      </c>
      <c r="H192" s="670" t="s">
        <v>76</v>
      </c>
      <c r="I192" s="670"/>
      <c r="J192" s="670"/>
      <c r="K192" s="670"/>
      <c r="L192" s="42">
        <v>72</v>
      </c>
      <c r="M192" s="42"/>
      <c r="N192" s="42">
        <v>144</v>
      </c>
      <c r="O192" s="42">
        <v>72</v>
      </c>
      <c r="P192" s="42">
        <v>144</v>
      </c>
      <c r="Q192" s="42">
        <v>72</v>
      </c>
      <c r="R192" s="42"/>
      <c r="S192" s="42">
        <v>72</v>
      </c>
      <c r="T192" s="419">
        <v>72</v>
      </c>
      <c r="U192" s="42">
        <v>360</v>
      </c>
      <c r="V192" s="42"/>
      <c r="W192" s="42"/>
      <c r="X192" s="42"/>
      <c r="Y192" s="42"/>
      <c r="Z192" s="42"/>
      <c r="AA192" s="42"/>
      <c r="AB192" s="42"/>
      <c r="AC192" s="105">
        <f>IF(NFI_Expiration=1,IF($A192&lt;VLOOKUP(I$5,NFI,5,0),1,0)*Data_NFI_t[[#This Row],[Hygiene Kit]],0)</f>
        <v>0</v>
      </c>
      <c r="AD192" s="105">
        <f>IF(NFI_Expiration=1,IF($A192&lt;VLOOKUP(L$5,NFI,5,0),1,0)*Data_NFI_t[[#This Row],[NFI Core Kit]],0)</f>
        <v>0</v>
      </c>
      <c r="AE192" s="86">
        <f>IF(NFI_Expiration=1,IF($A192&lt;VLOOKUP(M$5,NFI,5,0),1,0)*Data_NFI_t[[#This Row],[Sanitary Kit]],0)</f>
        <v>0</v>
      </c>
      <c r="AF192" s="86">
        <f>IF(NFI_Expiration=1,IF($A192&lt;VLOOKUP(N$5,NFI,5,0),1,0)*Data_NFI_t[[#This Row],[Mosquito net]],0)</f>
        <v>0</v>
      </c>
      <c r="AG192" s="86">
        <f>IF(NFI_Expiration=1,IF($A192&lt;VLOOKUP(O$5,NFI,5,0),1,0)*Data_NFI_t[[#This Row],[Tarpaulin]],0)</f>
        <v>0</v>
      </c>
      <c r="AH192" s="86">
        <f>IF(NFI_Expiration=1,IF($A192&lt;VLOOKUP(P$5,NFI,5,0),1,0)*Data_NFI_t[[#This Row],[Blanket]],0)</f>
        <v>0</v>
      </c>
      <c r="AI192" s="86">
        <f>IF(NFI_Expiration=1,IF($A192&lt;VLOOKUP(Q$5,NFI,5,0),1,0)*Data_NFI_t[[#This Row],[Kitchen Set]],0)</f>
        <v>0</v>
      </c>
      <c r="AJ192" s="86">
        <f>IF(NFI_Expiration=1,IF($A192&lt;VLOOKUP(R$5,NFI,5,0),1,0)*Data_NFI_t[[#This Row],[Complementary Kit]],0)</f>
        <v>0</v>
      </c>
      <c r="AK192" s="86">
        <f>IF(NFI_Expiration=1,IF($A192&lt;VLOOKUP(S$5,NFI,5,0),1,0)*Data_NFI_t[[#This Row],[Plastic Bucket]],0)</f>
        <v>0</v>
      </c>
      <c r="AL192" s="86">
        <f>IF(NFI_Expiration=1,IF($A192&lt;VLOOKUP(T$5,NFI,5,0),1,0)*Data_NFI_t[[#This Row],[Jerry Can]],0)</f>
        <v>0</v>
      </c>
      <c r="AM192" s="105">
        <f>IF(NFI_Expiration=1,IF($A192&lt;VLOOKUP(U$5,NFI,5,0),1,0)*Data_NFI_t[[#This Row],[Plastic Mat]],0)*IF(Data_NFI_t[[#This Row],[Distribution Date]]&gt;"01-06-2015",1,2.5)</f>
        <v>0</v>
      </c>
      <c r="AN192" s="734">
        <f>IF(NFI_Expiration=1,IF($A192&lt;VLOOKUP(V$5,NFI,5,0),1,0)*Data_NFI_t[[#This Row],[Adult Clothes]],0)</f>
        <v>0</v>
      </c>
      <c r="AO192" s="105">
        <f>IF(NFI_Expiration=1,IF($A192&lt;VLOOKUP(W$5,NFI,5,0),1,0)*Data_NFI_t[[#This Row],[Children Clothes]],0)</f>
        <v>0</v>
      </c>
      <c r="AP192" s="105">
        <f>IF(NFI_Expiration=1,IF($A192&lt;VLOOKUP(X$5,NFI,5,0),1,0)*Data_NFI_t[[#This Row],[Sewing Kit]],0)</f>
        <v>0</v>
      </c>
      <c r="AQ192" s="734">
        <f>IF(NFI_Expiration=1,IF($A192&lt;VLOOKUP(X$5,NFI,5,0),1,0)*Data_NFI_t[[#This Row],[Solar Lantern]],0)</f>
        <v>0</v>
      </c>
      <c r="AR192" s="105" t="str">
        <f ca="1">IFERROR(OFFSET(Camp_List[P_Code],MATCH(Data_NFI_t[[#This Row],[Camp Name]],Camp_List[Camp Name],0)-1,0,1,1),"")</f>
        <v>MMR012CMP056</v>
      </c>
      <c r="AS192" s="421" t="str">
        <f ca="1">IFERROR(OFFSET(Camp_List[Status],MATCH(Data_NFI_t[[#This Row],[Camp Name]],Camp_List[Camp Name],0)-1,0,1,1),"")</f>
        <v>Relocated</v>
      </c>
      <c r="AT192" s="105"/>
    </row>
    <row r="193" spans="1:46" s="78" customFormat="1" ht="19.5" customHeight="1" x14ac:dyDescent="0.25">
      <c r="A193" s="208">
        <f t="shared" si="2"/>
        <v>35.633333333333333</v>
      </c>
      <c r="B193" s="208">
        <f>YEAR(Data_NFI_t[[#This Row],[Distribution Date]])</f>
        <v>2015</v>
      </c>
      <c r="C193" s="744">
        <v>42121</v>
      </c>
      <c r="D193" s="402" t="s">
        <v>270</v>
      </c>
      <c r="E193" s="401" t="s">
        <v>575</v>
      </c>
      <c r="F193" s="402" t="s">
        <v>7</v>
      </c>
      <c r="G193" s="670" t="s">
        <v>17</v>
      </c>
      <c r="H193" s="670" t="s">
        <v>232</v>
      </c>
      <c r="I193" s="670"/>
      <c r="J193" s="670"/>
      <c r="K193" s="670"/>
      <c r="L193" s="42">
        <v>151</v>
      </c>
      <c r="M193" s="42"/>
      <c r="N193" s="42">
        <v>302</v>
      </c>
      <c r="O193" s="42">
        <v>151</v>
      </c>
      <c r="P193" s="42">
        <v>302</v>
      </c>
      <c r="Q193" s="42">
        <v>151</v>
      </c>
      <c r="R193" s="42"/>
      <c r="S193" s="42">
        <v>151</v>
      </c>
      <c r="T193" s="419">
        <v>151</v>
      </c>
      <c r="U193" s="42">
        <v>755</v>
      </c>
      <c r="V193" s="42"/>
      <c r="W193" s="42"/>
      <c r="X193" s="42"/>
      <c r="Y193" s="42"/>
      <c r="Z193" s="42"/>
      <c r="AA193" s="42"/>
      <c r="AB193" s="42"/>
      <c r="AC193" s="105">
        <f>IF(NFI_Expiration=1,IF($A193&lt;VLOOKUP(I$5,NFI,5,0),1,0)*Data_NFI_t[[#This Row],[Hygiene Kit]],0)</f>
        <v>0</v>
      </c>
      <c r="AD193" s="105">
        <f>IF(NFI_Expiration=1,IF($A193&lt;VLOOKUP(L$5,NFI,5,0),1,0)*Data_NFI_t[[#This Row],[NFI Core Kit]],0)</f>
        <v>0</v>
      </c>
      <c r="AE193" s="86">
        <f>IF(NFI_Expiration=1,IF($A193&lt;VLOOKUP(M$5,NFI,5,0),1,0)*Data_NFI_t[[#This Row],[Sanitary Kit]],0)</f>
        <v>0</v>
      </c>
      <c r="AF193" s="86">
        <f>IF(NFI_Expiration=1,IF($A193&lt;VLOOKUP(N$5,NFI,5,0),1,0)*Data_NFI_t[[#This Row],[Mosquito net]],0)</f>
        <v>0</v>
      </c>
      <c r="AG193" s="86">
        <f>IF(NFI_Expiration=1,IF($A193&lt;VLOOKUP(O$5,NFI,5,0),1,0)*Data_NFI_t[[#This Row],[Tarpaulin]],0)</f>
        <v>0</v>
      </c>
      <c r="AH193" s="86">
        <f>IF(NFI_Expiration=1,IF($A193&lt;VLOOKUP(P$5,NFI,5,0),1,0)*Data_NFI_t[[#This Row],[Blanket]],0)</f>
        <v>0</v>
      </c>
      <c r="AI193" s="86">
        <f>IF(NFI_Expiration=1,IF($A193&lt;VLOOKUP(Q$5,NFI,5,0),1,0)*Data_NFI_t[[#This Row],[Kitchen Set]],0)</f>
        <v>0</v>
      </c>
      <c r="AJ193" s="86">
        <f>IF(NFI_Expiration=1,IF($A193&lt;VLOOKUP(R$5,NFI,5,0),1,0)*Data_NFI_t[[#This Row],[Complementary Kit]],0)</f>
        <v>0</v>
      </c>
      <c r="AK193" s="86">
        <f>IF(NFI_Expiration=1,IF($A193&lt;VLOOKUP(S$5,NFI,5,0),1,0)*Data_NFI_t[[#This Row],[Plastic Bucket]],0)</f>
        <v>0</v>
      </c>
      <c r="AL193" s="86">
        <f>IF(NFI_Expiration=1,IF($A193&lt;VLOOKUP(T$5,NFI,5,0),1,0)*Data_NFI_t[[#This Row],[Jerry Can]],0)</f>
        <v>0</v>
      </c>
      <c r="AM193" s="105">
        <f>IF(NFI_Expiration=1,IF($A193&lt;VLOOKUP(U$5,NFI,5,0),1,0)*Data_NFI_t[[#This Row],[Plastic Mat]],0)*IF(Data_NFI_t[[#This Row],[Distribution Date]]&gt;"01-06-2015",1,2.5)</f>
        <v>0</v>
      </c>
      <c r="AN193" s="734">
        <f>IF(NFI_Expiration=1,IF($A193&lt;VLOOKUP(V$5,NFI,5,0),1,0)*Data_NFI_t[[#This Row],[Adult Clothes]],0)</f>
        <v>0</v>
      </c>
      <c r="AO193" s="105">
        <f>IF(NFI_Expiration=1,IF($A193&lt;VLOOKUP(W$5,NFI,5,0),1,0)*Data_NFI_t[[#This Row],[Children Clothes]],0)</f>
        <v>0</v>
      </c>
      <c r="AP193" s="105">
        <f>IF(NFI_Expiration=1,IF($A193&lt;VLOOKUP(X$5,NFI,5,0),1,0)*Data_NFI_t[[#This Row],[Sewing Kit]],0)</f>
        <v>0</v>
      </c>
      <c r="AQ193" s="734">
        <f>IF(NFI_Expiration=1,IF($A193&lt;VLOOKUP(X$5,NFI,5,0),1,0)*Data_NFI_t[[#This Row],[Solar Lantern]],0)</f>
        <v>0</v>
      </c>
      <c r="AR193" s="105" t="str">
        <f ca="1">IFERROR(OFFSET(Camp_List[P_Code],MATCH(Data_NFI_t[[#This Row],[Camp Name]],Camp_List[Camp Name],0)-1,0,1,1),"")</f>
        <v/>
      </c>
      <c r="AS193" s="421" t="str">
        <f ca="1">IFERROR(OFFSET(Camp_List[Status],MATCH(Data_NFI_t[[#This Row],[Camp Name]],Camp_List[Camp Name],0)-1,0,1,1),"")</f>
        <v/>
      </c>
      <c r="AT193" s="105"/>
    </row>
    <row r="194" spans="1:46" s="78" customFormat="1" ht="19.5" customHeight="1" x14ac:dyDescent="0.25">
      <c r="A194" s="208">
        <f t="shared" si="2"/>
        <v>37.06666666666667</v>
      </c>
      <c r="B194" s="208">
        <f>YEAR(Data_NFI_t[[#This Row],[Distribution Date]])</f>
        <v>2015</v>
      </c>
      <c r="C194" s="744">
        <v>42078</v>
      </c>
      <c r="D194" s="402" t="s">
        <v>473</v>
      </c>
      <c r="E194" s="401" t="s">
        <v>473</v>
      </c>
      <c r="F194" s="402" t="s">
        <v>7</v>
      </c>
      <c r="G194" s="670" t="s">
        <v>17</v>
      </c>
      <c r="H194" s="670" t="s">
        <v>68</v>
      </c>
      <c r="I194" s="670">
        <v>1020</v>
      </c>
      <c r="J194" s="670"/>
      <c r="K194" s="670"/>
      <c r="L194" s="42"/>
      <c r="M194" s="42"/>
      <c r="N194" s="42"/>
      <c r="O194" s="42"/>
      <c r="P194" s="42"/>
      <c r="Q194" s="42"/>
      <c r="R194" s="42"/>
      <c r="S194" s="42"/>
      <c r="T194" s="419"/>
      <c r="U194" s="42"/>
      <c r="V194" s="42"/>
      <c r="W194" s="42"/>
      <c r="X194" s="42"/>
      <c r="Y194" s="42"/>
      <c r="Z194" s="42"/>
      <c r="AA194" s="42"/>
      <c r="AB194" s="42"/>
      <c r="AC194" s="105">
        <f>IF(NFI_Expiration=1,IF($A194&lt;VLOOKUP(I$5,NFI,5,0),1,0)*Data_NFI_t[[#This Row],[Hygiene Kit]],0)</f>
        <v>0</v>
      </c>
      <c r="AD194" s="105">
        <f>IF(NFI_Expiration=1,IF($A194&lt;VLOOKUP(L$5,NFI,5,0),1,0)*Data_NFI_t[[#This Row],[NFI Core Kit]],0)</f>
        <v>0</v>
      </c>
      <c r="AE194" s="86">
        <f>IF(NFI_Expiration=1,IF($A194&lt;VLOOKUP(M$5,NFI,5,0),1,0)*Data_NFI_t[[#This Row],[Sanitary Kit]],0)</f>
        <v>0</v>
      </c>
      <c r="AF194" s="86">
        <f>IF(NFI_Expiration=1,IF($A194&lt;VLOOKUP(N$5,NFI,5,0),1,0)*Data_NFI_t[[#This Row],[Mosquito net]],0)</f>
        <v>0</v>
      </c>
      <c r="AG194" s="86">
        <f>IF(NFI_Expiration=1,IF($A194&lt;VLOOKUP(O$5,NFI,5,0),1,0)*Data_NFI_t[[#This Row],[Tarpaulin]],0)</f>
        <v>0</v>
      </c>
      <c r="AH194" s="86">
        <f>IF(NFI_Expiration=1,IF($A194&lt;VLOOKUP(P$5,NFI,5,0),1,0)*Data_NFI_t[[#This Row],[Blanket]],0)</f>
        <v>0</v>
      </c>
      <c r="AI194" s="86">
        <f>IF(NFI_Expiration=1,IF($A194&lt;VLOOKUP(Q$5,NFI,5,0),1,0)*Data_NFI_t[[#This Row],[Kitchen Set]],0)</f>
        <v>0</v>
      </c>
      <c r="AJ194" s="86">
        <f>IF(NFI_Expiration=1,IF($A194&lt;VLOOKUP(R$5,NFI,5,0),1,0)*Data_NFI_t[[#This Row],[Complementary Kit]],0)</f>
        <v>0</v>
      </c>
      <c r="AK194" s="86">
        <f>IF(NFI_Expiration=1,IF($A194&lt;VLOOKUP(S$5,NFI,5,0),1,0)*Data_NFI_t[[#This Row],[Plastic Bucket]],0)</f>
        <v>0</v>
      </c>
      <c r="AL194" s="86">
        <f>IF(NFI_Expiration=1,IF($A194&lt;VLOOKUP(T$5,NFI,5,0),1,0)*Data_NFI_t[[#This Row],[Jerry Can]],0)</f>
        <v>0</v>
      </c>
      <c r="AM194" s="105">
        <f>IF(NFI_Expiration=1,IF($A194&lt;VLOOKUP(U$5,NFI,5,0),1,0)*Data_NFI_t[[#This Row],[Plastic Mat]],0)*IF(Data_NFI_t[[#This Row],[Distribution Date]]&gt;"01-06-2015",1,2.5)</f>
        <v>0</v>
      </c>
      <c r="AN194" s="734">
        <f>IF(NFI_Expiration=1,IF($A194&lt;VLOOKUP(V$5,NFI,5,0),1,0)*Data_NFI_t[[#This Row],[Adult Clothes]],0)</f>
        <v>0</v>
      </c>
      <c r="AO194" s="105">
        <f>IF(NFI_Expiration=1,IF($A194&lt;VLOOKUP(W$5,NFI,5,0),1,0)*Data_NFI_t[[#This Row],[Children Clothes]],0)</f>
        <v>0</v>
      </c>
      <c r="AP194" s="105">
        <f>IF(NFI_Expiration=1,IF($A194&lt;VLOOKUP(X$5,NFI,5,0),1,0)*Data_NFI_t[[#This Row],[Sewing Kit]],0)</f>
        <v>0</v>
      </c>
      <c r="AQ194" s="734">
        <f>IF(NFI_Expiration=1,IF($A194&lt;VLOOKUP(X$5,NFI,5,0),1,0)*Data_NFI_t[[#This Row],[Solar Lantern]],0)</f>
        <v>0</v>
      </c>
      <c r="AR194" s="105" t="str">
        <f ca="1">IFERROR(OFFSET(Camp_List[P_Code],MATCH(Data_NFI_t[[#This Row],[Camp Name]],Camp_List[Camp Name],0)-1,0,1,1),"")</f>
        <v>MMR012CMP048</v>
      </c>
      <c r="AS194" s="421" t="str">
        <f ca="1">IFERROR(OFFSET(Camp_List[Status],MATCH(Data_NFI_t[[#This Row],[Camp Name]],Camp_List[Camp Name],0)-1,0,1,1),"")</f>
        <v>Open</v>
      </c>
      <c r="AT194" s="105"/>
    </row>
    <row r="195" spans="1:46" s="78" customFormat="1" ht="19.5" customHeight="1" x14ac:dyDescent="0.25">
      <c r="A195" s="208">
        <f t="shared" si="2"/>
        <v>37.4</v>
      </c>
      <c r="B195" s="208">
        <v>2015</v>
      </c>
      <c r="C195" s="744">
        <v>42068</v>
      </c>
      <c r="D195" s="402" t="s">
        <v>270</v>
      </c>
      <c r="E195" s="401" t="s">
        <v>270</v>
      </c>
      <c r="F195" s="402" t="s">
        <v>7</v>
      </c>
      <c r="G195" s="670" t="s">
        <v>18</v>
      </c>
      <c r="H195" s="670" t="s">
        <v>103</v>
      </c>
      <c r="I195" s="670">
        <v>0</v>
      </c>
      <c r="J195" s="670"/>
      <c r="K195" s="670"/>
      <c r="L195" s="42">
        <v>43</v>
      </c>
      <c r="M195" s="42">
        <v>43</v>
      </c>
      <c r="N195" s="42">
        <v>86</v>
      </c>
      <c r="O195" s="42">
        <v>0</v>
      </c>
      <c r="P195" s="42">
        <v>86</v>
      </c>
      <c r="Q195" s="42">
        <v>33</v>
      </c>
      <c r="R195" s="42">
        <v>0</v>
      </c>
      <c r="S195" s="42">
        <v>43</v>
      </c>
      <c r="T195" s="419">
        <v>43</v>
      </c>
      <c r="U195" s="42">
        <v>165</v>
      </c>
      <c r="V195" s="42"/>
      <c r="W195" s="42"/>
      <c r="X195" s="42"/>
      <c r="Y195" s="42"/>
      <c r="Z195" s="42"/>
      <c r="AA195" s="42"/>
      <c r="AB195" s="42"/>
      <c r="AC195" s="105">
        <f>IF(NFI_Expiration=1,IF($A195&lt;VLOOKUP(I$5,NFI,5,0),1,0)*Data_NFI_t[[#This Row],[Hygiene Kit]],0)</f>
        <v>0</v>
      </c>
      <c r="AD195" s="105">
        <f>IF(NFI_Expiration=1,IF($A195&lt;VLOOKUP(L$5,NFI,5,0),1,0)*Data_NFI_t[[#This Row],[NFI Core Kit]],0)</f>
        <v>0</v>
      </c>
      <c r="AE195" s="86">
        <f>IF(NFI_Expiration=1,IF($A195&lt;VLOOKUP(M$5,NFI,5,0),1,0)*Data_NFI_t[[#This Row],[Sanitary Kit]],0)</f>
        <v>0</v>
      </c>
      <c r="AF195" s="86">
        <f>IF(NFI_Expiration=1,IF($A195&lt;VLOOKUP(N$5,NFI,5,0),1,0)*Data_NFI_t[[#This Row],[Mosquito net]],0)</f>
        <v>0</v>
      </c>
      <c r="AG195" s="86">
        <f>IF(NFI_Expiration=1,IF($A195&lt;VLOOKUP(O$5,NFI,5,0),1,0)*Data_NFI_t[[#This Row],[Tarpaulin]],0)</f>
        <v>0</v>
      </c>
      <c r="AH195" s="86">
        <f>IF(NFI_Expiration=1,IF($A195&lt;VLOOKUP(P$5,NFI,5,0),1,0)*Data_NFI_t[[#This Row],[Blanket]],0)</f>
        <v>0</v>
      </c>
      <c r="AI195" s="86">
        <f>IF(NFI_Expiration=1,IF($A195&lt;VLOOKUP(Q$5,NFI,5,0),1,0)*Data_NFI_t[[#This Row],[Kitchen Set]],0)</f>
        <v>0</v>
      </c>
      <c r="AJ195" s="86">
        <f>IF(NFI_Expiration=1,IF($A195&lt;VLOOKUP(R$5,NFI,5,0),1,0)*Data_NFI_t[[#This Row],[Complementary Kit]],0)</f>
        <v>0</v>
      </c>
      <c r="AK195" s="86">
        <f>IF(NFI_Expiration=1,IF($A195&lt;VLOOKUP(S$5,NFI,5,0),1,0)*Data_NFI_t[[#This Row],[Plastic Bucket]],0)</f>
        <v>0</v>
      </c>
      <c r="AL195" s="86">
        <f>IF(NFI_Expiration=1,IF($A195&lt;VLOOKUP(T$5,NFI,5,0),1,0)*Data_NFI_t[[#This Row],[Jerry Can]],0)</f>
        <v>0</v>
      </c>
      <c r="AM195" s="105">
        <f>IF(NFI_Expiration=1,IF($A195&lt;VLOOKUP(U$5,NFI,5,0),1,0)*Data_NFI_t[[#This Row],[Plastic Mat]],0)*IF(Data_NFI_t[[#This Row],[Distribution Date]]&gt;"01-06-2015",1,2.5)</f>
        <v>0</v>
      </c>
      <c r="AN195" s="734">
        <f>IF(NFI_Expiration=1,IF($A195&lt;VLOOKUP(V$5,NFI,5,0),1,0)*Data_NFI_t[[#This Row],[Adult Clothes]],0)</f>
        <v>0</v>
      </c>
      <c r="AO195" s="105">
        <f>IF(NFI_Expiration=1,IF($A195&lt;VLOOKUP(W$5,NFI,5,0),1,0)*Data_NFI_t[[#This Row],[Children Clothes]],0)</f>
        <v>0</v>
      </c>
      <c r="AP195" s="105">
        <f>IF(NFI_Expiration=1,IF($A195&lt;VLOOKUP(X$5,NFI,5,0),1,0)*Data_NFI_t[[#This Row],[Sewing Kit]],0)</f>
        <v>0</v>
      </c>
      <c r="AQ195" s="734">
        <f>IF(NFI_Expiration=1,IF($A195&lt;VLOOKUP(X$5,NFI,5,0),1,0)*Data_NFI_t[[#This Row],[Solar Lantern]],0)</f>
        <v>0</v>
      </c>
      <c r="AR195" s="105" t="str">
        <f ca="1">IFERROR(OFFSET(Camp_List[P_Code],MATCH(Data_NFI_t[[#This Row],[Camp Name]],Camp_List[Camp Name],0)-1,0,1,1),"")</f>
        <v/>
      </c>
      <c r="AS195" s="421" t="str">
        <f ca="1">IFERROR(OFFSET(Camp_List[Status],MATCH(Data_NFI_t[[#This Row],[Camp Name]],Camp_List[Camp Name],0)-1,0,1,1),"")</f>
        <v/>
      </c>
      <c r="AT195" s="105"/>
    </row>
    <row r="196" spans="1:46" s="78" customFormat="1" ht="19.5" customHeight="1" x14ac:dyDescent="0.25">
      <c r="A196" s="208">
        <f t="shared" si="2"/>
        <v>37.533333333333331</v>
      </c>
      <c r="B196" s="208">
        <f>YEAR(Data_NFI_t[[#This Row],[Distribution Date]])</f>
        <v>2015</v>
      </c>
      <c r="C196" s="744">
        <v>42064</v>
      </c>
      <c r="D196" s="402" t="s">
        <v>658</v>
      </c>
      <c r="E196" s="401" t="s">
        <v>658</v>
      </c>
      <c r="F196" s="402" t="s">
        <v>7</v>
      </c>
      <c r="G196" s="670" t="s">
        <v>817</v>
      </c>
      <c r="H196" s="670" t="s">
        <v>35</v>
      </c>
      <c r="I196" s="670">
        <v>42</v>
      </c>
      <c r="J196" s="670"/>
      <c r="K196" s="670"/>
      <c r="L196" s="42"/>
      <c r="M196" s="42"/>
      <c r="N196" s="42"/>
      <c r="O196" s="42"/>
      <c r="P196" s="42"/>
      <c r="Q196" s="42"/>
      <c r="R196" s="42"/>
      <c r="S196" s="42"/>
      <c r="T196" s="419"/>
      <c r="U196" s="42"/>
      <c r="V196" s="42"/>
      <c r="W196" s="42"/>
      <c r="X196" s="42"/>
      <c r="Y196" s="42"/>
      <c r="Z196" s="42"/>
      <c r="AA196" s="42"/>
      <c r="AB196" s="42"/>
      <c r="AC196" s="105">
        <f>IF(NFI_Expiration=1,IF($A196&lt;VLOOKUP(I$5,NFI,5,0),1,0)*Data_NFI_t[[#This Row],[Hygiene Kit]],0)</f>
        <v>0</v>
      </c>
      <c r="AD196" s="105">
        <f>IF(NFI_Expiration=1,IF($A196&lt;VLOOKUP(L$5,NFI,5,0),1,0)*Data_NFI_t[[#This Row],[NFI Core Kit]],0)</f>
        <v>0</v>
      </c>
      <c r="AE196" s="86">
        <f>IF(NFI_Expiration=1,IF($A196&lt;VLOOKUP(M$5,NFI,5,0),1,0)*Data_NFI_t[[#This Row],[Sanitary Kit]],0)</f>
        <v>0</v>
      </c>
      <c r="AF196" s="86">
        <f>IF(NFI_Expiration=1,IF($A196&lt;VLOOKUP(N$5,NFI,5,0),1,0)*Data_NFI_t[[#This Row],[Mosquito net]],0)</f>
        <v>0</v>
      </c>
      <c r="AG196" s="86">
        <f>IF(NFI_Expiration=1,IF($A196&lt;VLOOKUP(O$5,NFI,5,0),1,0)*Data_NFI_t[[#This Row],[Tarpaulin]],0)</f>
        <v>0</v>
      </c>
      <c r="AH196" s="86">
        <f>IF(NFI_Expiration=1,IF($A196&lt;VLOOKUP(P$5,NFI,5,0),1,0)*Data_NFI_t[[#This Row],[Blanket]],0)</f>
        <v>0</v>
      </c>
      <c r="AI196" s="86">
        <f>IF(NFI_Expiration=1,IF($A196&lt;VLOOKUP(Q$5,NFI,5,0),1,0)*Data_NFI_t[[#This Row],[Kitchen Set]],0)</f>
        <v>0</v>
      </c>
      <c r="AJ196" s="86">
        <f>IF(NFI_Expiration=1,IF($A196&lt;VLOOKUP(R$5,NFI,5,0),1,0)*Data_NFI_t[[#This Row],[Complementary Kit]],0)</f>
        <v>0</v>
      </c>
      <c r="AK196" s="86">
        <f>IF(NFI_Expiration=1,IF($A196&lt;VLOOKUP(S$5,NFI,5,0),1,0)*Data_NFI_t[[#This Row],[Plastic Bucket]],0)</f>
        <v>0</v>
      </c>
      <c r="AL196" s="86">
        <f>IF(NFI_Expiration=1,IF($A196&lt;VLOOKUP(T$5,NFI,5,0),1,0)*Data_NFI_t[[#This Row],[Jerry Can]],0)</f>
        <v>0</v>
      </c>
      <c r="AM196" s="105">
        <f>IF(NFI_Expiration=1,IF($A196&lt;VLOOKUP(U$5,NFI,5,0),1,0)*Data_NFI_t[[#This Row],[Plastic Mat]],0)*IF(Data_NFI_t[[#This Row],[Distribution Date]]&gt;"01-06-2015",1,2.5)</f>
        <v>0</v>
      </c>
      <c r="AN196" s="734">
        <f>IF(NFI_Expiration=1,IF($A196&lt;VLOOKUP(V$5,NFI,5,0),1,0)*Data_NFI_t[[#This Row],[Adult Clothes]],0)</f>
        <v>0</v>
      </c>
      <c r="AO196" s="105">
        <f>IF(NFI_Expiration=1,IF($A196&lt;VLOOKUP(W$5,NFI,5,0),1,0)*Data_NFI_t[[#This Row],[Children Clothes]],0)</f>
        <v>0</v>
      </c>
      <c r="AP196" s="105">
        <f>IF(NFI_Expiration=1,IF($A196&lt;VLOOKUP(X$5,NFI,5,0),1,0)*Data_NFI_t[[#This Row],[Sewing Kit]],0)</f>
        <v>0</v>
      </c>
      <c r="AQ196" s="734">
        <f>IF(NFI_Expiration=1,IF($A196&lt;VLOOKUP(X$5,NFI,5,0),1,0)*Data_NFI_t[[#This Row],[Solar Lantern]],0)</f>
        <v>0</v>
      </c>
      <c r="AR196" s="105" t="str">
        <f ca="1">IFERROR(OFFSET(Camp_List[P_Code],MATCH(Data_NFI_t[[#This Row],[Camp Name]],Camp_List[Camp Name],0)-1,0,1,1),"")</f>
        <v>MMR012CMP013</v>
      </c>
      <c r="AS196" s="421" t="str">
        <f ca="1">IFERROR(OFFSET(Camp_List[Status],MATCH(Data_NFI_t[[#This Row],[Camp Name]],Camp_List[Camp Name],0)-1,0,1,1),"")</f>
        <v>Relocated</v>
      </c>
      <c r="AT196" s="105"/>
    </row>
    <row r="197" spans="1:46" s="78" customFormat="1" ht="19.5" customHeight="1" x14ac:dyDescent="0.25">
      <c r="A197" s="208">
        <f t="shared" si="2"/>
        <v>37.533333333333331</v>
      </c>
      <c r="B197" s="208">
        <f>YEAR(Data_NFI_t[[#This Row],[Distribution Date]])</f>
        <v>2015</v>
      </c>
      <c r="C197" s="744">
        <v>42064</v>
      </c>
      <c r="D197" s="402" t="s">
        <v>658</v>
      </c>
      <c r="E197" s="401" t="s">
        <v>658</v>
      </c>
      <c r="F197" s="402" t="s">
        <v>7</v>
      </c>
      <c r="G197" s="670" t="s">
        <v>817</v>
      </c>
      <c r="H197" s="670" t="s">
        <v>36</v>
      </c>
      <c r="I197" s="670">
        <v>682</v>
      </c>
      <c r="J197" s="670"/>
      <c r="K197" s="670"/>
      <c r="L197" s="42"/>
      <c r="M197" s="42"/>
      <c r="N197" s="42"/>
      <c r="O197" s="42"/>
      <c r="P197" s="42"/>
      <c r="Q197" s="42"/>
      <c r="R197" s="42"/>
      <c r="S197" s="42"/>
      <c r="T197" s="419"/>
      <c r="U197" s="42"/>
      <c r="V197" s="42"/>
      <c r="W197" s="42"/>
      <c r="X197" s="42"/>
      <c r="Y197" s="42"/>
      <c r="Z197" s="42"/>
      <c r="AA197" s="42"/>
      <c r="AB197" s="42"/>
      <c r="AC197" s="105">
        <f>IF(NFI_Expiration=1,IF($A197&lt;VLOOKUP(I$5,NFI,5,0),1,0)*Data_NFI_t[[#This Row],[Hygiene Kit]],0)</f>
        <v>0</v>
      </c>
      <c r="AD197" s="105">
        <f>IF(NFI_Expiration=1,IF($A197&lt;VLOOKUP(L$5,NFI,5,0),1,0)*Data_NFI_t[[#This Row],[NFI Core Kit]],0)</f>
        <v>0</v>
      </c>
      <c r="AE197" s="86">
        <f>IF(NFI_Expiration=1,IF($A197&lt;VLOOKUP(M$5,NFI,5,0),1,0)*Data_NFI_t[[#This Row],[Sanitary Kit]],0)</f>
        <v>0</v>
      </c>
      <c r="AF197" s="86">
        <f>IF(NFI_Expiration=1,IF($A197&lt;VLOOKUP(N$5,NFI,5,0),1,0)*Data_NFI_t[[#This Row],[Mosquito net]],0)</f>
        <v>0</v>
      </c>
      <c r="AG197" s="86">
        <f>IF(NFI_Expiration=1,IF($A197&lt;VLOOKUP(O$5,NFI,5,0),1,0)*Data_NFI_t[[#This Row],[Tarpaulin]],0)</f>
        <v>0</v>
      </c>
      <c r="AH197" s="86">
        <f>IF(NFI_Expiration=1,IF($A197&lt;VLOOKUP(P$5,NFI,5,0),1,0)*Data_NFI_t[[#This Row],[Blanket]],0)</f>
        <v>0</v>
      </c>
      <c r="AI197" s="86">
        <f>IF(NFI_Expiration=1,IF($A197&lt;VLOOKUP(Q$5,NFI,5,0),1,0)*Data_NFI_t[[#This Row],[Kitchen Set]],0)</f>
        <v>0</v>
      </c>
      <c r="AJ197" s="86">
        <f>IF(NFI_Expiration=1,IF($A197&lt;VLOOKUP(R$5,NFI,5,0),1,0)*Data_NFI_t[[#This Row],[Complementary Kit]],0)</f>
        <v>0</v>
      </c>
      <c r="AK197" s="86">
        <f>IF(NFI_Expiration=1,IF($A197&lt;VLOOKUP(S$5,NFI,5,0),1,0)*Data_NFI_t[[#This Row],[Plastic Bucket]],0)</f>
        <v>0</v>
      </c>
      <c r="AL197" s="86">
        <f>IF(NFI_Expiration=1,IF($A197&lt;VLOOKUP(T$5,NFI,5,0),1,0)*Data_NFI_t[[#This Row],[Jerry Can]],0)</f>
        <v>0</v>
      </c>
      <c r="AM197" s="105">
        <f>IF(NFI_Expiration=1,IF($A197&lt;VLOOKUP(U$5,NFI,5,0),1,0)*Data_NFI_t[[#This Row],[Plastic Mat]],0)*IF(Data_NFI_t[[#This Row],[Distribution Date]]&gt;"01-06-2015",1,2.5)</f>
        <v>0</v>
      </c>
      <c r="AN197" s="734">
        <f>IF(NFI_Expiration=1,IF($A197&lt;VLOOKUP(V$5,NFI,5,0),1,0)*Data_NFI_t[[#This Row],[Adult Clothes]],0)</f>
        <v>0</v>
      </c>
      <c r="AO197" s="105">
        <f>IF(NFI_Expiration=1,IF($A197&lt;VLOOKUP(W$5,NFI,5,0),1,0)*Data_NFI_t[[#This Row],[Children Clothes]],0)</f>
        <v>0</v>
      </c>
      <c r="AP197" s="105">
        <f>IF(NFI_Expiration=1,IF($A197&lt;VLOOKUP(X$5,NFI,5,0),1,0)*Data_NFI_t[[#This Row],[Sewing Kit]],0)</f>
        <v>0</v>
      </c>
      <c r="AQ197" s="734">
        <f>IF(NFI_Expiration=1,IF($A197&lt;VLOOKUP(X$5,NFI,5,0),1,0)*Data_NFI_t[[#This Row],[Solar Lantern]],0)</f>
        <v>0</v>
      </c>
      <c r="AR197" s="105" t="str">
        <f ca="1">IFERROR(OFFSET(Camp_List[P_Code],MATCH(Data_NFI_t[[#This Row],[Camp Name]],Camp_List[Camp Name],0)-1,0,1,1),"")</f>
        <v>MMR012CMP014</v>
      </c>
      <c r="AS197" s="421" t="str">
        <f ca="1">IFERROR(OFFSET(Camp_List[Status],MATCH(Data_NFI_t[[#This Row],[Camp Name]],Camp_List[Camp Name],0)-1,0,1,1),"")</f>
        <v>Open</v>
      </c>
      <c r="AT197" s="105"/>
    </row>
    <row r="198" spans="1:46" s="78" customFormat="1" ht="19.5" customHeight="1" x14ac:dyDescent="0.25">
      <c r="A198" s="208">
        <f t="shared" ref="A198:A261" si="3">IF(ISBLANK(C198),"",(Report_Date-C198)/30)</f>
        <v>37.833333333333336</v>
      </c>
      <c r="B198" s="208">
        <f>YEAR(Data_NFI_t[[#This Row],[Distribution Date]])</f>
        <v>2015</v>
      </c>
      <c r="C198" s="744">
        <v>42055</v>
      </c>
      <c r="D198" s="402" t="s">
        <v>476</v>
      </c>
      <c r="E198" s="401" t="s">
        <v>476</v>
      </c>
      <c r="F198" s="402" t="s">
        <v>7</v>
      </c>
      <c r="G198" s="670" t="s">
        <v>17</v>
      </c>
      <c r="H198" s="670" t="s">
        <v>590</v>
      </c>
      <c r="I198" s="670">
        <v>249</v>
      </c>
      <c r="J198" s="670"/>
      <c r="K198" s="670"/>
      <c r="L198" s="42"/>
      <c r="M198" s="42"/>
      <c r="N198" s="42"/>
      <c r="O198" s="42"/>
      <c r="P198" s="42"/>
      <c r="Q198" s="42"/>
      <c r="R198" s="42"/>
      <c r="S198" s="42"/>
      <c r="T198" s="419"/>
      <c r="U198" s="42"/>
      <c r="V198" s="42"/>
      <c r="W198" s="42"/>
      <c r="X198" s="42"/>
      <c r="Y198" s="42"/>
      <c r="Z198" s="42"/>
      <c r="AA198" s="42"/>
      <c r="AB198" s="42"/>
      <c r="AC198" s="105">
        <f>IF(NFI_Expiration=1,IF($A198&lt;VLOOKUP(I$5,NFI,5,0),1,0)*Data_NFI_t[[#This Row],[Hygiene Kit]],0)</f>
        <v>0</v>
      </c>
      <c r="AD198" s="105">
        <f>IF(NFI_Expiration=1,IF($A198&lt;VLOOKUP(L$5,NFI,5,0),1,0)*Data_NFI_t[[#This Row],[NFI Core Kit]],0)</f>
        <v>0</v>
      </c>
      <c r="AE198" s="86">
        <f>IF(NFI_Expiration=1,IF($A198&lt;VLOOKUP(M$5,NFI,5,0),1,0)*Data_NFI_t[[#This Row],[Sanitary Kit]],0)</f>
        <v>0</v>
      </c>
      <c r="AF198" s="86">
        <f>IF(NFI_Expiration=1,IF($A198&lt;VLOOKUP(N$5,NFI,5,0),1,0)*Data_NFI_t[[#This Row],[Mosquito net]],0)</f>
        <v>0</v>
      </c>
      <c r="AG198" s="86">
        <f>IF(NFI_Expiration=1,IF($A198&lt;VLOOKUP(O$5,NFI,5,0),1,0)*Data_NFI_t[[#This Row],[Tarpaulin]],0)</f>
        <v>0</v>
      </c>
      <c r="AH198" s="86">
        <f>IF(NFI_Expiration=1,IF($A198&lt;VLOOKUP(P$5,NFI,5,0),1,0)*Data_NFI_t[[#This Row],[Blanket]],0)</f>
        <v>0</v>
      </c>
      <c r="AI198" s="86">
        <f>IF(NFI_Expiration=1,IF($A198&lt;VLOOKUP(Q$5,NFI,5,0),1,0)*Data_NFI_t[[#This Row],[Kitchen Set]],0)</f>
        <v>0</v>
      </c>
      <c r="AJ198" s="86">
        <f>IF(NFI_Expiration=1,IF($A198&lt;VLOOKUP(R$5,NFI,5,0),1,0)*Data_NFI_t[[#This Row],[Complementary Kit]],0)</f>
        <v>0</v>
      </c>
      <c r="AK198" s="86">
        <f>IF(NFI_Expiration=1,IF($A198&lt;VLOOKUP(S$5,NFI,5,0),1,0)*Data_NFI_t[[#This Row],[Plastic Bucket]],0)</f>
        <v>0</v>
      </c>
      <c r="AL198" s="86">
        <f>IF(NFI_Expiration=1,IF($A198&lt;VLOOKUP(T$5,NFI,5,0),1,0)*Data_NFI_t[[#This Row],[Jerry Can]],0)</f>
        <v>0</v>
      </c>
      <c r="AM198" s="105">
        <f>IF(NFI_Expiration=1,IF($A198&lt;VLOOKUP(U$5,NFI,5,0),1,0)*Data_NFI_t[[#This Row],[Plastic Mat]],0)*IF(Data_NFI_t[[#This Row],[Distribution Date]]&gt;"01-06-2015",1,2.5)</f>
        <v>0</v>
      </c>
      <c r="AN198" s="734">
        <f>IF(NFI_Expiration=1,IF($A198&lt;VLOOKUP(V$5,NFI,5,0),1,0)*Data_NFI_t[[#This Row],[Adult Clothes]],0)</f>
        <v>0</v>
      </c>
      <c r="AO198" s="105">
        <f>IF(NFI_Expiration=1,IF($A198&lt;VLOOKUP(W$5,NFI,5,0),1,0)*Data_NFI_t[[#This Row],[Children Clothes]],0)</f>
        <v>0</v>
      </c>
      <c r="AP198" s="105">
        <f>IF(NFI_Expiration=1,IF($A198&lt;VLOOKUP(X$5,NFI,5,0),1,0)*Data_NFI_t[[#This Row],[Sewing Kit]],0)</f>
        <v>0</v>
      </c>
      <c r="AQ198" s="734">
        <f>IF(NFI_Expiration=1,IF($A198&lt;VLOOKUP(X$5,NFI,5,0),1,0)*Data_NFI_t[[#This Row],[Solar Lantern]],0)</f>
        <v>0</v>
      </c>
      <c r="AR198" s="105" t="str">
        <f ca="1">IFERROR(OFFSET(Camp_List[P_Code],MATCH(Data_NFI_t[[#This Row],[Camp Name]],Camp_List[Camp Name],0)-1,0,1,1),"")</f>
        <v>MMR012CMP111</v>
      </c>
      <c r="AS198" s="421" t="str">
        <f ca="1">IFERROR(OFFSET(Camp_List[Status],MATCH(Data_NFI_t[[#This Row],[Camp Name]],Camp_List[Camp Name],0)-1,0,1,1),"")</f>
        <v>Relocated</v>
      </c>
      <c r="AT198" s="105"/>
    </row>
    <row r="199" spans="1:46" s="78" customFormat="1" ht="19.5" customHeight="1" x14ac:dyDescent="0.25">
      <c r="A199" s="208">
        <f t="shared" si="3"/>
        <v>38.466666666666669</v>
      </c>
      <c r="B199" s="208">
        <f>YEAR(Data_NFI_t[[#This Row],[Distribution Date]])</f>
        <v>2015</v>
      </c>
      <c r="C199" s="744">
        <v>42036</v>
      </c>
      <c r="D199" s="402" t="s">
        <v>658</v>
      </c>
      <c r="E199" s="401" t="s">
        <v>658</v>
      </c>
      <c r="F199" s="402" t="s">
        <v>7</v>
      </c>
      <c r="G199" s="670" t="s">
        <v>817</v>
      </c>
      <c r="H199" s="670" t="s">
        <v>35</v>
      </c>
      <c r="I199" s="670">
        <v>42</v>
      </c>
      <c r="J199" s="670"/>
      <c r="K199" s="670"/>
      <c r="L199" s="42"/>
      <c r="M199" s="42"/>
      <c r="N199" s="42"/>
      <c r="O199" s="42"/>
      <c r="P199" s="42"/>
      <c r="Q199" s="42"/>
      <c r="R199" s="42"/>
      <c r="S199" s="42"/>
      <c r="T199" s="419"/>
      <c r="U199" s="42"/>
      <c r="V199" s="42"/>
      <c r="W199" s="42"/>
      <c r="X199" s="42"/>
      <c r="Y199" s="42"/>
      <c r="Z199" s="42"/>
      <c r="AA199" s="42"/>
      <c r="AB199" s="42"/>
      <c r="AC199" s="105">
        <f>IF(NFI_Expiration=1,IF($A199&lt;VLOOKUP(I$5,NFI,5,0),1,0)*Data_NFI_t[[#This Row],[Hygiene Kit]],0)</f>
        <v>0</v>
      </c>
      <c r="AD199" s="105">
        <f>IF(NFI_Expiration=1,IF($A199&lt;VLOOKUP(L$5,NFI,5,0),1,0)*Data_NFI_t[[#This Row],[NFI Core Kit]],0)</f>
        <v>0</v>
      </c>
      <c r="AE199" s="86">
        <f>IF(NFI_Expiration=1,IF($A199&lt;VLOOKUP(M$5,NFI,5,0),1,0)*Data_NFI_t[[#This Row],[Sanitary Kit]],0)</f>
        <v>0</v>
      </c>
      <c r="AF199" s="86">
        <f>IF(NFI_Expiration=1,IF($A199&lt;VLOOKUP(N$5,NFI,5,0),1,0)*Data_NFI_t[[#This Row],[Mosquito net]],0)</f>
        <v>0</v>
      </c>
      <c r="AG199" s="86">
        <f>IF(NFI_Expiration=1,IF($A199&lt;VLOOKUP(O$5,NFI,5,0),1,0)*Data_NFI_t[[#This Row],[Tarpaulin]],0)</f>
        <v>0</v>
      </c>
      <c r="AH199" s="86">
        <f>IF(NFI_Expiration=1,IF($A199&lt;VLOOKUP(P$5,NFI,5,0),1,0)*Data_NFI_t[[#This Row],[Blanket]],0)</f>
        <v>0</v>
      </c>
      <c r="AI199" s="86">
        <f>IF(NFI_Expiration=1,IF($A199&lt;VLOOKUP(Q$5,NFI,5,0),1,0)*Data_NFI_t[[#This Row],[Kitchen Set]],0)</f>
        <v>0</v>
      </c>
      <c r="AJ199" s="86">
        <f>IF(NFI_Expiration=1,IF($A199&lt;VLOOKUP(R$5,NFI,5,0),1,0)*Data_NFI_t[[#This Row],[Complementary Kit]],0)</f>
        <v>0</v>
      </c>
      <c r="AK199" s="86">
        <f>IF(NFI_Expiration=1,IF($A199&lt;VLOOKUP(S$5,NFI,5,0),1,0)*Data_NFI_t[[#This Row],[Plastic Bucket]],0)</f>
        <v>0</v>
      </c>
      <c r="AL199" s="86">
        <f>IF(NFI_Expiration=1,IF($A199&lt;VLOOKUP(T$5,NFI,5,0),1,0)*Data_NFI_t[[#This Row],[Jerry Can]],0)</f>
        <v>0</v>
      </c>
      <c r="AM199" s="105">
        <f>IF(NFI_Expiration=1,IF($A199&lt;VLOOKUP(U$5,NFI,5,0),1,0)*Data_NFI_t[[#This Row],[Plastic Mat]],0)*IF(Data_NFI_t[[#This Row],[Distribution Date]]&gt;"01-06-2015",1,2.5)</f>
        <v>0</v>
      </c>
      <c r="AN199" s="734">
        <f>IF(NFI_Expiration=1,IF($A199&lt;VLOOKUP(V$5,NFI,5,0),1,0)*Data_NFI_t[[#This Row],[Adult Clothes]],0)</f>
        <v>0</v>
      </c>
      <c r="AO199" s="105">
        <f>IF(NFI_Expiration=1,IF($A199&lt;VLOOKUP(W$5,NFI,5,0),1,0)*Data_NFI_t[[#This Row],[Children Clothes]],0)</f>
        <v>0</v>
      </c>
      <c r="AP199" s="105">
        <f>IF(NFI_Expiration=1,IF($A199&lt;VLOOKUP(X$5,NFI,5,0),1,0)*Data_NFI_t[[#This Row],[Sewing Kit]],0)</f>
        <v>0</v>
      </c>
      <c r="AQ199" s="734">
        <f>IF(NFI_Expiration=1,IF($A199&lt;VLOOKUP(X$5,NFI,5,0),1,0)*Data_NFI_t[[#This Row],[Solar Lantern]],0)</f>
        <v>0</v>
      </c>
      <c r="AR199" s="105" t="str">
        <f ca="1">IFERROR(OFFSET(Camp_List[P_Code],MATCH(Data_NFI_t[[#This Row],[Camp Name]],Camp_List[Camp Name],0)-1,0,1,1),"")</f>
        <v>MMR012CMP013</v>
      </c>
      <c r="AS199" s="421" t="str">
        <f ca="1">IFERROR(OFFSET(Camp_List[Status],MATCH(Data_NFI_t[[#This Row],[Camp Name]],Camp_List[Camp Name],0)-1,0,1,1),"")</f>
        <v>Relocated</v>
      </c>
      <c r="AT199" s="105"/>
    </row>
    <row r="200" spans="1:46" s="78" customFormat="1" ht="19.5" customHeight="1" x14ac:dyDescent="0.25">
      <c r="A200" s="208">
        <f t="shared" si="3"/>
        <v>38.466666666666669</v>
      </c>
      <c r="B200" s="208">
        <f>YEAR(Data_NFI_t[[#This Row],[Distribution Date]])</f>
        <v>2015</v>
      </c>
      <c r="C200" s="744">
        <v>42036</v>
      </c>
      <c r="D200" s="402" t="s">
        <v>658</v>
      </c>
      <c r="E200" s="401" t="s">
        <v>658</v>
      </c>
      <c r="F200" s="402" t="s">
        <v>7</v>
      </c>
      <c r="G200" s="670" t="s">
        <v>817</v>
      </c>
      <c r="H200" s="670" t="s">
        <v>36</v>
      </c>
      <c r="I200" s="670">
        <v>682</v>
      </c>
      <c r="J200" s="670"/>
      <c r="K200" s="670"/>
      <c r="L200" s="42"/>
      <c r="M200" s="42"/>
      <c r="N200" s="42"/>
      <c r="O200" s="42"/>
      <c r="P200" s="42"/>
      <c r="Q200" s="42"/>
      <c r="R200" s="42"/>
      <c r="S200" s="42"/>
      <c r="T200" s="419"/>
      <c r="U200" s="42"/>
      <c r="V200" s="42"/>
      <c r="W200" s="42"/>
      <c r="X200" s="42"/>
      <c r="Y200" s="42"/>
      <c r="Z200" s="42"/>
      <c r="AA200" s="42"/>
      <c r="AB200" s="42"/>
      <c r="AC200" s="105">
        <f>IF(NFI_Expiration=1,IF($A200&lt;VLOOKUP(I$5,NFI,5,0),1,0)*Data_NFI_t[[#This Row],[Hygiene Kit]],0)</f>
        <v>0</v>
      </c>
      <c r="AD200" s="105">
        <f>IF(NFI_Expiration=1,IF($A200&lt;VLOOKUP(L$5,NFI,5,0),1,0)*Data_NFI_t[[#This Row],[NFI Core Kit]],0)</f>
        <v>0</v>
      </c>
      <c r="AE200" s="86">
        <f>IF(NFI_Expiration=1,IF($A200&lt;VLOOKUP(M$5,NFI,5,0),1,0)*Data_NFI_t[[#This Row],[Sanitary Kit]],0)</f>
        <v>0</v>
      </c>
      <c r="AF200" s="86">
        <f>IF(NFI_Expiration=1,IF($A200&lt;VLOOKUP(N$5,NFI,5,0),1,0)*Data_NFI_t[[#This Row],[Mosquito net]],0)</f>
        <v>0</v>
      </c>
      <c r="AG200" s="86">
        <f>IF(NFI_Expiration=1,IF($A200&lt;VLOOKUP(O$5,NFI,5,0),1,0)*Data_NFI_t[[#This Row],[Tarpaulin]],0)</f>
        <v>0</v>
      </c>
      <c r="AH200" s="86">
        <f>IF(NFI_Expiration=1,IF($A200&lt;VLOOKUP(P$5,NFI,5,0),1,0)*Data_NFI_t[[#This Row],[Blanket]],0)</f>
        <v>0</v>
      </c>
      <c r="AI200" s="86">
        <f>IF(NFI_Expiration=1,IF($A200&lt;VLOOKUP(Q$5,NFI,5,0),1,0)*Data_NFI_t[[#This Row],[Kitchen Set]],0)</f>
        <v>0</v>
      </c>
      <c r="AJ200" s="86">
        <f>IF(NFI_Expiration=1,IF($A200&lt;VLOOKUP(R$5,NFI,5,0),1,0)*Data_NFI_t[[#This Row],[Complementary Kit]],0)</f>
        <v>0</v>
      </c>
      <c r="AK200" s="86">
        <f>IF(NFI_Expiration=1,IF($A200&lt;VLOOKUP(S$5,NFI,5,0),1,0)*Data_NFI_t[[#This Row],[Plastic Bucket]],0)</f>
        <v>0</v>
      </c>
      <c r="AL200" s="86">
        <f>IF(NFI_Expiration=1,IF($A200&lt;VLOOKUP(T$5,NFI,5,0),1,0)*Data_NFI_t[[#This Row],[Jerry Can]],0)</f>
        <v>0</v>
      </c>
      <c r="AM200" s="105">
        <f>IF(NFI_Expiration=1,IF($A200&lt;VLOOKUP(U$5,NFI,5,0),1,0)*Data_NFI_t[[#This Row],[Plastic Mat]],0)*IF(Data_NFI_t[[#This Row],[Distribution Date]]&gt;"01-06-2015",1,2.5)</f>
        <v>0</v>
      </c>
      <c r="AN200" s="734">
        <f>IF(NFI_Expiration=1,IF($A200&lt;VLOOKUP(V$5,NFI,5,0),1,0)*Data_NFI_t[[#This Row],[Adult Clothes]],0)</f>
        <v>0</v>
      </c>
      <c r="AO200" s="105">
        <f>IF(NFI_Expiration=1,IF($A200&lt;VLOOKUP(W$5,NFI,5,0),1,0)*Data_NFI_t[[#This Row],[Children Clothes]],0)</f>
        <v>0</v>
      </c>
      <c r="AP200" s="105">
        <f>IF(NFI_Expiration=1,IF($A200&lt;VLOOKUP(X$5,NFI,5,0),1,0)*Data_NFI_t[[#This Row],[Sewing Kit]],0)</f>
        <v>0</v>
      </c>
      <c r="AQ200" s="734">
        <f>IF(NFI_Expiration=1,IF($A200&lt;VLOOKUP(X$5,NFI,5,0),1,0)*Data_NFI_t[[#This Row],[Solar Lantern]],0)</f>
        <v>0</v>
      </c>
      <c r="AR200" s="105" t="str">
        <f ca="1">IFERROR(OFFSET(Camp_List[P_Code],MATCH(Data_NFI_t[[#This Row],[Camp Name]],Camp_List[Camp Name],0)-1,0,1,1),"")</f>
        <v>MMR012CMP014</v>
      </c>
      <c r="AS200" s="421" t="str">
        <f ca="1">IFERROR(OFFSET(Camp_List[Status],MATCH(Data_NFI_t[[#This Row],[Camp Name]],Camp_List[Camp Name],0)-1,0,1,1),"")</f>
        <v>Open</v>
      </c>
      <c r="AT200" s="105"/>
    </row>
    <row r="201" spans="1:46" s="78" customFormat="1" ht="19.5" customHeight="1" x14ac:dyDescent="0.25">
      <c r="A201" s="208">
        <f t="shared" si="3"/>
        <v>38.56666666666667</v>
      </c>
      <c r="B201" s="208">
        <f>YEAR(Data_NFI_t[[#This Row],[Distribution Date]])</f>
        <v>2015</v>
      </c>
      <c r="C201" s="744">
        <v>42033</v>
      </c>
      <c r="D201" s="402" t="s">
        <v>270</v>
      </c>
      <c r="E201" s="401" t="s">
        <v>270</v>
      </c>
      <c r="F201" s="402" t="s">
        <v>7</v>
      </c>
      <c r="G201" s="670" t="s">
        <v>13</v>
      </c>
      <c r="H201" s="670" t="s">
        <v>40</v>
      </c>
      <c r="I201" s="670"/>
      <c r="J201" s="670"/>
      <c r="K201" s="670"/>
      <c r="L201" s="42">
        <v>101</v>
      </c>
      <c r="M201" s="42"/>
      <c r="N201" s="42">
        <v>1888</v>
      </c>
      <c r="O201" s="42">
        <v>944</v>
      </c>
      <c r="P201" s="42">
        <v>1888</v>
      </c>
      <c r="Q201" s="42">
        <v>944</v>
      </c>
      <c r="R201" s="42"/>
      <c r="S201" s="42">
        <v>944</v>
      </c>
      <c r="T201" s="419">
        <v>944</v>
      </c>
      <c r="U201" s="42">
        <v>4720</v>
      </c>
      <c r="V201" s="42"/>
      <c r="W201" s="42"/>
      <c r="X201" s="42"/>
      <c r="Y201" s="42"/>
      <c r="Z201" s="42"/>
      <c r="AA201" s="42"/>
      <c r="AB201" s="42"/>
      <c r="AC201" s="105">
        <f>IF(NFI_Expiration=1,IF($A201&lt;VLOOKUP(I$5,NFI,5,0),1,0)*Data_NFI_t[[#This Row],[Hygiene Kit]],0)</f>
        <v>0</v>
      </c>
      <c r="AD201" s="105">
        <f>IF(NFI_Expiration=1,IF($A201&lt;VLOOKUP(L$5,NFI,5,0),1,0)*Data_NFI_t[[#This Row],[NFI Core Kit]],0)</f>
        <v>0</v>
      </c>
      <c r="AE201" s="86">
        <f>IF(NFI_Expiration=1,IF($A201&lt;VLOOKUP(M$5,NFI,5,0),1,0)*Data_NFI_t[[#This Row],[Sanitary Kit]],0)</f>
        <v>0</v>
      </c>
      <c r="AF201" s="86">
        <f>IF(NFI_Expiration=1,IF($A201&lt;VLOOKUP(N$5,NFI,5,0),1,0)*Data_NFI_t[[#This Row],[Mosquito net]],0)</f>
        <v>0</v>
      </c>
      <c r="AG201" s="86">
        <f>IF(NFI_Expiration=1,IF($A201&lt;VLOOKUP(O$5,NFI,5,0),1,0)*Data_NFI_t[[#This Row],[Tarpaulin]],0)</f>
        <v>0</v>
      </c>
      <c r="AH201" s="86">
        <f>IF(NFI_Expiration=1,IF($A201&lt;VLOOKUP(P$5,NFI,5,0),1,0)*Data_NFI_t[[#This Row],[Blanket]],0)</f>
        <v>0</v>
      </c>
      <c r="AI201" s="86">
        <f>IF(NFI_Expiration=1,IF($A201&lt;VLOOKUP(Q$5,NFI,5,0),1,0)*Data_NFI_t[[#This Row],[Kitchen Set]],0)</f>
        <v>0</v>
      </c>
      <c r="AJ201" s="86">
        <f>IF(NFI_Expiration=1,IF($A201&lt;VLOOKUP(R$5,NFI,5,0),1,0)*Data_NFI_t[[#This Row],[Complementary Kit]],0)</f>
        <v>0</v>
      </c>
      <c r="AK201" s="86">
        <f>IF(NFI_Expiration=1,IF($A201&lt;VLOOKUP(S$5,NFI,5,0),1,0)*Data_NFI_t[[#This Row],[Plastic Bucket]],0)</f>
        <v>0</v>
      </c>
      <c r="AL201" s="86">
        <f>IF(NFI_Expiration=1,IF($A201&lt;VLOOKUP(T$5,NFI,5,0),1,0)*Data_NFI_t[[#This Row],[Jerry Can]],0)</f>
        <v>0</v>
      </c>
      <c r="AM201" s="105">
        <f>IF(NFI_Expiration=1,IF($A201&lt;VLOOKUP(U$5,NFI,5,0),1,0)*Data_NFI_t[[#This Row],[Plastic Mat]],0)*IF(Data_NFI_t[[#This Row],[Distribution Date]]&gt;"01-06-2015",1,2.5)</f>
        <v>0</v>
      </c>
      <c r="AN201" s="734">
        <f>IF(NFI_Expiration=1,IF($A201&lt;VLOOKUP(V$5,NFI,5,0),1,0)*Data_NFI_t[[#This Row],[Adult Clothes]],0)</f>
        <v>0</v>
      </c>
      <c r="AO201" s="105">
        <f>IF(NFI_Expiration=1,IF($A201&lt;VLOOKUP(W$5,NFI,5,0),1,0)*Data_NFI_t[[#This Row],[Children Clothes]],0)</f>
        <v>0</v>
      </c>
      <c r="AP201" s="105">
        <f>IF(NFI_Expiration=1,IF($A201&lt;VLOOKUP(X$5,NFI,5,0),1,0)*Data_NFI_t[[#This Row],[Sewing Kit]],0)</f>
        <v>0</v>
      </c>
      <c r="AQ201" s="734">
        <f>IF(NFI_Expiration=1,IF($A201&lt;VLOOKUP(X$5,NFI,5,0),1,0)*Data_NFI_t[[#This Row],[Solar Lantern]],0)</f>
        <v>0</v>
      </c>
      <c r="AR201" s="105" t="str">
        <f ca="1">IFERROR(OFFSET(Camp_List[P_Code],MATCH(Data_NFI_t[[#This Row],[Camp Name]],Camp_List[Camp Name],0)-1,0,1,1),"")</f>
        <v>MMR012CMP018</v>
      </c>
      <c r="AS201" s="421" t="str">
        <f ca="1">IFERROR(OFFSET(Camp_List[Status],MATCH(Data_NFI_t[[#This Row],[Camp Name]],Camp_List[Camp Name],0)-1,0,1,1),"")</f>
        <v>Open</v>
      </c>
      <c r="AT201" s="105"/>
    </row>
    <row r="202" spans="1:46" s="78" customFormat="1" ht="19.5" customHeight="1" x14ac:dyDescent="0.25">
      <c r="A202" s="208">
        <f t="shared" si="3"/>
        <v>38.833333333333336</v>
      </c>
      <c r="B202" s="208">
        <v>2015</v>
      </c>
      <c r="C202" s="744">
        <v>42025</v>
      </c>
      <c r="D202" s="402" t="s">
        <v>270</v>
      </c>
      <c r="E202" s="401" t="s">
        <v>270</v>
      </c>
      <c r="F202" s="402" t="s">
        <v>7</v>
      </c>
      <c r="G202" s="670" t="s">
        <v>15</v>
      </c>
      <c r="H202" s="670" t="s">
        <v>560</v>
      </c>
      <c r="I202" s="670">
        <v>0</v>
      </c>
      <c r="J202" s="670"/>
      <c r="K202" s="670"/>
      <c r="L202" s="42">
        <v>0</v>
      </c>
      <c r="M202" s="42">
        <v>0</v>
      </c>
      <c r="N202" s="42">
        <v>0</v>
      </c>
      <c r="O202" s="42">
        <v>0</v>
      </c>
      <c r="P202" s="42">
        <v>700</v>
      </c>
      <c r="Q202" s="42">
        <v>0</v>
      </c>
      <c r="R202" s="42">
        <v>0</v>
      </c>
      <c r="S202" s="42">
        <v>350</v>
      </c>
      <c r="T202" s="419">
        <v>0</v>
      </c>
      <c r="U202" s="42">
        <v>1120</v>
      </c>
      <c r="V202" s="42"/>
      <c r="W202" s="42"/>
      <c r="X202" s="42"/>
      <c r="Y202" s="42"/>
      <c r="Z202" s="42"/>
      <c r="AA202" s="42"/>
      <c r="AB202" s="42"/>
      <c r="AC202" s="105">
        <f>IF(NFI_Expiration=1,IF($A202&lt;VLOOKUP(I$5,NFI,5,0),1,0)*Data_NFI_t[[#This Row],[Hygiene Kit]],0)</f>
        <v>0</v>
      </c>
      <c r="AD202" s="105">
        <f>IF(NFI_Expiration=1,IF($A202&lt;VLOOKUP(L$5,NFI,5,0),1,0)*Data_NFI_t[[#This Row],[NFI Core Kit]],0)</f>
        <v>0</v>
      </c>
      <c r="AE202" s="86">
        <f>IF(NFI_Expiration=1,IF($A202&lt;VLOOKUP(M$5,NFI,5,0),1,0)*Data_NFI_t[[#This Row],[Sanitary Kit]],0)</f>
        <v>0</v>
      </c>
      <c r="AF202" s="86">
        <f>IF(NFI_Expiration=1,IF($A202&lt;VLOOKUP(N$5,NFI,5,0),1,0)*Data_NFI_t[[#This Row],[Mosquito net]],0)</f>
        <v>0</v>
      </c>
      <c r="AG202" s="86">
        <f>IF(NFI_Expiration=1,IF($A202&lt;VLOOKUP(O$5,NFI,5,0),1,0)*Data_NFI_t[[#This Row],[Tarpaulin]],0)</f>
        <v>0</v>
      </c>
      <c r="AH202" s="86">
        <f>IF(NFI_Expiration=1,IF($A202&lt;VLOOKUP(P$5,NFI,5,0),1,0)*Data_NFI_t[[#This Row],[Blanket]],0)</f>
        <v>0</v>
      </c>
      <c r="AI202" s="86">
        <f>IF(NFI_Expiration=1,IF($A202&lt;VLOOKUP(Q$5,NFI,5,0),1,0)*Data_NFI_t[[#This Row],[Kitchen Set]],0)</f>
        <v>0</v>
      </c>
      <c r="AJ202" s="86">
        <f>IF(NFI_Expiration=1,IF($A202&lt;VLOOKUP(R$5,NFI,5,0),1,0)*Data_NFI_t[[#This Row],[Complementary Kit]],0)</f>
        <v>0</v>
      </c>
      <c r="AK202" s="86">
        <f>IF(NFI_Expiration=1,IF($A202&lt;VLOOKUP(S$5,NFI,5,0),1,0)*Data_NFI_t[[#This Row],[Plastic Bucket]],0)</f>
        <v>0</v>
      </c>
      <c r="AL202" s="86">
        <f>IF(NFI_Expiration=1,IF($A202&lt;VLOOKUP(T$5,NFI,5,0),1,0)*Data_NFI_t[[#This Row],[Jerry Can]],0)</f>
        <v>0</v>
      </c>
      <c r="AM202" s="105">
        <f>IF(NFI_Expiration=1,IF($A202&lt;VLOOKUP(U$5,NFI,5,0),1,0)*Data_NFI_t[[#This Row],[Plastic Mat]],0)*IF(Data_NFI_t[[#This Row],[Distribution Date]]&gt;"01-06-2015",1,2.5)</f>
        <v>0</v>
      </c>
      <c r="AN202" s="734">
        <f>IF(NFI_Expiration=1,IF($A202&lt;VLOOKUP(V$5,NFI,5,0),1,0)*Data_NFI_t[[#This Row],[Adult Clothes]],0)</f>
        <v>0</v>
      </c>
      <c r="AO202" s="105">
        <f>IF(NFI_Expiration=1,IF($A202&lt;VLOOKUP(W$5,NFI,5,0),1,0)*Data_NFI_t[[#This Row],[Children Clothes]],0)</f>
        <v>0</v>
      </c>
      <c r="AP202" s="105">
        <f>IF(NFI_Expiration=1,IF($A202&lt;VLOOKUP(X$5,NFI,5,0),1,0)*Data_NFI_t[[#This Row],[Sewing Kit]],0)</f>
        <v>0</v>
      </c>
      <c r="AQ202" s="734">
        <f>IF(NFI_Expiration=1,IF($A202&lt;VLOOKUP(X$5,NFI,5,0),1,0)*Data_NFI_t[[#This Row],[Solar Lantern]],0)</f>
        <v>0</v>
      </c>
      <c r="AR202" s="105" t="str">
        <f ca="1">IFERROR(OFFSET(Camp_List[P_Code],MATCH(Data_NFI_t[[#This Row],[Camp Name]],Camp_List[Camp Name],0)-1,0,1,1),"")</f>
        <v/>
      </c>
      <c r="AS202" s="421" t="str">
        <f ca="1">IFERROR(OFFSET(Camp_List[Status],MATCH(Data_NFI_t[[#This Row],[Camp Name]],Camp_List[Camp Name],0)-1,0,1,1),"")</f>
        <v/>
      </c>
      <c r="AT202" s="105"/>
    </row>
    <row r="203" spans="1:46" s="78" customFormat="1" ht="19.5" customHeight="1" x14ac:dyDescent="0.25">
      <c r="A203" s="208">
        <f t="shared" si="3"/>
        <v>38.833333333333336</v>
      </c>
      <c r="B203" s="208">
        <v>2015</v>
      </c>
      <c r="C203" s="744">
        <v>42025</v>
      </c>
      <c r="D203" s="402" t="s">
        <v>270</v>
      </c>
      <c r="E203" s="401" t="s">
        <v>270</v>
      </c>
      <c r="F203" s="402" t="s">
        <v>7</v>
      </c>
      <c r="G203" s="670" t="s">
        <v>15</v>
      </c>
      <c r="H203" s="670" t="s">
        <v>382</v>
      </c>
      <c r="I203" s="670">
        <v>0</v>
      </c>
      <c r="J203" s="670"/>
      <c r="K203" s="670"/>
      <c r="L203" s="42">
        <v>0</v>
      </c>
      <c r="M203" s="42">
        <v>0</v>
      </c>
      <c r="N203" s="42">
        <v>0</v>
      </c>
      <c r="O203" s="42">
        <v>0</v>
      </c>
      <c r="P203" s="42">
        <v>534</v>
      </c>
      <c r="Q203" s="42">
        <v>0</v>
      </c>
      <c r="R203" s="42">
        <v>0</v>
      </c>
      <c r="S203" s="42">
        <v>267</v>
      </c>
      <c r="T203" s="419"/>
      <c r="U203" s="42">
        <v>1010</v>
      </c>
      <c r="V203" s="42"/>
      <c r="W203" s="42"/>
      <c r="X203" s="42"/>
      <c r="Y203" s="42"/>
      <c r="Z203" s="42"/>
      <c r="AA203" s="42"/>
      <c r="AB203" s="42"/>
      <c r="AC203" s="105">
        <f>IF(NFI_Expiration=1,IF($A203&lt;VLOOKUP(I$5,NFI,5,0),1,0)*Data_NFI_t[[#This Row],[Hygiene Kit]],0)</f>
        <v>0</v>
      </c>
      <c r="AD203" s="105">
        <f>IF(NFI_Expiration=1,IF($A203&lt;VLOOKUP(L$5,NFI,5,0),1,0)*Data_NFI_t[[#This Row],[NFI Core Kit]],0)</f>
        <v>0</v>
      </c>
      <c r="AE203" s="86">
        <f>IF(NFI_Expiration=1,IF($A203&lt;VLOOKUP(M$5,NFI,5,0),1,0)*Data_NFI_t[[#This Row],[Sanitary Kit]],0)</f>
        <v>0</v>
      </c>
      <c r="AF203" s="86">
        <f>IF(NFI_Expiration=1,IF($A203&lt;VLOOKUP(N$5,NFI,5,0),1,0)*Data_NFI_t[[#This Row],[Mosquito net]],0)</f>
        <v>0</v>
      </c>
      <c r="AG203" s="86">
        <f>IF(NFI_Expiration=1,IF($A203&lt;VLOOKUP(O$5,NFI,5,0),1,0)*Data_NFI_t[[#This Row],[Tarpaulin]],0)</f>
        <v>0</v>
      </c>
      <c r="AH203" s="86">
        <f>IF(NFI_Expiration=1,IF($A203&lt;VLOOKUP(P$5,NFI,5,0),1,0)*Data_NFI_t[[#This Row],[Blanket]],0)</f>
        <v>0</v>
      </c>
      <c r="AI203" s="86">
        <f>IF(NFI_Expiration=1,IF($A203&lt;VLOOKUP(Q$5,NFI,5,0),1,0)*Data_NFI_t[[#This Row],[Kitchen Set]],0)</f>
        <v>0</v>
      </c>
      <c r="AJ203" s="86">
        <f>IF(NFI_Expiration=1,IF($A203&lt;VLOOKUP(R$5,NFI,5,0),1,0)*Data_NFI_t[[#This Row],[Complementary Kit]],0)</f>
        <v>0</v>
      </c>
      <c r="AK203" s="86">
        <f>IF(NFI_Expiration=1,IF($A203&lt;VLOOKUP(S$5,NFI,5,0),1,0)*Data_NFI_t[[#This Row],[Plastic Bucket]],0)</f>
        <v>0</v>
      </c>
      <c r="AL203" s="86">
        <f>IF(NFI_Expiration=1,IF($A203&lt;VLOOKUP(T$5,NFI,5,0),1,0)*Data_NFI_t[[#This Row],[Jerry Can]],0)</f>
        <v>0</v>
      </c>
      <c r="AM203" s="105">
        <f>IF(NFI_Expiration=1,IF($A203&lt;VLOOKUP(U$5,NFI,5,0),1,0)*Data_NFI_t[[#This Row],[Plastic Mat]],0)*IF(Data_NFI_t[[#This Row],[Distribution Date]]&gt;"01-06-2015",1,2.5)</f>
        <v>0</v>
      </c>
      <c r="AN203" s="734">
        <f>IF(NFI_Expiration=1,IF($A203&lt;VLOOKUP(V$5,NFI,5,0),1,0)*Data_NFI_t[[#This Row],[Adult Clothes]],0)</f>
        <v>0</v>
      </c>
      <c r="AO203" s="105">
        <f>IF(NFI_Expiration=1,IF($A203&lt;VLOOKUP(W$5,NFI,5,0),1,0)*Data_NFI_t[[#This Row],[Children Clothes]],0)</f>
        <v>0</v>
      </c>
      <c r="AP203" s="105">
        <f>IF(NFI_Expiration=1,IF($A203&lt;VLOOKUP(X$5,NFI,5,0),1,0)*Data_NFI_t[[#This Row],[Sewing Kit]],0)</f>
        <v>0</v>
      </c>
      <c r="AQ203" s="734">
        <f>IF(NFI_Expiration=1,IF($A203&lt;VLOOKUP(X$5,NFI,5,0),1,0)*Data_NFI_t[[#This Row],[Solar Lantern]],0)</f>
        <v>0</v>
      </c>
      <c r="AR203" s="105" t="str">
        <f ca="1">IFERROR(OFFSET(Camp_List[P_Code],MATCH(Data_NFI_t[[#This Row],[Camp Name]],Camp_List[Camp Name],0)-1,0,1,1),"")</f>
        <v/>
      </c>
      <c r="AS203" s="421" t="str">
        <f ca="1">IFERROR(OFFSET(Camp_List[Status],MATCH(Data_NFI_t[[#This Row],[Camp Name]],Camp_List[Camp Name],0)-1,0,1,1),"")</f>
        <v/>
      </c>
      <c r="AT203" s="105"/>
    </row>
    <row r="204" spans="1:46" s="78" customFormat="1" ht="19.5" customHeight="1" x14ac:dyDescent="0.25">
      <c r="A204" s="208">
        <f t="shared" si="3"/>
        <v>39.333333333333336</v>
      </c>
      <c r="B204" s="208">
        <v>2015</v>
      </c>
      <c r="C204" s="744">
        <v>42010</v>
      </c>
      <c r="D204" s="402" t="s">
        <v>270</v>
      </c>
      <c r="E204" s="401" t="s">
        <v>270</v>
      </c>
      <c r="F204" s="402" t="s">
        <v>7</v>
      </c>
      <c r="G204" s="670" t="s">
        <v>18</v>
      </c>
      <c r="H204" s="670" t="s">
        <v>823</v>
      </c>
      <c r="I204" s="670">
        <v>16</v>
      </c>
      <c r="J204" s="670"/>
      <c r="K204" s="670"/>
      <c r="L204" s="42">
        <v>16</v>
      </c>
      <c r="M204" s="42">
        <v>16</v>
      </c>
      <c r="N204" s="42">
        <v>32</v>
      </c>
      <c r="O204" s="42">
        <v>0</v>
      </c>
      <c r="P204" s="42">
        <v>32</v>
      </c>
      <c r="Q204" s="42">
        <v>8</v>
      </c>
      <c r="R204" s="42">
        <v>0</v>
      </c>
      <c r="S204" s="42">
        <v>16</v>
      </c>
      <c r="T204" s="419">
        <v>16</v>
      </c>
      <c r="U204" s="42">
        <v>40</v>
      </c>
      <c r="V204" s="42"/>
      <c r="W204" s="42"/>
      <c r="X204" s="42"/>
      <c r="Y204" s="42"/>
      <c r="Z204" s="42"/>
      <c r="AA204" s="42"/>
      <c r="AB204" s="42"/>
      <c r="AC204" s="105">
        <f>IF(NFI_Expiration=1,IF($A204&lt;VLOOKUP(I$5,NFI,5,0),1,0)*Data_NFI_t[[#This Row],[Hygiene Kit]],0)</f>
        <v>0</v>
      </c>
      <c r="AD204" s="105">
        <f>IF(NFI_Expiration=1,IF($A204&lt;VLOOKUP(L$5,NFI,5,0),1,0)*Data_NFI_t[[#This Row],[NFI Core Kit]],0)</f>
        <v>0</v>
      </c>
      <c r="AE204" s="86">
        <f>IF(NFI_Expiration=1,IF($A204&lt;VLOOKUP(M$5,NFI,5,0),1,0)*Data_NFI_t[[#This Row],[Sanitary Kit]],0)</f>
        <v>0</v>
      </c>
      <c r="AF204" s="86">
        <f>IF(NFI_Expiration=1,IF($A204&lt;VLOOKUP(N$5,NFI,5,0),1,0)*Data_NFI_t[[#This Row],[Mosquito net]],0)</f>
        <v>0</v>
      </c>
      <c r="AG204" s="86">
        <f>IF(NFI_Expiration=1,IF($A204&lt;VLOOKUP(O$5,NFI,5,0),1,0)*Data_NFI_t[[#This Row],[Tarpaulin]],0)</f>
        <v>0</v>
      </c>
      <c r="AH204" s="86">
        <f>IF(NFI_Expiration=1,IF($A204&lt;VLOOKUP(P$5,NFI,5,0),1,0)*Data_NFI_t[[#This Row],[Blanket]],0)</f>
        <v>0</v>
      </c>
      <c r="AI204" s="86">
        <f>IF(NFI_Expiration=1,IF($A204&lt;VLOOKUP(Q$5,NFI,5,0),1,0)*Data_NFI_t[[#This Row],[Kitchen Set]],0)</f>
        <v>0</v>
      </c>
      <c r="AJ204" s="86">
        <f>IF(NFI_Expiration=1,IF($A204&lt;VLOOKUP(R$5,NFI,5,0),1,0)*Data_NFI_t[[#This Row],[Complementary Kit]],0)</f>
        <v>0</v>
      </c>
      <c r="AK204" s="86">
        <f>IF(NFI_Expiration=1,IF($A204&lt;VLOOKUP(S$5,NFI,5,0),1,0)*Data_NFI_t[[#This Row],[Plastic Bucket]],0)</f>
        <v>0</v>
      </c>
      <c r="AL204" s="86">
        <f>IF(NFI_Expiration=1,IF($A204&lt;VLOOKUP(T$5,NFI,5,0),1,0)*Data_NFI_t[[#This Row],[Jerry Can]],0)</f>
        <v>0</v>
      </c>
      <c r="AM204" s="105">
        <f>IF(NFI_Expiration=1,IF($A204&lt;VLOOKUP(U$5,NFI,5,0),1,0)*Data_NFI_t[[#This Row],[Plastic Mat]],0)*IF(Data_NFI_t[[#This Row],[Distribution Date]]&gt;"01-06-2015",1,2.5)</f>
        <v>0</v>
      </c>
      <c r="AN204" s="734">
        <f>IF(NFI_Expiration=1,IF($A204&lt;VLOOKUP(V$5,NFI,5,0),1,0)*Data_NFI_t[[#This Row],[Adult Clothes]],0)</f>
        <v>0</v>
      </c>
      <c r="AO204" s="105">
        <f>IF(NFI_Expiration=1,IF($A204&lt;VLOOKUP(W$5,NFI,5,0),1,0)*Data_NFI_t[[#This Row],[Children Clothes]],0)</f>
        <v>0</v>
      </c>
      <c r="AP204" s="105">
        <f>IF(NFI_Expiration=1,IF($A204&lt;VLOOKUP(X$5,NFI,5,0),1,0)*Data_NFI_t[[#This Row],[Sewing Kit]],0)</f>
        <v>0</v>
      </c>
      <c r="AQ204" s="734">
        <f>IF(NFI_Expiration=1,IF($A204&lt;VLOOKUP(X$5,NFI,5,0),1,0)*Data_NFI_t[[#This Row],[Solar Lantern]],0)</f>
        <v>0</v>
      </c>
      <c r="AR204" s="105" t="str">
        <f ca="1">IFERROR(OFFSET(Camp_List[P_Code],MATCH(Data_NFI_t[[#This Row],[Camp Name]],Camp_List[Camp Name],0)-1,0,1,1),"")</f>
        <v/>
      </c>
      <c r="AS204" s="421" t="str">
        <f ca="1">IFERROR(OFFSET(Camp_List[Status],MATCH(Data_NFI_t[[#This Row],[Camp Name]],Camp_List[Camp Name],0)-1,0,1,1),"")</f>
        <v/>
      </c>
      <c r="AT204" s="105"/>
    </row>
    <row r="205" spans="1:46" s="78" customFormat="1" ht="19.5" customHeight="1" x14ac:dyDescent="0.25">
      <c r="A205" s="208">
        <f t="shared" si="3"/>
        <v>39.333333333333336</v>
      </c>
      <c r="B205" s="208">
        <v>2015</v>
      </c>
      <c r="C205" s="744">
        <v>42010</v>
      </c>
      <c r="D205" s="402" t="s">
        <v>270</v>
      </c>
      <c r="E205" s="401" t="s">
        <v>270</v>
      </c>
      <c r="F205" s="402" t="s">
        <v>7</v>
      </c>
      <c r="G205" s="670" t="s">
        <v>18</v>
      </c>
      <c r="H205" s="670" t="s">
        <v>104</v>
      </c>
      <c r="I205" s="670">
        <v>36</v>
      </c>
      <c r="J205" s="670"/>
      <c r="K205" s="670"/>
      <c r="L205" s="42">
        <v>36</v>
      </c>
      <c r="M205" s="42">
        <v>36</v>
      </c>
      <c r="N205" s="42">
        <v>72</v>
      </c>
      <c r="O205" s="42">
        <v>0</v>
      </c>
      <c r="P205" s="42">
        <v>72</v>
      </c>
      <c r="Q205" s="42">
        <v>19</v>
      </c>
      <c r="R205" s="42">
        <v>0</v>
      </c>
      <c r="S205" s="42">
        <v>36</v>
      </c>
      <c r="T205" s="419">
        <v>36</v>
      </c>
      <c r="U205" s="42">
        <v>95</v>
      </c>
      <c r="V205" s="42"/>
      <c r="W205" s="42"/>
      <c r="X205" s="42"/>
      <c r="Y205" s="42"/>
      <c r="Z205" s="42"/>
      <c r="AA205" s="42"/>
      <c r="AB205" s="42"/>
      <c r="AC205" s="105">
        <f>IF(NFI_Expiration=1,IF($A205&lt;VLOOKUP(I$5,NFI,5,0),1,0)*Data_NFI_t[[#This Row],[Hygiene Kit]],0)</f>
        <v>0</v>
      </c>
      <c r="AD205" s="105">
        <f>IF(NFI_Expiration=1,IF($A205&lt;VLOOKUP(L$5,NFI,5,0),1,0)*Data_NFI_t[[#This Row],[NFI Core Kit]],0)</f>
        <v>0</v>
      </c>
      <c r="AE205" s="86">
        <f>IF(NFI_Expiration=1,IF($A205&lt;VLOOKUP(M$5,NFI,5,0),1,0)*Data_NFI_t[[#This Row],[Sanitary Kit]],0)</f>
        <v>0</v>
      </c>
      <c r="AF205" s="86">
        <f>IF(NFI_Expiration=1,IF($A205&lt;VLOOKUP(N$5,NFI,5,0),1,0)*Data_NFI_t[[#This Row],[Mosquito net]],0)</f>
        <v>0</v>
      </c>
      <c r="AG205" s="86">
        <f>IF(NFI_Expiration=1,IF($A205&lt;VLOOKUP(O$5,NFI,5,0),1,0)*Data_NFI_t[[#This Row],[Tarpaulin]],0)</f>
        <v>0</v>
      </c>
      <c r="AH205" s="86">
        <f>IF(NFI_Expiration=1,IF($A205&lt;VLOOKUP(P$5,NFI,5,0),1,0)*Data_NFI_t[[#This Row],[Blanket]],0)</f>
        <v>0</v>
      </c>
      <c r="AI205" s="86">
        <f>IF(NFI_Expiration=1,IF($A205&lt;VLOOKUP(Q$5,NFI,5,0),1,0)*Data_NFI_t[[#This Row],[Kitchen Set]],0)</f>
        <v>0</v>
      </c>
      <c r="AJ205" s="86">
        <f>IF(NFI_Expiration=1,IF($A205&lt;VLOOKUP(R$5,NFI,5,0),1,0)*Data_NFI_t[[#This Row],[Complementary Kit]],0)</f>
        <v>0</v>
      </c>
      <c r="AK205" s="86">
        <f>IF(NFI_Expiration=1,IF($A205&lt;VLOOKUP(S$5,NFI,5,0),1,0)*Data_NFI_t[[#This Row],[Plastic Bucket]],0)</f>
        <v>0</v>
      </c>
      <c r="AL205" s="86">
        <f>IF(NFI_Expiration=1,IF($A205&lt;VLOOKUP(T$5,NFI,5,0),1,0)*Data_NFI_t[[#This Row],[Jerry Can]],0)</f>
        <v>0</v>
      </c>
      <c r="AM205" s="105">
        <f>IF(NFI_Expiration=1,IF($A205&lt;VLOOKUP(U$5,NFI,5,0),1,0)*Data_NFI_t[[#This Row],[Plastic Mat]],0)*IF(Data_NFI_t[[#This Row],[Distribution Date]]&gt;"01-06-2015",1,2.5)</f>
        <v>0</v>
      </c>
      <c r="AN205" s="734">
        <f>IF(NFI_Expiration=1,IF($A205&lt;VLOOKUP(V$5,NFI,5,0),1,0)*Data_NFI_t[[#This Row],[Adult Clothes]],0)</f>
        <v>0</v>
      </c>
      <c r="AO205" s="105">
        <f>IF(NFI_Expiration=1,IF($A205&lt;VLOOKUP(W$5,NFI,5,0),1,0)*Data_NFI_t[[#This Row],[Children Clothes]],0)</f>
        <v>0</v>
      </c>
      <c r="AP205" s="105">
        <f>IF(NFI_Expiration=1,IF($A205&lt;VLOOKUP(X$5,NFI,5,0),1,0)*Data_NFI_t[[#This Row],[Sewing Kit]],0)</f>
        <v>0</v>
      </c>
      <c r="AQ205" s="734">
        <f>IF(NFI_Expiration=1,IF($A205&lt;VLOOKUP(X$5,NFI,5,0),1,0)*Data_NFI_t[[#This Row],[Solar Lantern]],0)</f>
        <v>0</v>
      </c>
      <c r="AR205" s="105" t="str">
        <f ca="1">IFERROR(OFFSET(Camp_List[P_Code],MATCH(Data_NFI_t[[#This Row],[Camp Name]],Camp_List[Camp Name],0)-1,0,1,1),"")</f>
        <v/>
      </c>
      <c r="AS205" s="421" t="str">
        <f ca="1">IFERROR(OFFSET(Camp_List[Status],MATCH(Data_NFI_t[[#This Row],[Camp Name]],Camp_List[Camp Name],0)-1,0,1,1),"")</f>
        <v/>
      </c>
      <c r="AT205" s="105"/>
    </row>
    <row r="206" spans="1:46" s="78" customFormat="1" ht="19.5" customHeight="1" x14ac:dyDescent="0.25">
      <c r="A206" s="208">
        <f t="shared" si="3"/>
        <v>39.333333333333336</v>
      </c>
      <c r="B206" s="208">
        <v>2015</v>
      </c>
      <c r="C206" s="744">
        <v>42010</v>
      </c>
      <c r="D206" s="402" t="s">
        <v>270</v>
      </c>
      <c r="E206" s="401" t="s">
        <v>270</v>
      </c>
      <c r="F206" s="402" t="s">
        <v>7</v>
      </c>
      <c r="G206" s="670" t="s">
        <v>18</v>
      </c>
      <c r="H206" s="670" t="s">
        <v>881</v>
      </c>
      <c r="I206" s="670">
        <v>39</v>
      </c>
      <c r="J206" s="670"/>
      <c r="K206" s="670"/>
      <c r="L206" s="42">
        <v>39</v>
      </c>
      <c r="M206" s="42">
        <v>39</v>
      </c>
      <c r="N206" s="42">
        <v>78</v>
      </c>
      <c r="O206" s="42">
        <v>0</v>
      </c>
      <c r="P206" s="42">
        <v>78</v>
      </c>
      <c r="Q206" s="42">
        <v>28</v>
      </c>
      <c r="R206" s="42">
        <v>0</v>
      </c>
      <c r="S206" s="42">
        <v>39</v>
      </c>
      <c r="T206" s="419">
        <v>39</v>
      </c>
      <c r="U206" s="42">
        <v>40</v>
      </c>
      <c r="V206" s="42"/>
      <c r="W206" s="42"/>
      <c r="X206" s="42"/>
      <c r="Y206" s="42"/>
      <c r="Z206" s="42"/>
      <c r="AA206" s="42"/>
      <c r="AB206" s="42"/>
      <c r="AC206" s="105">
        <f>IF(NFI_Expiration=1,IF($A206&lt;VLOOKUP(I$5,NFI,5,0),1,0)*Data_NFI_t[[#This Row],[Hygiene Kit]],0)</f>
        <v>0</v>
      </c>
      <c r="AD206" s="105">
        <f>IF(NFI_Expiration=1,IF($A206&lt;VLOOKUP(L$5,NFI,5,0),1,0)*Data_NFI_t[[#This Row],[NFI Core Kit]],0)</f>
        <v>0</v>
      </c>
      <c r="AE206" s="86">
        <f>IF(NFI_Expiration=1,IF($A206&lt;VLOOKUP(M$5,NFI,5,0),1,0)*Data_NFI_t[[#This Row],[Sanitary Kit]],0)</f>
        <v>0</v>
      </c>
      <c r="AF206" s="86">
        <f>IF(NFI_Expiration=1,IF($A206&lt;VLOOKUP(N$5,NFI,5,0),1,0)*Data_NFI_t[[#This Row],[Mosquito net]],0)</f>
        <v>0</v>
      </c>
      <c r="AG206" s="86">
        <f>IF(NFI_Expiration=1,IF($A206&lt;VLOOKUP(O$5,NFI,5,0),1,0)*Data_NFI_t[[#This Row],[Tarpaulin]],0)</f>
        <v>0</v>
      </c>
      <c r="AH206" s="86">
        <f>IF(NFI_Expiration=1,IF($A206&lt;VLOOKUP(P$5,NFI,5,0),1,0)*Data_NFI_t[[#This Row],[Blanket]],0)</f>
        <v>0</v>
      </c>
      <c r="AI206" s="86">
        <f>IF(NFI_Expiration=1,IF($A206&lt;VLOOKUP(Q$5,NFI,5,0),1,0)*Data_NFI_t[[#This Row],[Kitchen Set]],0)</f>
        <v>0</v>
      </c>
      <c r="AJ206" s="86">
        <f>IF(NFI_Expiration=1,IF($A206&lt;VLOOKUP(R$5,NFI,5,0),1,0)*Data_NFI_t[[#This Row],[Complementary Kit]],0)</f>
        <v>0</v>
      </c>
      <c r="AK206" s="86">
        <f>IF(NFI_Expiration=1,IF($A206&lt;VLOOKUP(S$5,NFI,5,0),1,0)*Data_NFI_t[[#This Row],[Plastic Bucket]],0)</f>
        <v>0</v>
      </c>
      <c r="AL206" s="86">
        <f>IF(NFI_Expiration=1,IF($A206&lt;VLOOKUP(T$5,NFI,5,0),1,0)*Data_NFI_t[[#This Row],[Jerry Can]],0)</f>
        <v>0</v>
      </c>
      <c r="AM206" s="105">
        <f>IF(NFI_Expiration=1,IF($A206&lt;VLOOKUP(U$5,NFI,5,0),1,0)*Data_NFI_t[[#This Row],[Plastic Mat]],0)*IF(Data_NFI_t[[#This Row],[Distribution Date]]&gt;"01-06-2015",1,2.5)</f>
        <v>0</v>
      </c>
      <c r="AN206" s="734">
        <f>IF(NFI_Expiration=1,IF($A206&lt;VLOOKUP(V$5,NFI,5,0),1,0)*Data_NFI_t[[#This Row],[Adult Clothes]],0)</f>
        <v>0</v>
      </c>
      <c r="AO206" s="105">
        <f>IF(NFI_Expiration=1,IF($A206&lt;VLOOKUP(W$5,NFI,5,0),1,0)*Data_NFI_t[[#This Row],[Children Clothes]],0)</f>
        <v>0</v>
      </c>
      <c r="AP206" s="105">
        <f>IF(NFI_Expiration=1,IF($A206&lt;VLOOKUP(X$5,NFI,5,0),1,0)*Data_NFI_t[[#This Row],[Sewing Kit]],0)</f>
        <v>0</v>
      </c>
      <c r="AQ206" s="734">
        <f>IF(NFI_Expiration=1,IF($A206&lt;VLOOKUP(X$5,NFI,5,0),1,0)*Data_NFI_t[[#This Row],[Solar Lantern]],0)</f>
        <v>0</v>
      </c>
      <c r="AR206" s="105" t="str">
        <f ca="1">IFERROR(OFFSET(Camp_List[P_Code],MATCH(Data_NFI_t[[#This Row],[Camp Name]],Camp_List[Camp Name],0)-1,0,1,1),"")</f>
        <v/>
      </c>
      <c r="AS206" s="421" t="str">
        <f ca="1">IFERROR(OFFSET(Camp_List[Status],MATCH(Data_NFI_t[[#This Row],[Camp Name]],Camp_List[Camp Name],0)-1,0,1,1),"")</f>
        <v/>
      </c>
      <c r="AT206" s="105"/>
    </row>
    <row r="207" spans="1:46" s="78" customFormat="1" ht="19.5" customHeight="1" x14ac:dyDescent="0.25">
      <c r="A207" s="208">
        <f t="shared" si="3"/>
        <v>39.5</v>
      </c>
      <c r="B207" s="208">
        <f>YEAR(Data_NFI_t[[#This Row],[Distribution Date]])</f>
        <v>2015</v>
      </c>
      <c r="C207" s="744">
        <v>42005</v>
      </c>
      <c r="D207" s="402" t="s">
        <v>658</v>
      </c>
      <c r="E207" s="401" t="s">
        <v>658</v>
      </c>
      <c r="F207" s="402" t="s">
        <v>7</v>
      </c>
      <c r="G207" s="670" t="s">
        <v>817</v>
      </c>
      <c r="H207" s="670" t="s">
        <v>35</v>
      </c>
      <c r="I207" s="670">
        <v>42</v>
      </c>
      <c r="J207" s="670"/>
      <c r="K207" s="670"/>
      <c r="L207" s="42"/>
      <c r="M207" s="42"/>
      <c r="N207" s="42"/>
      <c r="O207" s="42"/>
      <c r="P207" s="42"/>
      <c r="Q207" s="42"/>
      <c r="R207" s="42"/>
      <c r="S207" s="42"/>
      <c r="T207" s="419"/>
      <c r="U207" s="42"/>
      <c r="V207" s="42"/>
      <c r="W207" s="42"/>
      <c r="X207" s="42"/>
      <c r="Y207" s="42"/>
      <c r="Z207" s="42"/>
      <c r="AA207" s="42"/>
      <c r="AB207" s="42"/>
      <c r="AC207" s="105">
        <f>IF(NFI_Expiration=1,IF($A207&lt;VLOOKUP(I$5,NFI,5,0),1,0)*Data_NFI_t[[#This Row],[Hygiene Kit]],0)</f>
        <v>0</v>
      </c>
      <c r="AD207" s="105">
        <f>IF(NFI_Expiration=1,IF($A207&lt;VLOOKUP(L$5,NFI,5,0),1,0)*Data_NFI_t[[#This Row],[NFI Core Kit]],0)</f>
        <v>0</v>
      </c>
      <c r="AE207" s="86">
        <f>IF(NFI_Expiration=1,IF($A207&lt;VLOOKUP(M$5,NFI,5,0),1,0)*Data_NFI_t[[#This Row],[Sanitary Kit]],0)</f>
        <v>0</v>
      </c>
      <c r="AF207" s="86">
        <f>IF(NFI_Expiration=1,IF($A207&lt;VLOOKUP(N$5,NFI,5,0),1,0)*Data_NFI_t[[#This Row],[Mosquito net]],0)</f>
        <v>0</v>
      </c>
      <c r="AG207" s="86">
        <f>IF(NFI_Expiration=1,IF($A207&lt;VLOOKUP(O$5,NFI,5,0),1,0)*Data_NFI_t[[#This Row],[Tarpaulin]],0)</f>
        <v>0</v>
      </c>
      <c r="AH207" s="86">
        <f>IF(NFI_Expiration=1,IF($A207&lt;VLOOKUP(P$5,NFI,5,0),1,0)*Data_NFI_t[[#This Row],[Blanket]],0)</f>
        <v>0</v>
      </c>
      <c r="AI207" s="86">
        <f>IF(NFI_Expiration=1,IF($A207&lt;VLOOKUP(Q$5,NFI,5,0),1,0)*Data_NFI_t[[#This Row],[Kitchen Set]],0)</f>
        <v>0</v>
      </c>
      <c r="AJ207" s="86">
        <f>IF(NFI_Expiration=1,IF($A207&lt;VLOOKUP(R$5,NFI,5,0),1,0)*Data_NFI_t[[#This Row],[Complementary Kit]],0)</f>
        <v>0</v>
      </c>
      <c r="AK207" s="86">
        <f>IF(NFI_Expiration=1,IF($A207&lt;VLOOKUP(S$5,NFI,5,0),1,0)*Data_NFI_t[[#This Row],[Plastic Bucket]],0)</f>
        <v>0</v>
      </c>
      <c r="AL207" s="86">
        <f>IF(NFI_Expiration=1,IF($A207&lt;VLOOKUP(T$5,NFI,5,0),1,0)*Data_NFI_t[[#This Row],[Jerry Can]],0)</f>
        <v>0</v>
      </c>
      <c r="AM207" s="105">
        <f>IF(NFI_Expiration=1,IF($A207&lt;VLOOKUP(U$5,NFI,5,0),1,0)*Data_NFI_t[[#This Row],[Plastic Mat]],0)*IF(Data_NFI_t[[#This Row],[Distribution Date]]&gt;"01-06-2015",1,2.5)</f>
        <v>0</v>
      </c>
      <c r="AN207" s="734">
        <f>IF(NFI_Expiration=1,IF($A207&lt;VLOOKUP(V$5,NFI,5,0),1,0)*Data_NFI_t[[#This Row],[Adult Clothes]],0)</f>
        <v>0</v>
      </c>
      <c r="AO207" s="105">
        <f>IF(NFI_Expiration=1,IF($A207&lt;VLOOKUP(W$5,NFI,5,0),1,0)*Data_NFI_t[[#This Row],[Children Clothes]],0)</f>
        <v>0</v>
      </c>
      <c r="AP207" s="105">
        <f>IF(NFI_Expiration=1,IF($A207&lt;VLOOKUP(X$5,NFI,5,0),1,0)*Data_NFI_t[[#This Row],[Sewing Kit]],0)</f>
        <v>0</v>
      </c>
      <c r="AQ207" s="734">
        <f>IF(NFI_Expiration=1,IF($A207&lt;VLOOKUP(X$5,NFI,5,0),1,0)*Data_NFI_t[[#This Row],[Solar Lantern]],0)</f>
        <v>0</v>
      </c>
      <c r="AR207" s="105" t="str">
        <f ca="1">IFERROR(OFFSET(Camp_List[P_Code],MATCH(Data_NFI_t[[#This Row],[Camp Name]],Camp_List[Camp Name],0)-1,0,1,1),"")</f>
        <v>MMR012CMP013</v>
      </c>
      <c r="AS207" s="421" t="str">
        <f ca="1">IFERROR(OFFSET(Camp_List[Status],MATCH(Data_NFI_t[[#This Row],[Camp Name]],Camp_List[Camp Name],0)-1,0,1,1),"")</f>
        <v>Relocated</v>
      </c>
      <c r="AT207" s="105"/>
    </row>
    <row r="208" spans="1:46" s="78" customFormat="1" ht="19.5" customHeight="1" x14ac:dyDescent="0.25">
      <c r="A208" s="208">
        <f t="shared" si="3"/>
        <v>39.5</v>
      </c>
      <c r="B208" s="208">
        <f>YEAR(Data_NFI_t[[#This Row],[Distribution Date]])</f>
        <v>2015</v>
      </c>
      <c r="C208" s="744">
        <v>42005</v>
      </c>
      <c r="D208" s="402" t="s">
        <v>658</v>
      </c>
      <c r="E208" s="401" t="s">
        <v>658</v>
      </c>
      <c r="F208" s="402" t="s">
        <v>7</v>
      </c>
      <c r="G208" s="670" t="s">
        <v>817</v>
      </c>
      <c r="H208" s="670" t="s">
        <v>36</v>
      </c>
      <c r="I208" s="670">
        <v>682</v>
      </c>
      <c r="J208" s="670"/>
      <c r="K208" s="670"/>
      <c r="L208" s="42"/>
      <c r="M208" s="42"/>
      <c r="N208" s="42"/>
      <c r="O208" s="42"/>
      <c r="P208" s="42"/>
      <c r="Q208" s="42"/>
      <c r="R208" s="42"/>
      <c r="S208" s="42"/>
      <c r="T208" s="419"/>
      <c r="U208" s="42"/>
      <c r="V208" s="42"/>
      <c r="W208" s="42"/>
      <c r="X208" s="42"/>
      <c r="Y208" s="42"/>
      <c r="Z208" s="42"/>
      <c r="AA208" s="42"/>
      <c r="AB208" s="42"/>
      <c r="AC208" s="105">
        <f>IF(NFI_Expiration=1,IF($A208&lt;VLOOKUP(I$5,NFI,5,0),1,0)*Data_NFI_t[[#This Row],[Hygiene Kit]],0)</f>
        <v>0</v>
      </c>
      <c r="AD208" s="105">
        <f>IF(NFI_Expiration=1,IF($A208&lt;VLOOKUP(L$5,NFI,5,0),1,0)*Data_NFI_t[[#This Row],[NFI Core Kit]],0)</f>
        <v>0</v>
      </c>
      <c r="AE208" s="86">
        <f>IF(NFI_Expiration=1,IF($A208&lt;VLOOKUP(M$5,NFI,5,0),1,0)*Data_NFI_t[[#This Row],[Sanitary Kit]],0)</f>
        <v>0</v>
      </c>
      <c r="AF208" s="86">
        <f>IF(NFI_Expiration=1,IF($A208&lt;VLOOKUP(N$5,NFI,5,0),1,0)*Data_NFI_t[[#This Row],[Mosquito net]],0)</f>
        <v>0</v>
      </c>
      <c r="AG208" s="86">
        <f>IF(NFI_Expiration=1,IF($A208&lt;VLOOKUP(O$5,NFI,5,0),1,0)*Data_NFI_t[[#This Row],[Tarpaulin]],0)</f>
        <v>0</v>
      </c>
      <c r="AH208" s="86">
        <f>IF(NFI_Expiration=1,IF($A208&lt;VLOOKUP(P$5,NFI,5,0),1,0)*Data_NFI_t[[#This Row],[Blanket]],0)</f>
        <v>0</v>
      </c>
      <c r="AI208" s="86">
        <f>IF(NFI_Expiration=1,IF($A208&lt;VLOOKUP(Q$5,NFI,5,0),1,0)*Data_NFI_t[[#This Row],[Kitchen Set]],0)</f>
        <v>0</v>
      </c>
      <c r="AJ208" s="86">
        <f>IF(NFI_Expiration=1,IF($A208&lt;VLOOKUP(R$5,NFI,5,0),1,0)*Data_NFI_t[[#This Row],[Complementary Kit]],0)</f>
        <v>0</v>
      </c>
      <c r="AK208" s="86">
        <f>IF(NFI_Expiration=1,IF($A208&lt;VLOOKUP(S$5,NFI,5,0),1,0)*Data_NFI_t[[#This Row],[Plastic Bucket]],0)</f>
        <v>0</v>
      </c>
      <c r="AL208" s="86">
        <f>IF(NFI_Expiration=1,IF($A208&lt;VLOOKUP(T$5,NFI,5,0),1,0)*Data_NFI_t[[#This Row],[Jerry Can]],0)</f>
        <v>0</v>
      </c>
      <c r="AM208" s="105">
        <f>IF(NFI_Expiration=1,IF($A208&lt;VLOOKUP(U$5,NFI,5,0),1,0)*Data_NFI_t[[#This Row],[Plastic Mat]],0)*IF(Data_NFI_t[[#This Row],[Distribution Date]]&gt;"01-06-2015",1,2.5)</f>
        <v>0</v>
      </c>
      <c r="AN208" s="734">
        <f>IF(NFI_Expiration=1,IF($A208&lt;VLOOKUP(V$5,NFI,5,0),1,0)*Data_NFI_t[[#This Row],[Adult Clothes]],0)</f>
        <v>0</v>
      </c>
      <c r="AO208" s="105">
        <f>IF(NFI_Expiration=1,IF($A208&lt;VLOOKUP(W$5,NFI,5,0),1,0)*Data_NFI_t[[#This Row],[Children Clothes]],0)</f>
        <v>0</v>
      </c>
      <c r="AP208" s="105">
        <f>IF(NFI_Expiration=1,IF($A208&lt;VLOOKUP(X$5,NFI,5,0),1,0)*Data_NFI_t[[#This Row],[Sewing Kit]],0)</f>
        <v>0</v>
      </c>
      <c r="AQ208" s="734">
        <f>IF(NFI_Expiration=1,IF($A208&lt;VLOOKUP(X$5,NFI,5,0),1,0)*Data_NFI_t[[#This Row],[Solar Lantern]],0)</f>
        <v>0</v>
      </c>
      <c r="AR208" s="105" t="str">
        <f ca="1">IFERROR(OFFSET(Camp_List[P_Code],MATCH(Data_NFI_t[[#This Row],[Camp Name]],Camp_List[Camp Name],0)-1,0,1,1),"")</f>
        <v>MMR012CMP014</v>
      </c>
      <c r="AS208" s="421" t="str">
        <f ca="1">IFERROR(OFFSET(Camp_List[Status],MATCH(Data_NFI_t[[#This Row],[Camp Name]],Camp_List[Camp Name],0)-1,0,1,1),"")</f>
        <v>Open</v>
      </c>
      <c r="AT208" s="105"/>
    </row>
    <row r="209" spans="1:46" s="78" customFormat="1" ht="19.5" customHeight="1" x14ac:dyDescent="0.25">
      <c r="A209" s="208">
        <f t="shared" si="3"/>
        <v>39.799999999999997</v>
      </c>
      <c r="B209" s="208">
        <f>YEAR(Data_NFI_t[[#This Row],[Distribution Date]])</f>
        <v>2014</v>
      </c>
      <c r="C209" s="744">
        <v>41996</v>
      </c>
      <c r="D209" s="402" t="s">
        <v>270</v>
      </c>
      <c r="E209" s="401" t="s">
        <v>270</v>
      </c>
      <c r="F209" s="402" t="s">
        <v>7</v>
      </c>
      <c r="G209" s="670" t="s">
        <v>18</v>
      </c>
      <c r="H209" s="670" t="s">
        <v>101</v>
      </c>
      <c r="I209" s="670">
        <v>27</v>
      </c>
      <c r="J209" s="670"/>
      <c r="K209" s="670"/>
      <c r="L209" s="42">
        <v>27</v>
      </c>
      <c r="M209" s="42">
        <v>27</v>
      </c>
      <c r="N209" s="42">
        <v>54</v>
      </c>
      <c r="O209" s="42">
        <v>0</v>
      </c>
      <c r="P209" s="42">
        <v>54</v>
      </c>
      <c r="Q209" s="42">
        <v>17</v>
      </c>
      <c r="R209" s="42">
        <v>0</v>
      </c>
      <c r="S209" s="42">
        <v>27</v>
      </c>
      <c r="T209" s="419"/>
      <c r="U209" s="42">
        <v>85</v>
      </c>
      <c r="V209" s="42"/>
      <c r="W209" s="42"/>
      <c r="X209" s="42"/>
      <c r="Y209" s="42"/>
      <c r="Z209" s="42"/>
      <c r="AA209" s="42"/>
      <c r="AB209" s="42"/>
      <c r="AC209" s="105">
        <f>IF(NFI_Expiration=1,IF($A209&lt;VLOOKUP(I$5,NFI,5,0),1,0)*Data_NFI_t[[#This Row],[Hygiene Kit]],0)</f>
        <v>0</v>
      </c>
      <c r="AD209" s="105">
        <f>IF(NFI_Expiration=1,IF($A209&lt;VLOOKUP(L$5,NFI,5,0),1,0)*Data_NFI_t[[#This Row],[NFI Core Kit]],0)</f>
        <v>0</v>
      </c>
      <c r="AE209" s="86">
        <f>IF(NFI_Expiration=1,IF($A209&lt;VLOOKUP(M$5,NFI,5,0),1,0)*Data_NFI_t[[#This Row],[Sanitary Kit]],0)</f>
        <v>0</v>
      </c>
      <c r="AF209" s="86">
        <f>IF(NFI_Expiration=1,IF($A209&lt;VLOOKUP(N$5,NFI,5,0),1,0)*Data_NFI_t[[#This Row],[Mosquito net]],0)</f>
        <v>0</v>
      </c>
      <c r="AG209" s="86">
        <f>IF(NFI_Expiration=1,IF($A209&lt;VLOOKUP(O$5,NFI,5,0),1,0)*Data_NFI_t[[#This Row],[Tarpaulin]],0)</f>
        <v>0</v>
      </c>
      <c r="AH209" s="86">
        <f>IF(NFI_Expiration=1,IF($A209&lt;VLOOKUP(P$5,NFI,5,0),1,0)*Data_NFI_t[[#This Row],[Blanket]],0)</f>
        <v>0</v>
      </c>
      <c r="AI209" s="86">
        <f>IF(NFI_Expiration=1,IF($A209&lt;VLOOKUP(Q$5,NFI,5,0),1,0)*Data_NFI_t[[#This Row],[Kitchen Set]],0)</f>
        <v>0</v>
      </c>
      <c r="AJ209" s="86">
        <f>IF(NFI_Expiration=1,IF($A209&lt;VLOOKUP(R$5,NFI,5,0),1,0)*Data_NFI_t[[#This Row],[Complementary Kit]],0)</f>
        <v>0</v>
      </c>
      <c r="AK209" s="86">
        <f>IF(NFI_Expiration=1,IF($A209&lt;VLOOKUP(S$5,NFI,5,0),1,0)*Data_NFI_t[[#This Row],[Plastic Bucket]],0)</f>
        <v>0</v>
      </c>
      <c r="AL209" s="86">
        <f>IF(NFI_Expiration=1,IF($A209&lt;VLOOKUP(T$5,NFI,5,0),1,0)*Data_NFI_t[[#This Row],[Jerry Can]],0)</f>
        <v>0</v>
      </c>
      <c r="AM209" s="105">
        <f>IF(NFI_Expiration=1,IF($A209&lt;VLOOKUP(U$5,NFI,5,0),1,0)*Data_NFI_t[[#This Row],[Plastic Mat]],0)*IF(Data_NFI_t[[#This Row],[Distribution Date]]&gt;"01-06-2015",1,2.5)</f>
        <v>0</v>
      </c>
      <c r="AN209" s="734">
        <f>IF(NFI_Expiration=1,IF($A209&lt;VLOOKUP(V$5,NFI,5,0),1,0)*Data_NFI_t[[#This Row],[Adult Clothes]],0)</f>
        <v>0</v>
      </c>
      <c r="AO209" s="105">
        <f>IF(NFI_Expiration=1,IF($A209&lt;VLOOKUP(W$5,NFI,5,0),1,0)*Data_NFI_t[[#This Row],[Children Clothes]],0)</f>
        <v>0</v>
      </c>
      <c r="AP209" s="105">
        <f>IF(NFI_Expiration=1,IF($A209&lt;VLOOKUP(X$5,NFI,5,0),1,0)*Data_NFI_t[[#This Row],[Sewing Kit]],0)</f>
        <v>0</v>
      </c>
      <c r="AQ209" s="734">
        <f>IF(NFI_Expiration=1,IF($A209&lt;VLOOKUP(X$5,NFI,5,0),1,0)*Data_NFI_t[[#This Row],[Solar Lantern]],0)</f>
        <v>0</v>
      </c>
      <c r="AR209" s="105" t="str">
        <f ca="1">IFERROR(OFFSET(Camp_List[P_Code],MATCH(Data_NFI_t[[#This Row],[Camp Name]],Camp_List[Camp Name],0)-1,0,1,1),"")</f>
        <v>MMR012CMP082</v>
      </c>
      <c r="AS209" s="421" t="str">
        <f ca="1">IFERROR(OFFSET(Camp_List[Status],MATCH(Data_NFI_t[[#This Row],[Camp Name]],Camp_List[Camp Name],0)-1,0,1,1),"")</f>
        <v>Returned</v>
      </c>
      <c r="AT209" s="105"/>
    </row>
    <row r="210" spans="1:46" s="78" customFormat="1" ht="19.5" customHeight="1" x14ac:dyDescent="0.25">
      <c r="A210" s="208">
        <f t="shared" si="3"/>
        <v>39.966666666666669</v>
      </c>
      <c r="B210" s="208">
        <f>YEAR(Data_NFI_t[[#This Row],[Distribution Date]])</f>
        <v>2014</v>
      </c>
      <c r="C210" s="744">
        <v>41991</v>
      </c>
      <c r="D210" s="402" t="s">
        <v>270</v>
      </c>
      <c r="E210" s="401" t="s">
        <v>270</v>
      </c>
      <c r="F210" s="402" t="s">
        <v>7</v>
      </c>
      <c r="G210" s="670" t="s">
        <v>18</v>
      </c>
      <c r="H210" s="670" t="s">
        <v>105</v>
      </c>
      <c r="I210" s="670">
        <v>108</v>
      </c>
      <c r="J210" s="670"/>
      <c r="K210" s="670"/>
      <c r="L210" s="42">
        <v>108</v>
      </c>
      <c r="M210" s="42">
        <v>108</v>
      </c>
      <c r="N210" s="42">
        <v>216</v>
      </c>
      <c r="O210" s="42">
        <v>0</v>
      </c>
      <c r="P210" s="42">
        <v>216</v>
      </c>
      <c r="Q210" s="42">
        <v>68</v>
      </c>
      <c r="R210" s="42">
        <v>0</v>
      </c>
      <c r="S210" s="42">
        <v>108</v>
      </c>
      <c r="T210" s="419"/>
      <c r="U210" s="42">
        <v>340</v>
      </c>
      <c r="V210" s="42"/>
      <c r="W210" s="42"/>
      <c r="X210" s="42"/>
      <c r="Y210" s="42"/>
      <c r="Z210" s="42"/>
      <c r="AA210" s="42"/>
      <c r="AB210" s="42"/>
      <c r="AC210" s="105">
        <f>IF(NFI_Expiration=1,IF($A210&lt;VLOOKUP(I$5,NFI,5,0),1,0)*Data_NFI_t[[#This Row],[Hygiene Kit]],0)</f>
        <v>0</v>
      </c>
      <c r="AD210" s="105">
        <f>IF(NFI_Expiration=1,IF($A210&lt;VLOOKUP(L$5,NFI,5,0),1,0)*Data_NFI_t[[#This Row],[NFI Core Kit]],0)</f>
        <v>0</v>
      </c>
      <c r="AE210" s="86">
        <f>IF(NFI_Expiration=1,IF($A210&lt;VLOOKUP(M$5,NFI,5,0),1,0)*Data_NFI_t[[#This Row],[Sanitary Kit]],0)</f>
        <v>0</v>
      </c>
      <c r="AF210" s="86">
        <f>IF(NFI_Expiration=1,IF($A210&lt;VLOOKUP(N$5,NFI,5,0),1,0)*Data_NFI_t[[#This Row],[Mosquito net]],0)</f>
        <v>0</v>
      </c>
      <c r="AG210" s="86">
        <f>IF(NFI_Expiration=1,IF($A210&lt;VLOOKUP(O$5,NFI,5,0),1,0)*Data_NFI_t[[#This Row],[Tarpaulin]],0)</f>
        <v>0</v>
      </c>
      <c r="AH210" s="86">
        <f>IF(NFI_Expiration=1,IF($A210&lt;VLOOKUP(P$5,NFI,5,0),1,0)*Data_NFI_t[[#This Row],[Blanket]],0)</f>
        <v>0</v>
      </c>
      <c r="AI210" s="86">
        <f>IF(NFI_Expiration=1,IF($A210&lt;VLOOKUP(Q$5,NFI,5,0),1,0)*Data_NFI_t[[#This Row],[Kitchen Set]],0)</f>
        <v>0</v>
      </c>
      <c r="AJ210" s="86">
        <f>IF(NFI_Expiration=1,IF($A210&lt;VLOOKUP(R$5,NFI,5,0),1,0)*Data_NFI_t[[#This Row],[Complementary Kit]],0)</f>
        <v>0</v>
      </c>
      <c r="AK210" s="86">
        <f>IF(NFI_Expiration=1,IF($A210&lt;VLOOKUP(S$5,NFI,5,0),1,0)*Data_NFI_t[[#This Row],[Plastic Bucket]],0)</f>
        <v>0</v>
      </c>
      <c r="AL210" s="86">
        <f>IF(NFI_Expiration=1,IF($A210&lt;VLOOKUP(T$5,NFI,5,0),1,0)*Data_NFI_t[[#This Row],[Jerry Can]],0)</f>
        <v>0</v>
      </c>
      <c r="AM210" s="105">
        <f>IF(NFI_Expiration=1,IF($A210&lt;VLOOKUP(U$5,NFI,5,0),1,0)*Data_NFI_t[[#This Row],[Plastic Mat]],0)*IF(Data_NFI_t[[#This Row],[Distribution Date]]&gt;"01-06-2015",1,2.5)</f>
        <v>0</v>
      </c>
      <c r="AN210" s="734">
        <f>IF(NFI_Expiration=1,IF($A210&lt;VLOOKUP(V$5,NFI,5,0),1,0)*Data_NFI_t[[#This Row],[Adult Clothes]],0)</f>
        <v>0</v>
      </c>
      <c r="AO210" s="105">
        <f>IF(NFI_Expiration=1,IF($A210&lt;VLOOKUP(W$5,NFI,5,0),1,0)*Data_NFI_t[[#This Row],[Children Clothes]],0)</f>
        <v>0</v>
      </c>
      <c r="AP210" s="105">
        <f>IF(NFI_Expiration=1,IF($A210&lt;VLOOKUP(X$5,NFI,5,0),1,0)*Data_NFI_t[[#This Row],[Sewing Kit]],0)</f>
        <v>0</v>
      </c>
      <c r="AQ210" s="734">
        <f>IF(NFI_Expiration=1,IF($A210&lt;VLOOKUP(X$5,NFI,5,0),1,0)*Data_NFI_t[[#This Row],[Solar Lantern]],0)</f>
        <v>0</v>
      </c>
      <c r="AR210" s="105" t="str">
        <f ca="1">IFERROR(OFFSET(Camp_List[P_Code],MATCH(Data_NFI_t[[#This Row],[Camp Name]],Camp_List[Camp Name],0)-1,0,1,1),"")</f>
        <v/>
      </c>
      <c r="AS210" s="421" t="str">
        <f ca="1">IFERROR(OFFSET(Camp_List[Status],MATCH(Data_NFI_t[[#This Row],[Camp Name]],Camp_List[Camp Name],0)-1,0,1,1),"")</f>
        <v/>
      </c>
      <c r="AT210" s="105"/>
    </row>
    <row r="211" spans="1:46" s="78" customFormat="1" ht="19.5" customHeight="1" x14ac:dyDescent="0.25">
      <c r="A211" s="208">
        <f t="shared" si="3"/>
        <v>39.966666666666669</v>
      </c>
      <c r="B211" s="208">
        <f>YEAR(Data_NFI_t[[#This Row],[Distribution Date]])</f>
        <v>2014</v>
      </c>
      <c r="C211" s="744">
        <v>41991</v>
      </c>
      <c r="D211" s="402" t="s">
        <v>270</v>
      </c>
      <c r="E211" s="401" t="s">
        <v>270</v>
      </c>
      <c r="F211" s="402" t="s">
        <v>7</v>
      </c>
      <c r="G211" s="670" t="s">
        <v>18</v>
      </c>
      <c r="H211" s="670" t="s">
        <v>824</v>
      </c>
      <c r="I211" s="670">
        <v>164</v>
      </c>
      <c r="J211" s="670"/>
      <c r="K211" s="670"/>
      <c r="L211" s="42">
        <v>164</v>
      </c>
      <c r="M211" s="42">
        <v>164</v>
      </c>
      <c r="N211" s="42">
        <v>328</v>
      </c>
      <c r="O211" s="42">
        <v>0</v>
      </c>
      <c r="P211" s="42">
        <v>328</v>
      </c>
      <c r="Q211" s="42">
        <v>92</v>
      </c>
      <c r="R211" s="42">
        <v>0</v>
      </c>
      <c r="S211" s="42">
        <v>164</v>
      </c>
      <c r="T211" s="419"/>
      <c r="U211" s="42">
        <v>460</v>
      </c>
      <c r="V211" s="42"/>
      <c r="W211" s="42"/>
      <c r="X211" s="42"/>
      <c r="Y211" s="42"/>
      <c r="Z211" s="42"/>
      <c r="AA211" s="42"/>
      <c r="AB211" s="42"/>
      <c r="AC211" s="105">
        <f>IF(NFI_Expiration=1,IF($A211&lt;VLOOKUP(I$5,NFI,5,0),1,0)*Data_NFI_t[[#This Row],[Hygiene Kit]],0)</f>
        <v>0</v>
      </c>
      <c r="AD211" s="105">
        <f>IF(NFI_Expiration=1,IF($A211&lt;VLOOKUP(L$5,NFI,5,0),1,0)*Data_NFI_t[[#This Row],[NFI Core Kit]],0)</f>
        <v>0</v>
      </c>
      <c r="AE211" s="86">
        <f>IF(NFI_Expiration=1,IF($A211&lt;VLOOKUP(M$5,NFI,5,0),1,0)*Data_NFI_t[[#This Row],[Sanitary Kit]],0)</f>
        <v>0</v>
      </c>
      <c r="AF211" s="86">
        <f>IF(NFI_Expiration=1,IF($A211&lt;VLOOKUP(N$5,NFI,5,0),1,0)*Data_NFI_t[[#This Row],[Mosquito net]],0)</f>
        <v>0</v>
      </c>
      <c r="AG211" s="86">
        <f>IF(NFI_Expiration=1,IF($A211&lt;VLOOKUP(O$5,NFI,5,0),1,0)*Data_NFI_t[[#This Row],[Tarpaulin]],0)</f>
        <v>0</v>
      </c>
      <c r="AH211" s="86">
        <f>IF(NFI_Expiration=1,IF($A211&lt;VLOOKUP(P$5,NFI,5,0),1,0)*Data_NFI_t[[#This Row],[Blanket]],0)</f>
        <v>0</v>
      </c>
      <c r="AI211" s="86">
        <f>IF(NFI_Expiration=1,IF($A211&lt;VLOOKUP(Q$5,NFI,5,0),1,0)*Data_NFI_t[[#This Row],[Kitchen Set]],0)</f>
        <v>0</v>
      </c>
      <c r="AJ211" s="86">
        <f>IF(NFI_Expiration=1,IF($A211&lt;VLOOKUP(R$5,NFI,5,0),1,0)*Data_NFI_t[[#This Row],[Complementary Kit]],0)</f>
        <v>0</v>
      </c>
      <c r="AK211" s="86">
        <f>IF(NFI_Expiration=1,IF($A211&lt;VLOOKUP(S$5,NFI,5,0),1,0)*Data_NFI_t[[#This Row],[Plastic Bucket]],0)</f>
        <v>0</v>
      </c>
      <c r="AL211" s="86">
        <f>IF(NFI_Expiration=1,IF($A211&lt;VLOOKUP(T$5,NFI,5,0),1,0)*Data_NFI_t[[#This Row],[Jerry Can]],0)</f>
        <v>0</v>
      </c>
      <c r="AM211" s="105">
        <f>IF(NFI_Expiration=1,IF($A211&lt;VLOOKUP(U$5,NFI,5,0),1,0)*Data_NFI_t[[#This Row],[Plastic Mat]],0)*IF(Data_NFI_t[[#This Row],[Distribution Date]]&gt;"01-06-2015",1,2.5)</f>
        <v>0</v>
      </c>
      <c r="AN211" s="734">
        <f>IF(NFI_Expiration=1,IF($A211&lt;VLOOKUP(V$5,NFI,5,0),1,0)*Data_NFI_t[[#This Row],[Adult Clothes]],0)</f>
        <v>0</v>
      </c>
      <c r="AO211" s="105">
        <f>IF(NFI_Expiration=1,IF($A211&lt;VLOOKUP(W$5,NFI,5,0),1,0)*Data_NFI_t[[#This Row],[Children Clothes]],0)</f>
        <v>0</v>
      </c>
      <c r="AP211" s="105">
        <f>IF(NFI_Expiration=1,IF($A211&lt;VLOOKUP(X$5,NFI,5,0),1,0)*Data_NFI_t[[#This Row],[Sewing Kit]],0)</f>
        <v>0</v>
      </c>
      <c r="AQ211" s="734">
        <f>IF(NFI_Expiration=1,IF($A211&lt;VLOOKUP(X$5,NFI,5,0),1,0)*Data_NFI_t[[#This Row],[Solar Lantern]],0)</f>
        <v>0</v>
      </c>
      <c r="AR211" s="105" t="str">
        <f ca="1">IFERROR(OFFSET(Camp_List[P_Code],MATCH(Data_NFI_t[[#This Row],[Camp Name]],Camp_List[Camp Name],0)-1,0,1,1),"")</f>
        <v/>
      </c>
      <c r="AS211" s="421" t="str">
        <f ca="1">IFERROR(OFFSET(Camp_List[Status],MATCH(Data_NFI_t[[#This Row],[Camp Name]],Camp_List[Camp Name],0)-1,0,1,1),"")</f>
        <v/>
      </c>
      <c r="AT211" s="105"/>
    </row>
    <row r="212" spans="1:46" s="78" customFormat="1" ht="19.5" customHeight="1" x14ac:dyDescent="0.25">
      <c r="A212" s="208">
        <f t="shared" si="3"/>
        <v>40</v>
      </c>
      <c r="B212" s="208">
        <f>YEAR(Data_NFI_t[[#This Row],[Distribution Date]])</f>
        <v>2014</v>
      </c>
      <c r="C212" s="744">
        <v>41990</v>
      </c>
      <c r="D212" s="402" t="s">
        <v>270</v>
      </c>
      <c r="E212" s="401" t="s">
        <v>270</v>
      </c>
      <c r="F212" s="402" t="s">
        <v>7</v>
      </c>
      <c r="G212" s="670" t="s">
        <v>18</v>
      </c>
      <c r="H212" s="670" t="s">
        <v>822</v>
      </c>
      <c r="I212" s="670">
        <v>315</v>
      </c>
      <c r="J212" s="670"/>
      <c r="K212" s="670"/>
      <c r="L212" s="42">
        <v>315</v>
      </c>
      <c r="M212" s="42">
        <v>315</v>
      </c>
      <c r="N212" s="42">
        <v>630</v>
      </c>
      <c r="O212" s="42">
        <v>0</v>
      </c>
      <c r="P212" s="42">
        <v>630</v>
      </c>
      <c r="Q212" s="42">
        <v>186</v>
      </c>
      <c r="R212" s="42">
        <v>0</v>
      </c>
      <c r="S212" s="42">
        <v>315</v>
      </c>
      <c r="T212" s="419"/>
      <c r="U212" s="42">
        <v>930</v>
      </c>
      <c r="V212" s="42"/>
      <c r="W212" s="42"/>
      <c r="X212" s="42"/>
      <c r="Y212" s="42"/>
      <c r="Z212" s="42"/>
      <c r="AA212" s="42"/>
      <c r="AB212" s="42"/>
      <c r="AC212" s="105">
        <f>IF(NFI_Expiration=1,IF($A212&lt;VLOOKUP(I$5,NFI,5,0),1,0)*Data_NFI_t[[#This Row],[Hygiene Kit]],0)</f>
        <v>0</v>
      </c>
      <c r="AD212" s="105">
        <f>IF(NFI_Expiration=1,IF($A212&lt;VLOOKUP(L$5,NFI,5,0),1,0)*Data_NFI_t[[#This Row],[NFI Core Kit]],0)</f>
        <v>0</v>
      </c>
      <c r="AE212" s="86">
        <f>IF(NFI_Expiration=1,IF($A212&lt;VLOOKUP(M$5,NFI,5,0),1,0)*Data_NFI_t[[#This Row],[Sanitary Kit]],0)</f>
        <v>0</v>
      </c>
      <c r="AF212" s="86">
        <f>IF(NFI_Expiration=1,IF($A212&lt;VLOOKUP(N$5,NFI,5,0),1,0)*Data_NFI_t[[#This Row],[Mosquito net]],0)</f>
        <v>0</v>
      </c>
      <c r="AG212" s="86">
        <f>IF(NFI_Expiration=1,IF($A212&lt;VLOOKUP(O$5,NFI,5,0),1,0)*Data_NFI_t[[#This Row],[Tarpaulin]],0)</f>
        <v>0</v>
      </c>
      <c r="AH212" s="86">
        <f>IF(NFI_Expiration=1,IF($A212&lt;VLOOKUP(P$5,NFI,5,0),1,0)*Data_NFI_t[[#This Row],[Blanket]],0)</f>
        <v>0</v>
      </c>
      <c r="AI212" s="86">
        <f>IF(NFI_Expiration=1,IF($A212&lt;VLOOKUP(Q$5,NFI,5,0),1,0)*Data_NFI_t[[#This Row],[Kitchen Set]],0)</f>
        <v>0</v>
      </c>
      <c r="AJ212" s="86">
        <f>IF(NFI_Expiration=1,IF($A212&lt;VLOOKUP(R$5,NFI,5,0),1,0)*Data_NFI_t[[#This Row],[Complementary Kit]],0)</f>
        <v>0</v>
      </c>
      <c r="AK212" s="86">
        <f>IF(NFI_Expiration=1,IF($A212&lt;VLOOKUP(S$5,NFI,5,0),1,0)*Data_NFI_t[[#This Row],[Plastic Bucket]],0)</f>
        <v>0</v>
      </c>
      <c r="AL212" s="86">
        <f>IF(NFI_Expiration=1,IF($A212&lt;VLOOKUP(T$5,NFI,5,0),1,0)*Data_NFI_t[[#This Row],[Jerry Can]],0)</f>
        <v>0</v>
      </c>
      <c r="AM212" s="105">
        <f>IF(NFI_Expiration=1,IF($A212&lt;VLOOKUP(U$5,NFI,5,0),1,0)*Data_NFI_t[[#This Row],[Plastic Mat]],0)*IF(Data_NFI_t[[#This Row],[Distribution Date]]&gt;"01-06-2015",1,2.5)</f>
        <v>0</v>
      </c>
      <c r="AN212" s="734">
        <f>IF(NFI_Expiration=1,IF($A212&lt;VLOOKUP(V$5,NFI,5,0),1,0)*Data_NFI_t[[#This Row],[Adult Clothes]],0)</f>
        <v>0</v>
      </c>
      <c r="AO212" s="105">
        <f>IF(NFI_Expiration=1,IF($A212&lt;VLOOKUP(W$5,NFI,5,0),1,0)*Data_NFI_t[[#This Row],[Children Clothes]],0)</f>
        <v>0</v>
      </c>
      <c r="AP212" s="105">
        <f>IF(NFI_Expiration=1,IF($A212&lt;VLOOKUP(X$5,NFI,5,0),1,0)*Data_NFI_t[[#This Row],[Sewing Kit]],0)</f>
        <v>0</v>
      </c>
      <c r="AQ212" s="734">
        <f>IF(NFI_Expiration=1,IF($A212&lt;VLOOKUP(X$5,NFI,5,0),1,0)*Data_NFI_t[[#This Row],[Solar Lantern]],0)</f>
        <v>0</v>
      </c>
      <c r="AR212" s="105" t="str">
        <f ca="1">IFERROR(OFFSET(Camp_List[P_Code],MATCH(Data_NFI_t[[#This Row],[Camp Name]],Camp_List[Camp Name],0)-1,0,1,1),"")</f>
        <v/>
      </c>
      <c r="AS212" s="421" t="str">
        <f ca="1">IFERROR(OFFSET(Camp_List[Status],MATCH(Data_NFI_t[[#This Row],[Camp Name]],Camp_List[Camp Name],0)-1,0,1,1),"")</f>
        <v/>
      </c>
      <c r="AT212" s="105"/>
    </row>
    <row r="213" spans="1:46" s="78" customFormat="1" ht="19.5" customHeight="1" x14ac:dyDescent="0.25">
      <c r="A213" s="208">
        <f t="shared" si="3"/>
        <v>40.1</v>
      </c>
      <c r="B213" s="208">
        <f>YEAR(Data_NFI_t[[#This Row],[Distribution Date]])</f>
        <v>2014</v>
      </c>
      <c r="C213" s="744">
        <v>41987</v>
      </c>
      <c r="D213" s="402" t="s">
        <v>270</v>
      </c>
      <c r="E213" s="401" t="s">
        <v>270</v>
      </c>
      <c r="F213" s="402" t="s">
        <v>7</v>
      </c>
      <c r="G213" s="670" t="s">
        <v>18</v>
      </c>
      <c r="H213" s="670" t="s">
        <v>569</v>
      </c>
      <c r="I213" s="670">
        <v>170</v>
      </c>
      <c r="J213" s="670"/>
      <c r="K213" s="670"/>
      <c r="L213" s="42">
        <v>170</v>
      </c>
      <c r="M213" s="42">
        <v>170</v>
      </c>
      <c r="N213" s="42">
        <v>338</v>
      </c>
      <c r="O213" s="42">
        <v>0</v>
      </c>
      <c r="P213" s="42">
        <v>338</v>
      </c>
      <c r="Q213" s="42">
        <v>110</v>
      </c>
      <c r="R213" s="42">
        <v>0</v>
      </c>
      <c r="S213" s="42">
        <v>170</v>
      </c>
      <c r="T213" s="419"/>
      <c r="U213" s="42">
        <v>550</v>
      </c>
      <c r="V213" s="42"/>
      <c r="W213" s="42"/>
      <c r="X213" s="42"/>
      <c r="Y213" s="42"/>
      <c r="Z213" s="42"/>
      <c r="AA213" s="42"/>
      <c r="AB213" s="42"/>
      <c r="AC213" s="105">
        <f>IF(NFI_Expiration=1,IF($A213&lt;VLOOKUP(I$5,NFI,5,0),1,0)*Data_NFI_t[[#This Row],[Hygiene Kit]],0)</f>
        <v>0</v>
      </c>
      <c r="AD213" s="105">
        <f>IF(NFI_Expiration=1,IF($A213&lt;VLOOKUP(L$5,NFI,5,0),1,0)*Data_NFI_t[[#This Row],[NFI Core Kit]],0)</f>
        <v>0</v>
      </c>
      <c r="AE213" s="86">
        <f>IF(NFI_Expiration=1,IF($A213&lt;VLOOKUP(M$5,NFI,5,0),1,0)*Data_NFI_t[[#This Row],[Sanitary Kit]],0)</f>
        <v>0</v>
      </c>
      <c r="AF213" s="86">
        <f>IF(NFI_Expiration=1,IF($A213&lt;VLOOKUP(N$5,NFI,5,0),1,0)*Data_NFI_t[[#This Row],[Mosquito net]],0)</f>
        <v>0</v>
      </c>
      <c r="AG213" s="86">
        <f>IF(NFI_Expiration=1,IF($A213&lt;VLOOKUP(O$5,NFI,5,0),1,0)*Data_NFI_t[[#This Row],[Tarpaulin]],0)</f>
        <v>0</v>
      </c>
      <c r="AH213" s="86">
        <f>IF(NFI_Expiration=1,IF($A213&lt;VLOOKUP(P$5,NFI,5,0),1,0)*Data_NFI_t[[#This Row],[Blanket]],0)</f>
        <v>0</v>
      </c>
      <c r="AI213" s="86">
        <f>IF(NFI_Expiration=1,IF($A213&lt;VLOOKUP(Q$5,NFI,5,0),1,0)*Data_NFI_t[[#This Row],[Kitchen Set]],0)</f>
        <v>0</v>
      </c>
      <c r="AJ213" s="86">
        <f>IF(NFI_Expiration=1,IF($A213&lt;VLOOKUP(R$5,NFI,5,0),1,0)*Data_NFI_t[[#This Row],[Complementary Kit]],0)</f>
        <v>0</v>
      </c>
      <c r="AK213" s="86">
        <f>IF(NFI_Expiration=1,IF($A213&lt;VLOOKUP(S$5,NFI,5,0),1,0)*Data_NFI_t[[#This Row],[Plastic Bucket]],0)</f>
        <v>0</v>
      </c>
      <c r="AL213" s="86">
        <f>IF(NFI_Expiration=1,IF($A213&lt;VLOOKUP(T$5,NFI,5,0),1,0)*Data_NFI_t[[#This Row],[Jerry Can]],0)</f>
        <v>0</v>
      </c>
      <c r="AM213" s="105">
        <f>IF(NFI_Expiration=1,IF($A213&lt;VLOOKUP(U$5,NFI,5,0),1,0)*Data_NFI_t[[#This Row],[Plastic Mat]],0)*IF(Data_NFI_t[[#This Row],[Distribution Date]]&gt;"01-06-2015",1,2.5)</f>
        <v>0</v>
      </c>
      <c r="AN213" s="734">
        <f>IF(NFI_Expiration=1,IF($A213&lt;VLOOKUP(V$5,NFI,5,0),1,0)*Data_NFI_t[[#This Row],[Adult Clothes]],0)</f>
        <v>0</v>
      </c>
      <c r="AO213" s="105">
        <f>IF(NFI_Expiration=1,IF($A213&lt;VLOOKUP(W$5,NFI,5,0),1,0)*Data_NFI_t[[#This Row],[Children Clothes]],0)</f>
        <v>0</v>
      </c>
      <c r="AP213" s="105">
        <f>IF(NFI_Expiration=1,IF($A213&lt;VLOOKUP(X$5,NFI,5,0),1,0)*Data_NFI_t[[#This Row],[Sewing Kit]],0)</f>
        <v>0</v>
      </c>
      <c r="AQ213" s="734">
        <f>IF(NFI_Expiration=1,IF($A213&lt;VLOOKUP(X$5,NFI,5,0),1,0)*Data_NFI_t[[#This Row],[Solar Lantern]],0)</f>
        <v>0</v>
      </c>
      <c r="AR213" s="105" t="str">
        <f ca="1">IFERROR(OFFSET(Camp_List[P_Code],MATCH(Data_NFI_t[[#This Row],[Camp Name]],Camp_List[Camp Name],0)-1,0,1,1),"")</f>
        <v/>
      </c>
      <c r="AS213" s="421" t="str">
        <f ca="1">IFERROR(OFFSET(Camp_List[Status],MATCH(Data_NFI_t[[#This Row],[Camp Name]],Camp_List[Camp Name],0)-1,0,1,1),"")</f>
        <v/>
      </c>
      <c r="AT213" s="105"/>
    </row>
    <row r="214" spans="1:46" s="78" customFormat="1" ht="19.5" customHeight="1" x14ac:dyDescent="0.25">
      <c r="A214" s="208">
        <f t="shared" si="3"/>
        <v>43</v>
      </c>
      <c r="B214" s="208">
        <f>YEAR(Data_NFI_t[[#This Row],[Distribution Date]])</f>
        <v>2014</v>
      </c>
      <c r="C214" s="744">
        <v>41900</v>
      </c>
      <c r="D214" s="402" t="s">
        <v>270</v>
      </c>
      <c r="E214" s="401" t="s">
        <v>270</v>
      </c>
      <c r="F214" s="402" t="s">
        <v>7</v>
      </c>
      <c r="G214" s="670" t="s">
        <v>15</v>
      </c>
      <c r="H214" s="670" t="s">
        <v>55</v>
      </c>
      <c r="I214" s="670">
        <v>349</v>
      </c>
      <c r="J214" s="670"/>
      <c r="K214" s="670"/>
      <c r="L214" s="42">
        <v>349</v>
      </c>
      <c r="M214" s="42">
        <v>349</v>
      </c>
      <c r="N214" s="42">
        <v>698</v>
      </c>
      <c r="O214" s="42">
        <v>250</v>
      </c>
      <c r="P214" s="42">
        <v>698</v>
      </c>
      <c r="Q214" s="42">
        <v>250</v>
      </c>
      <c r="R214" s="42">
        <v>0</v>
      </c>
      <c r="S214" s="42">
        <v>349</v>
      </c>
      <c r="T214" s="419"/>
      <c r="U214" s="42">
        <v>1250</v>
      </c>
      <c r="V214" s="42"/>
      <c r="W214" s="42"/>
      <c r="X214" s="42"/>
      <c r="Y214" s="42"/>
      <c r="Z214" s="42"/>
      <c r="AA214" s="42"/>
      <c r="AB214" s="42"/>
      <c r="AC214" s="105">
        <f>IF(NFI_Expiration=1,IF($A214&lt;VLOOKUP(I$5,NFI,5,0),1,0)*Data_NFI_t[[#This Row],[Hygiene Kit]],0)</f>
        <v>0</v>
      </c>
      <c r="AD214" s="105">
        <f>IF(NFI_Expiration=1,IF($A214&lt;VLOOKUP(L$5,NFI,5,0),1,0)*Data_NFI_t[[#This Row],[NFI Core Kit]],0)</f>
        <v>0</v>
      </c>
      <c r="AE214" s="86">
        <f>IF(NFI_Expiration=1,IF($A214&lt;VLOOKUP(M$5,NFI,5,0),1,0)*Data_NFI_t[[#This Row],[Sanitary Kit]],0)</f>
        <v>0</v>
      </c>
      <c r="AF214" s="86">
        <f>IF(NFI_Expiration=1,IF($A214&lt;VLOOKUP(N$5,NFI,5,0),1,0)*Data_NFI_t[[#This Row],[Mosquito net]],0)</f>
        <v>0</v>
      </c>
      <c r="AG214" s="86">
        <f>IF(NFI_Expiration=1,IF($A214&lt;VLOOKUP(O$5,NFI,5,0),1,0)*Data_NFI_t[[#This Row],[Tarpaulin]],0)</f>
        <v>0</v>
      </c>
      <c r="AH214" s="86">
        <f>IF(NFI_Expiration=1,IF($A214&lt;VLOOKUP(P$5,NFI,5,0),1,0)*Data_NFI_t[[#This Row],[Blanket]],0)</f>
        <v>0</v>
      </c>
      <c r="AI214" s="86">
        <f>IF(NFI_Expiration=1,IF($A214&lt;VLOOKUP(Q$5,NFI,5,0),1,0)*Data_NFI_t[[#This Row],[Kitchen Set]],0)</f>
        <v>0</v>
      </c>
      <c r="AJ214" s="86">
        <f>IF(NFI_Expiration=1,IF($A214&lt;VLOOKUP(R$5,NFI,5,0),1,0)*Data_NFI_t[[#This Row],[Complementary Kit]],0)</f>
        <v>0</v>
      </c>
      <c r="AK214" s="86">
        <f>IF(NFI_Expiration=1,IF($A214&lt;VLOOKUP(S$5,NFI,5,0),1,0)*Data_NFI_t[[#This Row],[Plastic Bucket]],0)</f>
        <v>0</v>
      </c>
      <c r="AL214" s="86">
        <f>IF(NFI_Expiration=1,IF($A214&lt;VLOOKUP(T$5,NFI,5,0),1,0)*Data_NFI_t[[#This Row],[Jerry Can]],0)</f>
        <v>0</v>
      </c>
      <c r="AM214" s="105">
        <f>IF(NFI_Expiration=1,IF($A214&lt;VLOOKUP(U$5,NFI,5,0),1,0)*Data_NFI_t[[#This Row],[Plastic Mat]],0)*IF(Data_NFI_t[[#This Row],[Distribution Date]]&gt;"01-06-2015",1,2.5)</f>
        <v>0</v>
      </c>
      <c r="AN214" s="734">
        <f>IF(NFI_Expiration=1,IF($A214&lt;VLOOKUP(V$5,NFI,5,0),1,0)*Data_NFI_t[[#This Row],[Adult Clothes]],0)</f>
        <v>0</v>
      </c>
      <c r="AO214" s="105">
        <f>IF(NFI_Expiration=1,IF($A214&lt;VLOOKUP(W$5,NFI,5,0),1,0)*Data_NFI_t[[#This Row],[Children Clothes]],0)</f>
        <v>0</v>
      </c>
      <c r="AP214" s="105">
        <f>IF(NFI_Expiration=1,IF($A214&lt;VLOOKUP(X$5,NFI,5,0),1,0)*Data_NFI_t[[#This Row],[Sewing Kit]],0)</f>
        <v>0</v>
      </c>
      <c r="AQ214" s="734">
        <f>IF(NFI_Expiration=1,IF($A214&lt;VLOOKUP(X$5,NFI,5,0),1,0)*Data_NFI_t[[#This Row],[Solar Lantern]],0)</f>
        <v>0</v>
      </c>
      <c r="AR214" s="105" t="str">
        <f ca="1">IFERROR(OFFSET(Camp_List[P_Code],MATCH(Data_NFI_t[[#This Row],[Camp Name]],Camp_List[Camp Name],0)-1,0,1,1),"")</f>
        <v/>
      </c>
      <c r="AS214" s="421" t="str">
        <f ca="1">IFERROR(OFFSET(Camp_List[Status],MATCH(Data_NFI_t[[#This Row],[Camp Name]],Camp_List[Camp Name],0)-1,0,1,1),"")</f>
        <v/>
      </c>
      <c r="AT214" s="105"/>
    </row>
    <row r="215" spans="1:46" s="78" customFormat="1" ht="19.5" customHeight="1" x14ac:dyDescent="0.25">
      <c r="A215" s="208">
        <f t="shared" si="3"/>
        <v>43.033333333333331</v>
      </c>
      <c r="B215" s="208">
        <f>YEAR(Data_NFI_t[[#This Row],[Distribution Date]])</f>
        <v>2014</v>
      </c>
      <c r="C215" s="744">
        <v>41899</v>
      </c>
      <c r="D215" s="402" t="s">
        <v>270</v>
      </c>
      <c r="E215" s="401" t="s">
        <v>270</v>
      </c>
      <c r="F215" s="402" t="s">
        <v>7</v>
      </c>
      <c r="G215" s="670" t="s">
        <v>15</v>
      </c>
      <c r="H215" s="670" t="s">
        <v>54</v>
      </c>
      <c r="I215" s="670">
        <v>86</v>
      </c>
      <c r="J215" s="670"/>
      <c r="K215" s="670"/>
      <c r="L215" s="42">
        <v>86</v>
      </c>
      <c r="M215" s="42">
        <v>86</v>
      </c>
      <c r="N215" s="42">
        <v>170</v>
      </c>
      <c r="O215" s="42">
        <v>66</v>
      </c>
      <c r="P215" s="42">
        <v>170</v>
      </c>
      <c r="Q215" s="42">
        <v>66</v>
      </c>
      <c r="R215" s="42">
        <v>0</v>
      </c>
      <c r="S215" s="42">
        <v>86</v>
      </c>
      <c r="T215" s="419"/>
      <c r="U215" s="42">
        <v>330</v>
      </c>
      <c r="V215" s="42"/>
      <c r="W215" s="42"/>
      <c r="X215" s="42"/>
      <c r="Y215" s="42"/>
      <c r="Z215" s="42"/>
      <c r="AA215" s="42"/>
      <c r="AB215" s="42"/>
      <c r="AC215" s="105">
        <f>IF(NFI_Expiration=1,IF($A215&lt;VLOOKUP(I$5,NFI,5,0),1,0)*Data_NFI_t[[#This Row],[Hygiene Kit]],0)</f>
        <v>0</v>
      </c>
      <c r="AD215" s="105">
        <f>IF(NFI_Expiration=1,IF($A215&lt;VLOOKUP(L$5,NFI,5,0),1,0)*Data_NFI_t[[#This Row],[NFI Core Kit]],0)</f>
        <v>0</v>
      </c>
      <c r="AE215" s="86">
        <f>IF(NFI_Expiration=1,IF($A215&lt;VLOOKUP(M$5,NFI,5,0),1,0)*Data_NFI_t[[#This Row],[Sanitary Kit]],0)</f>
        <v>0</v>
      </c>
      <c r="AF215" s="86">
        <f>IF(NFI_Expiration=1,IF($A215&lt;VLOOKUP(N$5,NFI,5,0),1,0)*Data_NFI_t[[#This Row],[Mosquito net]],0)</f>
        <v>0</v>
      </c>
      <c r="AG215" s="86">
        <f>IF(NFI_Expiration=1,IF($A215&lt;VLOOKUP(O$5,NFI,5,0),1,0)*Data_NFI_t[[#This Row],[Tarpaulin]],0)</f>
        <v>0</v>
      </c>
      <c r="AH215" s="86">
        <f>IF(NFI_Expiration=1,IF($A215&lt;VLOOKUP(P$5,NFI,5,0),1,0)*Data_NFI_t[[#This Row],[Blanket]],0)</f>
        <v>0</v>
      </c>
      <c r="AI215" s="86">
        <f>IF(NFI_Expiration=1,IF($A215&lt;VLOOKUP(Q$5,NFI,5,0),1,0)*Data_NFI_t[[#This Row],[Kitchen Set]],0)</f>
        <v>0</v>
      </c>
      <c r="AJ215" s="86">
        <f>IF(NFI_Expiration=1,IF($A215&lt;VLOOKUP(R$5,NFI,5,0),1,0)*Data_NFI_t[[#This Row],[Complementary Kit]],0)</f>
        <v>0</v>
      </c>
      <c r="AK215" s="86">
        <f>IF(NFI_Expiration=1,IF($A215&lt;VLOOKUP(S$5,NFI,5,0),1,0)*Data_NFI_t[[#This Row],[Plastic Bucket]],0)</f>
        <v>0</v>
      </c>
      <c r="AL215" s="86">
        <f>IF(NFI_Expiration=1,IF($A215&lt;VLOOKUP(T$5,NFI,5,0),1,0)*Data_NFI_t[[#This Row],[Jerry Can]],0)</f>
        <v>0</v>
      </c>
      <c r="AM215" s="105">
        <f>IF(NFI_Expiration=1,IF($A215&lt;VLOOKUP(U$5,NFI,5,0),1,0)*Data_NFI_t[[#This Row],[Plastic Mat]],0)*IF(Data_NFI_t[[#This Row],[Distribution Date]]&gt;"01-06-2015",1,2.5)</f>
        <v>0</v>
      </c>
      <c r="AN215" s="734">
        <f>IF(NFI_Expiration=1,IF($A215&lt;VLOOKUP(V$5,NFI,5,0),1,0)*Data_NFI_t[[#This Row],[Adult Clothes]],0)</f>
        <v>0</v>
      </c>
      <c r="AO215" s="105">
        <f>IF(NFI_Expiration=1,IF($A215&lt;VLOOKUP(W$5,NFI,5,0),1,0)*Data_NFI_t[[#This Row],[Children Clothes]],0)</f>
        <v>0</v>
      </c>
      <c r="AP215" s="105">
        <f>IF(NFI_Expiration=1,IF($A215&lt;VLOOKUP(X$5,NFI,5,0),1,0)*Data_NFI_t[[#This Row],[Sewing Kit]],0)</f>
        <v>0</v>
      </c>
      <c r="AQ215" s="734">
        <f>IF(NFI_Expiration=1,IF($A215&lt;VLOOKUP(X$5,NFI,5,0),1,0)*Data_NFI_t[[#This Row],[Solar Lantern]],0)</f>
        <v>0</v>
      </c>
      <c r="AR215" s="105" t="str">
        <f ca="1">IFERROR(OFFSET(Camp_List[P_Code],MATCH(Data_NFI_t[[#This Row],[Camp Name]],Camp_List[Camp Name],0)-1,0,1,1),"")</f>
        <v>MMR012CMP032</v>
      </c>
      <c r="AS215" s="421" t="str">
        <f ca="1">IFERROR(OFFSET(Camp_List[Status],MATCH(Data_NFI_t[[#This Row],[Camp Name]],Camp_List[Camp Name],0)-1,0,1,1),"")</f>
        <v>Returned</v>
      </c>
      <c r="AT215" s="105"/>
    </row>
    <row r="216" spans="1:46" s="78" customFormat="1" ht="19.5" customHeight="1" x14ac:dyDescent="0.25">
      <c r="A216" s="208">
        <f t="shared" si="3"/>
        <v>43.06666666666667</v>
      </c>
      <c r="B216" s="208">
        <f>YEAR(Data_NFI_t[[#This Row],[Distribution Date]])</f>
        <v>2014</v>
      </c>
      <c r="C216" s="744">
        <v>41898</v>
      </c>
      <c r="D216" s="402" t="s">
        <v>270</v>
      </c>
      <c r="E216" s="401" t="s">
        <v>270</v>
      </c>
      <c r="F216" s="402" t="s">
        <v>7</v>
      </c>
      <c r="G216" s="670" t="s">
        <v>15</v>
      </c>
      <c r="H216" s="670" t="s">
        <v>53</v>
      </c>
      <c r="I216" s="670">
        <v>102</v>
      </c>
      <c r="J216" s="670"/>
      <c r="K216" s="670"/>
      <c r="L216" s="42">
        <v>102</v>
      </c>
      <c r="M216" s="42">
        <v>102</v>
      </c>
      <c r="N216" s="42">
        <v>206</v>
      </c>
      <c r="O216" s="42">
        <v>66</v>
      </c>
      <c r="P216" s="42">
        <v>206</v>
      </c>
      <c r="Q216" s="42">
        <v>66</v>
      </c>
      <c r="R216" s="42">
        <v>0</v>
      </c>
      <c r="S216" s="42">
        <v>102</v>
      </c>
      <c r="T216" s="419"/>
      <c r="U216" s="42">
        <v>330</v>
      </c>
      <c r="V216" s="42"/>
      <c r="W216" s="42"/>
      <c r="X216" s="42"/>
      <c r="Y216" s="42"/>
      <c r="Z216" s="42"/>
      <c r="AA216" s="42"/>
      <c r="AB216" s="42"/>
      <c r="AC216" s="105">
        <f>IF(NFI_Expiration=1,IF($A216&lt;VLOOKUP(I$5,NFI,5,0),1,0)*Data_NFI_t[[#This Row],[Hygiene Kit]],0)</f>
        <v>0</v>
      </c>
      <c r="AD216" s="105">
        <f>IF(NFI_Expiration=1,IF($A216&lt;VLOOKUP(L$5,NFI,5,0),1,0)*Data_NFI_t[[#This Row],[NFI Core Kit]],0)</f>
        <v>0</v>
      </c>
      <c r="AE216" s="86">
        <f>IF(NFI_Expiration=1,IF($A216&lt;VLOOKUP(M$5,NFI,5,0),1,0)*Data_NFI_t[[#This Row],[Sanitary Kit]],0)</f>
        <v>0</v>
      </c>
      <c r="AF216" s="86">
        <f>IF(NFI_Expiration=1,IF($A216&lt;VLOOKUP(N$5,NFI,5,0),1,0)*Data_NFI_t[[#This Row],[Mosquito net]],0)</f>
        <v>0</v>
      </c>
      <c r="AG216" s="86">
        <f>IF(NFI_Expiration=1,IF($A216&lt;VLOOKUP(O$5,NFI,5,0),1,0)*Data_NFI_t[[#This Row],[Tarpaulin]],0)</f>
        <v>0</v>
      </c>
      <c r="AH216" s="86">
        <f>IF(NFI_Expiration=1,IF($A216&lt;VLOOKUP(P$5,NFI,5,0),1,0)*Data_NFI_t[[#This Row],[Blanket]],0)</f>
        <v>0</v>
      </c>
      <c r="AI216" s="86">
        <f>IF(NFI_Expiration=1,IF($A216&lt;VLOOKUP(Q$5,NFI,5,0),1,0)*Data_NFI_t[[#This Row],[Kitchen Set]],0)</f>
        <v>0</v>
      </c>
      <c r="AJ216" s="86">
        <f>IF(NFI_Expiration=1,IF($A216&lt;VLOOKUP(R$5,NFI,5,0),1,0)*Data_NFI_t[[#This Row],[Complementary Kit]],0)</f>
        <v>0</v>
      </c>
      <c r="AK216" s="86">
        <f>IF(NFI_Expiration=1,IF($A216&lt;VLOOKUP(S$5,NFI,5,0),1,0)*Data_NFI_t[[#This Row],[Plastic Bucket]],0)</f>
        <v>0</v>
      </c>
      <c r="AL216" s="86">
        <f>IF(NFI_Expiration=1,IF($A216&lt;VLOOKUP(T$5,NFI,5,0),1,0)*Data_NFI_t[[#This Row],[Jerry Can]],0)</f>
        <v>0</v>
      </c>
      <c r="AM216" s="105">
        <f>IF(NFI_Expiration=1,IF($A216&lt;VLOOKUP(U$5,NFI,5,0),1,0)*Data_NFI_t[[#This Row],[Plastic Mat]],0)*IF(Data_NFI_t[[#This Row],[Distribution Date]]&gt;"01-06-2015",1,2.5)</f>
        <v>0</v>
      </c>
      <c r="AN216" s="734">
        <f>IF(NFI_Expiration=1,IF($A216&lt;VLOOKUP(V$5,NFI,5,0),1,0)*Data_NFI_t[[#This Row],[Adult Clothes]],0)</f>
        <v>0</v>
      </c>
      <c r="AO216" s="105">
        <f>IF(NFI_Expiration=1,IF($A216&lt;VLOOKUP(W$5,NFI,5,0),1,0)*Data_NFI_t[[#This Row],[Children Clothes]],0)</f>
        <v>0</v>
      </c>
      <c r="AP216" s="105">
        <f>IF(NFI_Expiration=1,IF($A216&lt;VLOOKUP(X$5,NFI,5,0),1,0)*Data_NFI_t[[#This Row],[Sewing Kit]],0)</f>
        <v>0</v>
      </c>
      <c r="AQ216" s="734">
        <f>IF(NFI_Expiration=1,IF($A216&lt;VLOOKUP(X$5,NFI,5,0),1,0)*Data_NFI_t[[#This Row],[Solar Lantern]],0)</f>
        <v>0</v>
      </c>
      <c r="AR216" s="105" t="str">
        <f ca="1">IFERROR(OFFSET(Camp_List[P_Code],MATCH(Data_NFI_t[[#This Row],[Camp Name]],Camp_List[Camp Name],0)-1,0,1,1),"")</f>
        <v>MMR012CMP031</v>
      </c>
      <c r="AS216" s="421" t="str">
        <f ca="1">IFERROR(OFFSET(Camp_List[Status],MATCH(Data_NFI_t[[#This Row],[Camp Name]],Camp_List[Camp Name],0)-1,0,1,1),"")</f>
        <v>Returned</v>
      </c>
      <c r="AT216" s="105"/>
    </row>
    <row r="217" spans="1:46" s="78" customFormat="1" ht="19.5" customHeight="1" x14ac:dyDescent="0.25">
      <c r="A217" s="208">
        <f t="shared" si="3"/>
        <v>43.7</v>
      </c>
      <c r="B217" s="208">
        <f>YEAR(Data_NFI_t[[#This Row],[Distribution Date]])</f>
        <v>2014</v>
      </c>
      <c r="C217" s="744">
        <v>41879</v>
      </c>
      <c r="D217" s="402" t="s">
        <v>273</v>
      </c>
      <c r="E217" s="401" t="s">
        <v>273</v>
      </c>
      <c r="F217" s="402" t="s">
        <v>7</v>
      </c>
      <c r="G217" s="670" t="s">
        <v>17</v>
      </c>
      <c r="H217" s="670" t="s">
        <v>582</v>
      </c>
      <c r="I217" s="670"/>
      <c r="J217" s="670"/>
      <c r="K217" s="670"/>
      <c r="L217" s="42"/>
      <c r="M217" s="42"/>
      <c r="N217" s="42">
        <v>2624</v>
      </c>
      <c r="O217" s="42">
        <v>1312</v>
      </c>
      <c r="P217" s="42">
        <v>2624</v>
      </c>
      <c r="Q217" s="42">
        <v>1312</v>
      </c>
      <c r="R217" s="42"/>
      <c r="S217" s="42">
        <v>1312</v>
      </c>
      <c r="T217" s="419"/>
      <c r="U217" s="42">
        <v>3936</v>
      </c>
      <c r="V217" s="42"/>
      <c r="W217" s="42"/>
      <c r="X217" s="42"/>
      <c r="Y217" s="42"/>
      <c r="Z217" s="42"/>
      <c r="AA217" s="42"/>
      <c r="AB217" s="42"/>
      <c r="AC217" s="105">
        <f>IF(NFI_Expiration=1,IF($A217&lt;VLOOKUP(I$5,NFI,5,0),1,0)*Data_NFI_t[[#This Row],[Hygiene Kit]],0)</f>
        <v>0</v>
      </c>
      <c r="AD217" s="105">
        <f>IF(NFI_Expiration=1,IF($A217&lt;VLOOKUP(L$5,NFI,5,0),1,0)*Data_NFI_t[[#This Row],[NFI Core Kit]],0)</f>
        <v>0</v>
      </c>
      <c r="AE217" s="86">
        <f>IF(NFI_Expiration=1,IF($A217&lt;VLOOKUP(M$5,NFI,5,0),1,0)*Data_NFI_t[[#This Row],[Sanitary Kit]],0)</f>
        <v>0</v>
      </c>
      <c r="AF217" s="86">
        <f>IF(NFI_Expiration=1,IF($A217&lt;VLOOKUP(N$5,NFI,5,0),1,0)*Data_NFI_t[[#This Row],[Mosquito net]],0)</f>
        <v>0</v>
      </c>
      <c r="AG217" s="86">
        <f>IF(NFI_Expiration=1,IF($A217&lt;VLOOKUP(O$5,NFI,5,0),1,0)*Data_NFI_t[[#This Row],[Tarpaulin]],0)</f>
        <v>0</v>
      </c>
      <c r="AH217" s="86">
        <f>IF(NFI_Expiration=1,IF($A217&lt;VLOOKUP(P$5,NFI,5,0),1,0)*Data_NFI_t[[#This Row],[Blanket]],0)</f>
        <v>0</v>
      </c>
      <c r="AI217" s="86">
        <f>IF(NFI_Expiration=1,IF($A217&lt;VLOOKUP(Q$5,NFI,5,0),1,0)*Data_NFI_t[[#This Row],[Kitchen Set]],0)</f>
        <v>0</v>
      </c>
      <c r="AJ217" s="86">
        <f>IF(NFI_Expiration=1,IF($A217&lt;VLOOKUP(R$5,NFI,5,0),1,0)*Data_NFI_t[[#This Row],[Complementary Kit]],0)</f>
        <v>0</v>
      </c>
      <c r="AK217" s="86">
        <f>IF(NFI_Expiration=1,IF($A217&lt;VLOOKUP(S$5,NFI,5,0),1,0)*Data_NFI_t[[#This Row],[Plastic Bucket]],0)</f>
        <v>0</v>
      </c>
      <c r="AL217" s="86">
        <f>IF(NFI_Expiration=1,IF($A217&lt;VLOOKUP(T$5,NFI,5,0),1,0)*Data_NFI_t[[#This Row],[Jerry Can]],0)</f>
        <v>0</v>
      </c>
      <c r="AM217" s="105">
        <f>IF(NFI_Expiration=1,IF($A217&lt;VLOOKUP(U$5,NFI,5,0),1,0)*Data_NFI_t[[#This Row],[Plastic Mat]],0)*IF(Data_NFI_t[[#This Row],[Distribution Date]]&gt;"01-06-2015",1,2.5)</f>
        <v>0</v>
      </c>
      <c r="AN217" s="734">
        <f>IF(NFI_Expiration=1,IF($A217&lt;VLOOKUP(V$5,NFI,5,0),1,0)*Data_NFI_t[[#This Row],[Adult Clothes]],0)</f>
        <v>0</v>
      </c>
      <c r="AO217" s="105">
        <f>IF(NFI_Expiration=1,IF($A217&lt;VLOOKUP(W$5,NFI,5,0),1,0)*Data_NFI_t[[#This Row],[Children Clothes]],0)</f>
        <v>0</v>
      </c>
      <c r="AP217" s="105">
        <f>IF(NFI_Expiration=1,IF($A217&lt;VLOOKUP(X$5,NFI,5,0),1,0)*Data_NFI_t[[#This Row],[Sewing Kit]],0)</f>
        <v>0</v>
      </c>
      <c r="AQ217" s="734">
        <f>IF(NFI_Expiration=1,IF($A217&lt;VLOOKUP(X$5,NFI,5,0),1,0)*Data_NFI_t[[#This Row],[Solar Lantern]],0)</f>
        <v>0</v>
      </c>
      <c r="AR217" s="105" t="str">
        <f ca="1">IFERROR(OFFSET(Camp_List[P_Code],MATCH(Data_NFI_t[[#This Row],[Camp Name]],Camp_List[Camp Name],0)-1,0,1,1),"")</f>
        <v>MMR012CMP114</v>
      </c>
      <c r="AS217" s="421" t="str">
        <f ca="1">IFERROR(OFFSET(Camp_List[Status],MATCH(Data_NFI_t[[#This Row],[Camp Name]],Camp_List[Camp Name],0)-1,0,1,1),"")</f>
        <v>Open</v>
      </c>
      <c r="AT217" s="105"/>
    </row>
    <row r="218" spans="1:46" s="78" customFormat="1" ht="19.5" customHeight="1" x14ac:dyDescent="0.25">
      <c r="A218" s="208">
        <f t="shared" si="3"/>
        <v>43.766666666666666</v>
      </c>
      <c r="B218" s="208">
        <f>YEAR(Data_NFI_t[[#This Row],[Distribution Date]])</f>
        <v>2014</v>
      </c>
      <c r="C218" s="744">
        <v>41877</v>
      </c>
      <c r="D218" s="402" t="s">
        <v>273</v>
      </c>
      <c r="E218" s="401" t="s">
        <v>273</v>
      </c>
      <c r="F218" s="402" t="s">
        <v>7</v>
      </c>
      <c r="G218" s="670" t="s">
        <v>17</v>
      </c>
      <c r="H218" s="670" t="s">
        <v>581</v>
      </c>
      <c r="I218" s="670"/>
      <c r="J218" s="670"/>
      <c r="K218" s="670"/>
      <c r="L218" s="42"/>
      <c r="M218" s="42"/>
      <c r="N218" s="42">
        <v>2020</v>
      </c>
      <c r="O218" s="42">
        <v>1010</v>
      </c>
      <c r="P218" s="42">
        <v>2020</v>
      </c>
      <c r="Q218" s="42">
        <v>1010</v>
      </c>
      <c r="R218" s="42"/>
      <c r="S218" s="42">
        <v>1010</v>
      </c>
      <c r="T218" s="419"/>
      <c r="U218" s="42">
        <v>3030</v>
      </c>
      <c r="V218" s="42"/>
      <c r="W218" s="42"/>
      <c r="X218" s="42"/>
      <c r="Y218" s="42"/>
      <c r="Z218" s="42"/>
      <c r="AA218" s="42"/>
      <c r="AB218" s="42"/>
      <c r="AC218" s="105">
        <f>IF(NFI_Expiration=1,IF($A218&lt;VLOOKUP(I$5,NFI,5,0),1,0)*Data_NFI_t[[#This Row],[Hygiene Kit]],0)</f>
        <v>0</v>
      </c>
      <c r="AD218" s="105">
        <f>IF(NFI_Expiration=1,IF($A218&lt;VLOOKUP(L$5,NFI,5,0),1,0)*Data_NFI_t[[#This Row],[NFI Core Kit]],0)</f>
        <v>0</v>
      </c>
      <c r="AE218" s="86">
        <f>IF(NFI_Expiration=1,IF($A218&lt;VLOOKUP(M$5,NFI,5,0),1,0)*Data_NFI_t[[#This Row],[Sanitary Kit]],0)</f>
        <v>0</v>
      </c>
      <c r="AF218" s="86">
        <f>IF(NFI_Expiration=1,IF($A218&lt;VLOOKUP(N$5,NFI,5,0),1,0)*Data_NFI_t[[#This Row],[Mosquito net]],0)</f>
        <v>0</v>
      </c>
      <c r="AG218" s="86">
        <f>IF(NFI_Expiration=1,IF($A218&lt;VLOOKUP(O$5,NFI,5,0),1,0)*Data_NFI_t[[#This Row],[Tarpaulin]],0)</f>
        <v>0</v>
      </c>
      <c r="AH218" s="86">
        <f>IF(NFI_Expiration=1,IF($A218&lt;VLOOKUP(P$5,NFI,5,0),1,0)*Data_NFI_t[[#This Row],[Blanket]],0)</f>
        <v>0</v>
      </c>
      <c r="AI218" s="86">
        <f>IF(NFI_Expiration=1,IF($A218&lt;VLOOKUP(Q$5,NFI,5,0),1,0)*Data_NFI_t[[#This Row],[Kitchen Set]],0)</f>
        <v>0</v>
      </c>
      <c r="AJ218" s="86">
        <f>IF(NFI_Expiration=1,IF($A218&lt;VLOOKUP(R$5,NFI,5,0),1,0)*Data_NFI_t[[#This Row],[Complementary Kit]],0)</f>
        <v>0</v>
      </c>
      <c r="AK218" s="86">
        <f>IF(NFI_Expiration=1,IF($A218&lt;VLOOKUP(S$5,NFI,5,0),1,0)*Data_NFI_t[[#This Row],[Plastic Bucket]],0)</f>
        <v>0</v>
      </c>
      <c r="AL218" s="86">
        <f>IF(NFI_Expiration=1,IF($A218&lt;VLOOKUP(T$5,NFI,5,0),1,0)*Data_NFI_t[[#This Row],[Jerry Can]],0)</f>
        <v>0</v>
      </c>
      <c r="AM218" s="105">
        <f>IF(NFI_Expiration=1,IF($A218&lt;VLOOKUP(U$5,NFI,5,0),1,0)*Data_NFI_t[[#This Row],[Plastic Mat]],0)*IF(Data_NFI_t[[#This Row],[Distribution Date]]&gt;"01-06-2015",1,2.5)</f>
        <v>0</v>
      </c>
      <c r="AN218" s="734">
        <f>IF(NFI_Expiration=1,IF($A218&lt;VLOOKUP(V$5,NFI,5,0),1,0)*Data_NFI_t[[#This Row],[Adult Clothes]],0)</f>
        <v>0</v>
      </c>
      <c r="AO218" s="105">
        <f>IF(NFI_Expiration=1,IF($A218&lt;VLOOKUP(W$5,NFI,5,0),1,0)*Data_NFI_t[[#This Row],[Children Clothes]],0)</f>
        <v>0</v>
      </c>
      <c r="AP218" s="105">
        <f>IF(NFI_Expiration=1,IF($A218&lt;VLOOKUP(X$5,NFI,5,0),1,0)*Data_NFI_t[[#This Row],[Sewing Kit]],0)</f>
        <v>0</v>
      </c>
      <c r="AQ218" s="734">
        <f>IF(NFI_Expiration=1,IF($A218&lt;VLOOKUP(X$5,NFI,5,0),1,0)*Data_NFI_t[[#This Row],[Solar Lantern]],0)</f>
        <v>0</v>
      </c>
      <c r="AR218" s="105" t="str">
        <f ca="1">IFERROR(OFFSET(Camp_List[P_Code],MATCH(Data_NFI_t[[#This Row],[Camp Name]],Camp_List[Camp Name],0)-1,0,1,1),"")</f>
        <v>MMR012CMP113</v>
      </c>
      <c r="AS218" s="421" t="str">
        <f ca="1">IFERROR(OFFSET(Camp_List[Status],MATCH(Data_NFI_t[[#This Row],[Camp Name]],Camp_List[Camp Name],0)-1,0,1,1),"")</f>
        <v>Open</v>
      </c>
      <c r="AT218" s="105"/>
    </row>
    <row r="219" spans="1:46" s="78" customFormat="1" ht="19.5" customHeight="1" x14ac:dyDescent="0.25">
      <c r="A219" s="208">
        <f t="shared" si="3"/>
        <v>44.166666666666664</v>
      </c>
      <c r="B219" s="208">
        <f>YEAR(Data_NFI_t[[#This Row],[Distribution Date]])</f>
        <v>2014</v>
      </c>
      <c r="C219" s="744">
        <v>41865</v>
      </c>
      <c r="D219" s="402" t="s">
        <v>575</v>
      </c>
      <c r="E219" s="401" t="s">
        <v>575</v>
      </c>
      <c r="F219" s="402" t="s">
        <v>7</v>
      </c>
      <c r="G219" s="670" t="s">
        <v>17</v>
      </c>
      <c r="H219" s="670" t="s">
        <v>76</v>
      </c>
      <c r="I219" s="670"/>
      <c r="J219" s="670"/>
      <c r="K219" s="670"/>
      <c r="L219" s="42"/>
      <c r="M219" s="42"/>
      <c r="N219" s="42">
        <v>2</v>
      </c>
      <c r="O219" s="42">
        <v>1</v>
      </c>
      <c r="P219" s="42">
        <v>2</v>
      </c>
      <c r="Q219" s="42">
        <v>1</v>
      </c>
      <c r="R219" s="42"/>
      <c r="S219" s="42">
        <v>1</v>
      </c>
      <c r="T219" s="419"/>
      <c r="U219" s="42">
        <v>5</v>
      </c>
      <c r="V219" s="42"/>
      <c r="W219" s="42"/>
      <c r="X219" s="42"/>
      <c r="Y219" s="42"/>
      <c r="Z219" s="42"/>
      <c r="AA219" s="42"/>
      <c r="AB219" s="42"/>
      <c r="AC219" s="105">
        <f>IF(NFI_Expiration=1,IF($A219&lt;VLOOKUP(I$5,NFI,5,0),1,0)*Data_NFI_t[[#This Row],[Hygiene Kit]],0)</f>
        <v>0</v>
      </c>
      <c r="AD219" s="105">
        <f>IF(NFI_Expiration=1,IF($A219&lt;VLOOKUP(L$5,NFI,5,0),1,0)*Data_NFI_t[[#This Row],[NFI Core Kit]],0)</f>
        <v>0</v>
      </c>
      <c r="AE219" s="86">
        <f>IF(NFI_Expiration=1,IF($A219&lt;VLOOKUP(M$5,NFI,5,0),1,0)*Data_NFI_t[[#This Row],[Sanitary Kit]],0)</f>
        <v>0</v>
      </c>
      <c r="AF219" s="86">
        <f>IF(NFI_Expiration=1,IF($A219&lt;VLOOKUP(N$5,NFI,5,0),1,0)*Data_NFI_t[[#This Row],[Mosquito net]],0)</f>
        <v>0</v>
      </c>
      <c r="AG219" s="86">
        <f>IF(NFI_Expiration=1,IF($A219&lt;VLOOKUP(O$5,NFI,5,0),1,0)*Data_NFI_t[[#This Row],[Tarpaulin]],0)</f>
        <v>0</v>
      </c>
      <c r="AH219" s="86">
        <f>IF(NFI_Expiration=1,IF($A219&lt;VLOOKUP(P$5,NFI,5,0),1,0)*Data_NFI_t[[#This Row],[Blanket]],0)</f>
        <v>0</v>
      </c>
      <c r="AI219" s="86">
        <f>IF(NFI_Expiration=1,IF($A219&lt;VLOOKUP(Q$5,NFI,5,0),1,0)*Data_NFI_t[[#This Row],[Kitchen Set]],0)</f>
        <v>0</v>
      </c>
      <c r="AJ219" s="86">
        <f>IF(NFI_Expiration=1,IF($A219&lt;VLOOKUP(R$5,NFI,5,0),1,0)*Data_NFI_t[[#This Row],[Complementary Kit]],0)</f>
        <v>0</v>
      </c>
      <c r="AK219" s="86">
        <f>IF(NFI_Expiration=1,IF($A219&lt;VLOOKUP(S$5,NFI,5,0),1,0)*Data_NFI_t[[#This Row],[Plastic Bucket]],0)</f>
        <v>0</v>
      </c>
      <c r="AL219" s="86">
        <f>IF(NFI_Expiration=1,IF($A219&lt;VLOOKUP(T$5,NFI,5,0),1,0)*Data_NFI_t[[#This Row],[Jerry Can]],0)</f>
        <v>0</v>
      </c>
      <c r="AM219" s="105">
        <f>IF(NFI_Expiration=1,IF($A219&lt;VLOOKUP(U$5,NFI,5,0),1,0)*Data_NFI_t[[#This Row],[Plastic Mat]],0)*IF(Data_NFI_t[[#This Row],[Distribution Date]]&gt;"01-06-2015",1,2.5)</f>
        <v>0</v>
      </c>
      <c r="AN219" s="734">
        <f>IF(NFI_Expiration=1,IF($A219&lt;VLOOKUP(V$5,NFI,5,0),1,0)*Data_NFI_t[[#This Row],[Adult Clothes]],0)</f>
        <v>0</v>
      </c>
      <c r="AO219" s="105">
        <f>IF(NFI_Expiration=1,IF($A219&lt;VLOOKUP(W$5,NFI,5,0),1,0)*Data_NFI_t[[#This Row],[Children Clothes]],0)</f>
        <v>0</v>
      </c>
      <c r="AP219" s="105">
        <f>IF(NFI_Expiration=1,IF($A219&lt;VLOOKUP(X$5,NFI,5,0),1,0)*Data_NFI_t[[#This Row],[Sewing Kit]],0)</f>
        <v>0</v>
      </c>
      <c r="AQ219" s="734">
        <f>IF(NFI_Expiration=1,IF($A219&lt;VLOOKUP(X$5,NFI,5,0),1,0)*Data_NFI_t[[#This Row],[Solar Lantern]],0)</f>
        <v>0</v>
      </c>
      <c r="AR219" s="105" t="str">
        <f ca="1">IFERROR(OFFSET(Camp_List[P_Code],MATCH(Data_NFI_t[[#This Row],[Camp Name]],Camp_List[Camp Name],0)-1,0,1,1),"")</f>
        <v>MMR012CMP056</v>
      </c>
      <c r="AS219" s="421" t="str">
        <f ca="1">IFERROR(OFFSET(Camp_List[Status],MATCH(Data_NFI_t[[#This Row],[Camp Name]],Camp_List[Camp Name],0)-1,0,1,1),"")</f>
        <v>Relocated</v>
      </c>
      <c r="AT219" s="105"/>
    </row>
    <row r="220" spans="1:46" s="78" customFormat="1" ht="19.5" customHeight="1" x14ac:dyDescent="0.25">
      <c r="A220" s="208">
        <f t="shared" si="3"/>
        <v>44.166666666666664</v>
      </c>
      <c r="B220" s="208">
        <f>YEAR(Data_NFI_t[[#This Row],[Distribution Date]])</f>
        <v>2014</v>
      </c>
      <c r="C220" s="744">
        <v>41865</v>
      </c>
      <c r="D220" s="402" t="s">
        <v>575</v>
      </c>
      <c r="E220" s="401" t="s">
        <v>575</v>
      </c>
      <c r="F220" s="402" t="s">
        <v>7</v>
      </c>
      <c r="G220" s="670" t="s">
        <v>17</v>
      </c>
      <c r="H220" s="670" t="s">
        <v>232</v>
      </c>
      <c r="I220" s="670"/>
      <c r="J220" s="670"/>
      <c r="K220" s="670"/>
      <c r="L220" s="42"/>
      <c r="M220" s="42"/>
      <c r="N220" s="42">
        <v>2</v>
      </c>
      <c r="O220" s="42">
        <v>1</v>
      </c>
      <c r="P220" s="42">
        <v>2</v>
      </c>
      <c r="Q220" s="42">
        <v>1</v>
      </c>
      <c r="R220" s="42"/>
      <c r="S220" s="42">
        <v>1</v>
      </c>
      <c r="T220" s="419"/>
      <c r="U220" s="42">
        <v>5</v>
      </c>
      <c r="V220" s="42"/>
      <c r="W220" s="42"/>
      <c r="X220" s="42"/>
      <c r="Y220" s="42"/>
      <c r="Z220" s="42"/>
      <c r="AA220" s="42"/>
      <c r="AB220" s="42"/>
      <c r="AC220" s="105">
        <f>IF(NFI_Expiration=1,IF($A220&lt;VLOOKUP(I$5,NFI,5,0),1,0)*Data_NFI_t[[#This Row],[Hygiene Kit]],0)</f>
        <v>0</v>
      </c>
      <c r="AD220" s="105">
        <f>IF(NFI_Expiration=1,IF($A220&lt;VLOOKUP(L$5,NFI,5,0),1,0)*Data_NFI_t[[#This Row],[NFI Core Kit]],0)</f>
        <v>0</v>
      </c>
      <c r="AE220" s="86">
        <f>IF(NFI_Expiration=1,IF($A220&lt;VLOOKUP(M$5,NFI,5,0),1,0)*Data_NFI_t[[#This Row],[Sanitary Kit]],0)</f>
        <v>0</v>
      </c>
      <c r="AF220" s="86">
        <f>IF(NFI_Expiration=1,IF($A220&lt;VLOOKUP(N$5,NFI,5,0),1,0)*Data_NFI_t[[#This Row],[Mosquito net]],0)</f>
        <v>0</v>
      </c>
      <c r="AG220" s="86">
        <f>IF(NFI_Expiration=1,IF($A220&lt;VLOOKUP(O$5,NFI,5,0),1,0)*Data_NFI_t[[#This Row],[Tarpaulin]],0)</f>
        <v>0</v>
      </c>
      <c r="AH220" s="86">
        <f>IF(NFI_Expiration=1,IF($A220&lt;VLOOKUP(P$5,NFI,5,0),1,0)*Data_NFI_t[[#This Row],[Blanket]],0)</f>
        <v>0</v>
      </c>
      <c r="AI220" s="86">
        <f>IF(NFI_Expiration=1,IF($A220&lt;VLOOKUP(Q$5,NFI,5,0),1,0)*Data_NFI_t[[#This Row],[Kitchen Set]],0)</f>
        <v>0</v>
      </c>
      <c r="AJ220" s="86">
        <f>IF(NFI_Expiration=1,IF($A220&lt;VLOOKUP(R$5,NFI,5,0),1,0)*Data_NFI_t[[#This Row],[Complementary Kit]],0)</f>
        <v>0</v>
      </c>
      <c r="AK220" s="86">
        <f>IF(NFI_Expiration=1,IF($A220&lt;VLOOKUP(S$5,NFI,5,0),1,0)*Data_NFI_t[[#This Row],[Plastic Bucket]],0)</f>
        <v>0</v>
      </c>
      <c r="AL220" s="86">
        <f>IF(NFI_Expiration=1,IF($A220&lt;VLOOKUP(T$5,NFI,5,0),1,0)*Data_NFI_t[[#This Row],[Jerry Can]],0)</f>
        <v>0</v>
      </c>
      <c r="AM220" s="105">
        <f>IF(NFI_Expiration=1,IF($A220&lt;VLOOKUP(U$5,NFI,5,0),1,0)*Data_NFI_t[[#This Row],[Plastic Mat]],0)*IF(Data_NFI_t[[#This Row],[Distribution Date]]&gt;"01-06-2015",1,2.5)</f>
        <v>0</v>
      </c>
      <c r="AN220" s="734">
        <f>IF(NFI_Expiration=1,IF($A220&lt;VLOOKUP(V$5,NFI,5,0),1,0)*Data_NFI_t[[#This Row],[Adult Clothes]],0)</f>
        <v>0</v>
      </c>
      <c r="AO220" s="105">
        <f>IF(NFI_Expiration=1,IF($A220&lt;VLOOKUP(W$5,NFI,5,0),1,0)*Data_NFI_t[[#This Row],[Children Clothes]],0)</f>
        <v>0</v>
      </c>
      <c r="AP220" s="105">
        <f>IF(NFI_Expiration=1,IF($A220&lt;VLOOKUP(X$5,NFI,5,0),1,0)*Data_NFI_t[[#This Row],[Sewing Kit]],0)</f>
        <v>0</v>
      </c>
      <c r="AQ220" s="734">
        <f>IF(NFI_Expiration=1,IF($A220&lt;VLOOKUP(X$5,NFI,5,0),1,0)*Data_NFI_t[[#This Row],[Solar Lantern]],0)</f>
        <v>0</v>
      </c>
      <c r="AR220" s="105" t="str">
        <f ca="1">IFERROR(OFFSET(Camp_List[P_Code],MATCH(Data_NFI_t[[#This Row],[Camp Name]],Camp_List[Camp Name],0)-1,0,1,1),"")</f>
        <v/>
      </c>
      <c r="AS220" s="421" t="str">
        <f ca="1">IFERROR(OFFSET(Camp_List[Status],MATCH(Data_NFI_t[[#This Row],[Camp Name]],Camp_List[Camp Name],0)-1,0,1,1),"")</f>
        <v/>
      </c>
      <c r="AT220" s="105"/>
    </row>
    <row r="221" spans="1:46" s="78" customFormat="1" ht="19.5" customHeight="1" x14ac:dyDescent="0.25">
      <c r="A221" s="208">
        <f t="shared" si="3"/>
        <v>44.6</v>
      </c>
      <c r="B221" s="208">
        <f>YEAR(Data_NFI_t[[#This Row],[Distribution Date]])</f>
        <v>2014</v>
      </c>
      <c r="C221" s="744">
        <v>41852</v>
      </c>
      <c r="D221" s="402" t="s">
        <v>828</v>
      </c>
      <c r="E221" s="401" t="s">
        <v>828</v>
      </c>
      <c r="F221" s="402" t="s">
        <v>7</v>
      </c>
      <c r="G221" s="670" t="s">
        <v>13</v>
      </c>
      <c r="H221" s="670" t="s">
        <v>38</v>
      </c>
      <c r="I221" s="670"/>
      <c r="J221" s="670"/>
      <c r="K221" s="670"/>
      <c r="L221" s="42"/>
      <c r="M221" s="42"/>
      <c r="N221" s="42"/>
      <c r="O221" s="42"/>
      <c r="P221" s="42"/>
      <c r="Q221" s="42"/>
      <c r="R221" s="42">
        <v>1128</v>
      </c>
      <c r="S221" s="42"/>
      <c r="T221" s="419"/>
      <c r="U221" s="42"/>
      <c r="V221" s="42"/>
      <c r="W221" s="42"/>
      <c r="X221" s="42"/>
      <c r="Y221" s="42"/>
      <c r="Z221" s="42"/>
      <c r="AA221" s="42"/>
      <c r="AB221" s="42"/>
      <c r="AC221" s="105">
        <f>IF(NFI_Expiration=1,IF($A221&lt;VLOOKUP(I$5,NFI,5,0),1,0)*Data_NFI_t[[#This Row],[Hygiene Kit]],0)</f>
        <v>0</v>
      </c>
      <c r="AD221" s="105">
        <f>IF(NFI_Expiration=1,IF($A221&lt;VLOOKUP(L$5,NFI,5,0),1,0)*Data_NFI_t[[#This Row],[NFI Core Kit]],0)</f>
        <v>0</v>
      </c>
      <c r="AE221" s="86">
        <f>IF(NFI_Expiration=1,IF($A221&lt;VLOOKUP(M$5,NFI,5,0),1,0)*Data_NFI_t[[#This Row],[Sanitary Kit]],0)</f>
        <v>0</v>
      </c>
      <c r="AF221" s="86">
        <f>IF(NFI_Expiration=1,IF($A221&lt;VLOOKUP(N$5,NFI,5,0),1,0)*Data_NFI_t[[#This Row],[Mosquito net]],0)</f>
        <v>0</v>
      </c>
      <c r="AG221" s="86">
        <f>IF(NFI_Expiration=1,IF($A221&lt;VLOOKUP(O$5,NFI,5,0),1,0)*Data_NFI_t[[#This Row],[Tarpaulin]],0)</f>
        <v>0</v>
      </c>
      <c r="AH221" s="86">
        <f>IF(NFI_Expiration=1,IF($A221&lt;VLOOKUP(P$5,NFI,5,0),1,0)*Data_NFI_t[[#This Row],[Blanket]],0)</f>
        <v>0</v>
      </c>
      <c r="AI221" s="86">
        <f>IF(NFI_Expiration=1,IF($A221&lt;VLOOKUP(Q$5,NFI,5,0),1,0)*Data_NFI_t[[#This Row],[Kitchen Set]],0)</f>
        <v>0</v>
      </c>
      <c r="AJ221" s="86">
        <f>IF(NFI_Expiration=1,IF($A221&lt;VLOOKUP(R$5,NFI,5,0),1,0)*Data_NFI_t[[#This Row],[Complementary Kit]],0)</f>
        <v>0</v>
      </c>
      <c r="AK221" s="86">
        <f>IF(NFI_Expiration=1,IF($A221&lt;VLOOKUP(S$5,NFI,5,0),1,0)*Data_NFI_t[[#This Row],[Plastic Bucket]],0)</f>
        <v>0</v>
      </c>
      <c r="AL221" s="86">
        <f>IF(NFI_Expiration=1,IF($A221&lt;VLOOKUP(T$5,NFI,5,0),1,0)*Data_NFI_t[[#This Row],[Jerry Can]],0)</f>
        <v>0</v>
      </c>
      <c r="AM221" s="105">
        <f>IF(NFI_Expiration=1,IF($A221&lt;VLOOKUP(U$5,NFI,5,0),1,0)*Data_NFI_t[[#This Row],[Plastic Mat]],0)*IF(Data_NFI_t[[#This Row],[Distribution Date]]&gt;"01-06-2015",1,2.5)</f>
        <v>0</v>
      </c>
      <c r="AN221" s="734">
        <f>IF(NFI_Expiration=1,IF($A221&lt;VLOOKUP(V$5,NFI,5,0),1,0)*Data_NFI_t[[#This Row],[Adult Clothes]],0)</f>
        <v>0</v>
      </c>
      <c r="AO221" s="105">
        <f>IF(NFI_Expiration=1,IF($A221&lt;VLOOKUP(W$5,NFI,5,0),1,0)*Data_NFI_t[[#This Row],[Children Clothes]],0)</f>
        <v>0</v>
      </c>
      <c r="AP221" s="105">
        <f>IF(NFI_Expiration=1,IF($A221&lt;VLOOKUP(X$5,NFI,5,0),1,0)*Data_NFI_t[[#This Row],[Sewing Kit]],0)</f>
        <v>0</v>
      </c>
      <c r="AQ221" s="734">
        <f>IF(NFI_Expiration=1,IF($A221&lt;VLOOKUP(X$5,NFI,5,0),1,0)*Data_NFI_t[[#This Row],[Solar Lantern]],0)</f>
        <v>0</v>
      </c>
      <c r="AR221" s="105" t="str">
        <f ca="1">IFERROR(OFFSET(Camp_List[P_Code],MATCH(Data_NFI_t[[#This Row],[Camp Name]],Camp_List[Camp Name],0)-1,0,1,1),"")</f>
        <v>MMR012CMP016</v>
      </c>
      <c r="AS221" s="421" t="str">
        <f ca="1">IFERROR(OFFSET(Camp_List[Status],MATCH(Data_NFI_t[[#This Row],[Camp Name]],Camp_List[Camp Name],0)-1,0,1,1),"")</f>
        <v>Open</v>
      </c>
      <c r="AT221" s="105"/>
    </row>
    <row r="222" spans="1:46" s="78" customFormat="1" ht="19.5" customHeight="1" x14ac:dyDescent="0.25">
      <c r="A222" s="208">
        <f t="shared" si="3"/>
        <v>44.6</v>
      </c>
      <c r="B222" s="208">
        <f>YEAR(Data_NFI_t[[#This Row],[Distribution Date]])</f>
        <v>2014</v>
      </c>
      <c r="C222" s="744">
        <v>41852</v>
      </c>
      <c r="D222" s="402" t="s">
        <v>828</v>
      </c>
      <c r="E222" s="401" t="s">
        <v>828</v>
      </c>
      <c r="F222" s="402" t="s">
        <v>7</v>
      </c>
      <c r="G222" s="670" t="s">
        <v>13</v>
      </c>
      <c r="H222" s="670" t="s">
        <v>40</v>
      </c>
      <c r="I222" s="670"/>
      <c r="J222" s="670"/>
      <c r="K222" s="670"/>
      <c r="L222" s="42"/>
      <c r="M222" s="42"/>
      <c r="N222" s="42"/>
      <c r="O222" s="42"/>
      <c r="P222" s="42"/>
      <c r="Q222" s="42"/>
      <c r="R222" s="42">
        <v>959</v>
      </c>
      <c r="S222" s="42"/>
      <c r="T222" s="419"/>
      <c r="U222" s="42"/>
      <c r="V222" s="42"/>
      <c r="W222" s="42"/>
      <c r="X222" s="42"/>
      <c r="Y222" s="42"/>
      <c r="Z222" s="42"/>
      <c r="AA222" s="42"/>
      <c r="AB222" s="42"/>
      <c r="AC222" s="105">
        <f>IF(NFI_Expiration=1,IF($A222&lt;VLOOKUP(I$5,NFI,5,0),1,0)*Data_NFI_t[[#This Row],[Hygiene Kit]],0)</f>
        <v>0</v>
      </c>
      <c r="AD222" s="105">
        <f>IF(NFI_Expiration=1,IF($A222&lt;VLOOKUP(L$5,NFI,5,0),1,0)*Data_NFI_t[[#This Row],[NFI Core Kit]],0)</f>
        <v>0</v>
      </c>
      <c r="AE222" s="86">
        <f>IF(NFI_Expiration=1,IF($A222&lt;VLOOKUP(M$5,NFI,5,0),1,0)*Data_NFI_t[[#This Row],[Sanitary Kit]],0)</f>
        <v>0</v>
      </c>
      <c r="AF222" s="86">
        <f>IF(NFI_Expiration=1,IF($A222&lt;VLOOKUP(N$5,NFI,5,0),1,0)*Data_NFI_t[[#This Row],[Mosquito net]],0)</f>
        <v>0</v>
      </c>
      <c r="AG222" s="86">
        <f>IF(NFI_Expiration=1,IF($A222&lt;VLOOKUP(O$5,NFI,5,0),1,0)*Data_NFI_t[[#This Row],[Tarpaulin]],0)</f>
        <v>0</v>
      </c>
      <c r="AH222" s="86">
        <f>IF(NFI_Expiration=1,IF($A222&lt;VLOOKUP(P$5,NFI,5,0),1,0)*Data_NFI_t[[#This Row],[Blanket]],0)</f>
        <v>0</v>
      </c>
      <c r="AI222" s="86">
        <f>IF(NFI_Expiration=1,IF($A222&lt;VLOOKUP(Q$5,NFI,5,0),1,0)*Data_NFI_t[[#This Row],[Kitchen Set]],0)</f>
        <v>0</v>
      </c>
      <c r="AJ222" s="86">
        <f>IF(NFI_Expiration=1,IF($A222&lt;VLOOKUP(R$5,NFI,5,0),1,0)*Data_NFI_t[[#This Row],[Complementary Kit]],0)</f>
        <v>0</v>
      </c>
      <c r="AK222" s="86">
        <f>IF(NFI_Expiration=1,IF($A222&lt;VLOOKUP(S$5,NFI,5,0),1,0)*Data_NFI_t[[#This Row],[Plastic Bucket]],0)</f>
        <v>0</v>
      </c>
      <c r="AL222" s="86">
        <f>IF(NFI_Expiration=1,IF($A222&lt;VLOOKUP(T$5,NFI,5,0),1,0)*Data_NFI_t[[#This Row],[Jerry Can]],0)</f>
        <v>0</v>
      </c>
      <c r="AM222" s="105">
        <f>IF(NFI_Expiration=1,IF($A222&lt;VLOOKUP(U$5,NFI,5,0),1,0)*Data_NFI_t[[#This Row],[Plastic Mat]],0)*IF(Data_NFI_t[[#This Row],[Distribution Date]]&gt;"01-06-2015",1,2.5)</f>
        <v>0</v>
      </c>
      <c r="AN222" s="734">
        <f>IF(NFI_Expiration=1,IF($A222&lt;VLOOKUP(V$5,NFI,5,0),1,0)*Data_NFI_t[[#This Row],[Adult Clothes]],0)</f>
        <v>0</v>
      </c>
      <c r="AO222" s="105">
        <f>IF(NFI_Expiration=1,IF($A222&lt;VLOOKUP(W$5,NFI,5,0),1,0)*Data_NFI_t[[#This Row],[Children Clothes]],0)</f>
        <v>0</v>
      </c>
      <c r="AP222" s="105">
        <f>IF(NFI_Expiration=1,IF($A222&lt;VLOOKUP(X$5,NFI,5,0),1,0)*Data_NFI_t[[#This Row],[Sewing Kit]],0)</f>
        <v>0</v>
      </c>
      <c r="AQ222" s="734">
        <f>IF(NFI_Expiration=1,IF($A222&lt;VLOOKUP(X$5,NFI,5,0),1,0)*Data_NFI_t[[#This Row],[Solar Lantern]],0)</f>
        <v>0</v>
      </c>
      <c r="AR222" s="105" t="str">
        <f ca="1">IFERROR(OFFSET(Camp_List[P_Code],MATCH(Data_NFI_t[[#This Row],[Camp Name]],Camp_List[Camp Name],0)-1,0,1,1),"")</f>
        <v>MMR012CMP018</v>
      </c>
      <c r="AS222" s="421" t="str">
        <f ca="1">IFERROR(OFFSET(Camp_List[Status],MATCH(Data_NFI_t[[#This Row],[Camp Name]],Camp_List[Camp Name],0)-1,0,1,1),"")</f>
        <v>Open</v>
      </c>
      <c r="AT222" s="105"/>
    </row>
    <row r="223" spans="1:46" s="78" customFormat="1" ht="19.5" customHeight="1" x14ac:dyDescent="0.25">
      <c r="A223" s="208">
        <f t="shared" si="3"/>
        <v>44.6</v>
      </c>
      <c r="B223" s="208">
        <f>YEAR(Data_NFI_t[[#This Row],[Distribution Date]])</f>
        <v>2014</v>
      </c>
      <c r="C223" s="744">
        <v>41852</v>
      </c>
      <c r="D223" s="402" t="s">
        <v>828</v>
      </c>
      <c r="E223" s="401" t="s">
        <v>828</v>
      </c>
      <c r="F223" s="402" t="s">
        <v>7</v>
      </c>
      <c r="G223" s="670" t="s">
        <v>13</v>
      </c>
      <c r="H223" s="670" t="s">
        <v>39</v>
      </c>
      <c r="I223" s="670"/>
      <c r="J223" s="670"/>
      <c r="K223" s="670"/>
      <c r="L223" s="42"/>
      <c r="M223" s="42"/>
      <c r="N223" s="42"/>
      <c r="O223" s="42"/>
      <c r="P223" s="42"/>
      <c r="Q223" s="42"/>
      <c r="R223" s="42">
        <v>1130</v>
      </c>
      <c r="S223" s="42"/>
      <c r="T223" s="419"/>
      <c r="U223" s="42"/>
      <c r="V223" s="42"/>
      <c r="W223" s="42"/>
      <c r="X223" s="42"/>
      <c r="Y223" s="42"/>
      <c r="Z223" s="42"/>
      <c r="AA223" s="42"/>
      <c r="AB223" s="42"/>
      <c r="AC223" s="105">
        <f>IF(NFI_Expiration=1,IF($A223&lt;VLOOKUP(I$5,NFI,5,0),1,0)*Data_NFI_t[[#This Row],[Hygiene Kit]],0)</f>
        <v>0</v>
      </c>
      <c r="AD223" s="105">
        <f>IF(NFI_Expiration=1,IF($A223&lt;VLOOKUP(L$5,NFI,5,0),1,0)*Data_NFI_t[[#This Row],[NFI Core Kit]],0)</f>
        <v>0</v>
      </c>
      <c r="AE223" s="86">
        <f>IF(NFI_Expiration=1,IF($A223&lt;VLOOKUP(M$5,NFI,5,0),1,0)*Data_NFI_t[[#This Row],[Sanitary Kit]],0)</f>
        <v>0</v>
      </c>
      <c r="AF223" s="86">
        <f>IF(NFI_Expiration=1,IF($A223&lt;VLOOKUP(N$5,NFI,5,0),1,0)*Data_NFI_t[[#This Row],[Mosquito net]],0)</f>
        <v>0</v>
      </c>
      <c r="AG223" s="86">
        <f>IF(NFI_Expiration=1,IF($A223&lt;VLOOKUP(O$5,NFI,5,0),1,0)*Data_NFI_t[[#This Row],[Tarpaulin]],0)</f>
        <v>0</v>
      </c>
      <c r="AH223" s="86">
        <f>IF(NFI_Expiration=1,IF($A223&lt;VLOOKUP(P$5,NFI,5,0),1,0)*Data_NFI_t[[#This Row],[Blanket]],0)</f>
        <v>0</v>
      </c>
      <c r="AI223" s="86">
        <f>IF(NFI_Expiration=1,IF($A223&lt;VLOOKUP(Q$5,NFI,5,0),1,0)*Data_NFI_t[[#This Row],[Kitchen Set]],0)</f>
        <v>0</v>
      </c>
      <c r="AJ223" s="86">
        <f>IF(NFI_Expiration=1,IF($A223&lt;VLOOKUP(R$5,NFI,5,0),1,0)*Data_NFI_t[[#This Row],[Complementary Kit]],0)</f>
        <v>0</v>
      </c>
      <c r="AK223" s="86">
        <f>IF(NFI_Expiration=1,IF($A223&lt;VLOOKUP(S$5,NFI,5,0),1,0)*Data_NFI_t[[#This Row],[Plastic Bucket]],0)</f>
        <v>0</v>
      </c>
      <c r="AL223" s="86">
        <f>IF(NFI_Expiration=1,IF($A223&lt;VLOOKUP(T$5,NFI,5,0),1,0)*Data_NFI_t[[#This Row],[Jerry Can]],0)</f>
        <v>0</v>
      </c>
      <c r="AM223" s="105">
        <f>IF(NFI_Expiration=1,IF($A223&lt;VLOOKUP(U$5,NFI,5,0),1,0)*Data_NFI_t[[#This Row],[Plastic Mat]],0)*IF(Data_NFI_t[[#This Row],[Distribution Date]]&gt;"01-06-2015",1,2.5)</f>
        <v>0</v>
      </c>
      <c r="AN223" s="734">
        <f>IF(NFI_Expiration=1,IF($A223&lt;VLOOKUP(V$5,NFI,5,0),1,0)*Data_NFI_t[[#This Row],[Adult Clothes]],0)</f>
        <v>0</v>
      </c>
      <c r="AO223" s="105">
        <f>IF(NFI_Expiration=1,IF($A223&lt;VLOOKUP(W$5,NFI,5,0),1,0)*Data_NFI_t[[#This Row],[Children Clothes]],0)</f>
        <v>0</v>
      </c>
      <c r="AP223" s="105">
        <f>IF(NFI_Expiration=1,IF($A223&lt;VLOOKUP(X$5,NFI,5,0),1,0)*Data_NFI_t[[#This Row],[Sewing Kit]],0)</f>
        <v>0</v>
      </c>
      <c r="AQ223" s="734">
        <f>IF(NFI_Expiration=1,IF($A223&lt;VLOOKUP(X$5,NFI,5,0),1,0)*Data_NFI_t[[#This Row],[Solar Lantern]],0)</f>
        <v>0</v>
      </c>
      <c r="AR223" s="105" t="str">
        <f ca="1">IFERROR(OFFSET(Camp_List[P_Code],MATCH(Data_NFI_t[[#This Row],[Camp Name]],Camp_List[Camp Name],0)-1,0,1,1),"")</f>
        <v/>
      </c>
      <c r="AS223" s="421" t="str">
        <f ca="1">IFERROR(OFFSET(Camp_List[Status],MATCH(Data_NFI_t[[#This Row],[Camp Name]],Camp_List[Camp Name],0)-1,0,1,1),"")</f>
        <v/>
      </c>
      <c r="AT223" s="105"/>
    </row>
    <row r="224" spans="1:46" s="78" customFormat="1" ht="19.5" customHeight="1" x14ac:dyDescent="0.25">
      <c r="A224" s="208">
        <f t="shared" si="3"/>
        <v>44.6</v>
      </c>
      <c r="B224" s="208">
        <f>YEAR(Data_NFI_t[[#This Row],[Distribution Date]])</f>
        <v>2014</v>
      </c>
      <c r="C224" s="744">
        <v>41852</v>
      </c>
      <c r="D224" s="402" t="s">
        <v>828</v>
      </c>
      <c r="E224" s="401" t="s">
        <v>828</v>
      </c>
      <c r="F224" s="402" t="s">
        <v>7</v>
      </c>
      <c r="G224" s="670" t="s">
        <v>13</v>
      </c>
      <c r="H224" s="670" t="s">
        <v>41</v>
      </c>
      <c r="I224" s="670"/>
      <c r="J224" s="670"/>
      <c r="K224" s="670"/>
      <c r="L224" s="42"/>
      <c r="M224" s="42"/>
      <c r="N224" s="42"/>
      <c r="O224" s="42"/>
      <c r="P224" s="42"/>
      <c r="Q224" s="42"/>
      <c r="R224" s="42">
        <v>681</v>
      </c>
      <c r="S224" s="42"/>
      <c r="T224" s="419"/>
      <c r="U224" s="42"/>
      <c r="V224" s="42"/>
      <c r="W224" s="42"/>
      <c r="X224" s="42"/>
      <c r="Y224" s="42"/>
      <c r="Z224" s="42"/>
      <c r="AA224" s="42"/>
      <c r="AB224" s="42"/>
      <c r="AC224" s="105">
        <f>IF(NFI_Expiration=1,IF($A224&lt;VLOOKUP(I$5,NFI,5,0),1,0)*Data_NFI_t[[#This Row],[Hygiene Kit]],0)</f>
        <v>0</v>
      </c>
      <c r="AD224" s="105">
        <f>IF(NFI_Expiration=1,IF($A224&lt;VLOOKUP(L$5,NFI,5,0),1,0)*Data_NFI_t[[#This Row],[NFI Core Kit]],0)</f>
        <v>0</v>
      </c>
      <c r="AE224" s="86">
        <f>IF(NFI_Expiration=1,IF($A224&lt;VLOOKUP(M$5,NFI,5,0),1,0)*Data_NFI_t[[#This Row],[Sanitary Kit]],0)</f>
        <v>0</v>
      </c>
      <c r="AF224" s="86">
        <f>IF(NFI_Expiration=1,IF($A224&lt;VLOOKUP(N$5,NFI,5,0),1,0)*Data_NFI_t[[#This Row],[Mosquito net]],0)</f>
        <v>0</v>
      </c>
      <c r="AG224" s="86">
        <f>IF(NFI_Expiration=1,IF($A224&lt;VLOOKUP(O$5,NFI,5,0),1,0)*Data_NFI_t[[#This Row],[Tarpaulin]],0)</f>
        <v>0</v>
      </c>
      <c r="AH224" s="86">
        <f>IF(NFI_Expiration=1,IF($A224&lt;VLOOKUP(P$5,NFI,5,0),1,0)*Data_NFI_t[[#This Row],[Blanket]],0)</f>
        <v>0</v>
      </c>
      <c r="AI224" s="86">
        <f>IF(NFI_Expiration=1,IF($A224&lt;VLOOKUP(Q$5,NFI,5,0),1,0)*Data_NFI_t[[#This Row],[Kitchen Set]],0)</f>
        <v>0</v>
      </c>
      <c r="AJ224" s="86">
        <f>IF(NFI_Expiration=1,IF($A224&lt;VLOOKUP(R$5,NFI,5,0),1,0)*Data_NFI_t[[#This Row],[Complementary Kit]],0)</f>
        <v>0</v>
      </c>
      <c r="AK224" s="86">
        <f>IF(NFI_Expiration=1,IF($A224&lt;VLOOKUP(S$5,NFI,5,0),1,0)*Data_NFI_t[[#This Row],[Plastic Bucket]],0)</f>
        <v>0</v>
      </c>
      <c r="AL224" s="86">
        <f>IF(NFI_Expiration=1,IF($A224&lt;VLOOKUP(T$5,NFI,5,0),1,0)*Data_NFI_t[[#This Row],[Jerry Can]],0)</f>
        <v>0</v>
      </c>
      <c r="AM224" s="105">
        <f>IF(NFI_Expiration=1,IF($A224&lt;VLOOKUP(U$5,NFI,5,0),1,0)*Data_NFI_t[[#This Row],[Plastic Mat]],0)*IF(Data_NFI_t[[#This Row],[Distribution Date]]&gt;"01-06-2015",1,2.5)</f>
        <v>0</v>
      </c>
      <c r="AN224" s="734">
        <f>IF(NFI_Expiration=1,IF($A224&lt;VLOOKUP(V$5,NFI,5,0),1,0)*Data_NFI_t[[#This Row],[Adult Clothes]],0)</f>
        <v>0</v>
      </c>
      <c r="AO224" s="105">
        <f>IF(NFI_Expiration=1,IF($A224&lt;VLOOKUP(W$5,NFI,5,0),1,0)*Data_NFI_t[[#This Row],[Children Clothes]],0)</f>
        <v>0</v>
      </c>
      <c r="AP224" s="105">
        <f>IF(NFI_Expiration=1,IF($A224&lt;VLOOKUP(X$5,NFI,5,0),1,0)*Data_NFI_t[[#This Row],[Sewing Kit]],0)</f>
        <v>0</v>
      </c>
      <c r="AQ224" s="734">
        <f>IF(NFI_Expiration=1,IF($A224&lt;VLOOKUP(X$5,NFI,5,0),1,0)*Data_NFI_t[[#This Row],[Solar Lantern]],0)</f>
        <v>0</v>
      </c>
      <c r="AR224" s="105" t="str">
        <f ca="1">IFERROR(OFFSET(Camp_List[P_Code],MATCH(Data_NFI_t[[#This Row],[Camp Name]],Camp_List[Camp Name],0)-1,0,1,1),"")</f>
        <v>MMR012CMP019</v>
      </c>
      <c r="AS224" s="421" t="str">
        <f ca="1">IFERROR(OFFSET(Camp_List[Status],MATCH(Data_NFI_t[[#This Row],[Camp Name]],Camp_List[Camp Name],0)-1,0,1,1),"")</f>
        <v>Open</v>
      </c>
      <c r="AT224" s="105"/>
    </row>
    <row r="225" spans="1:46" s="78" customFormat="1" ht="19.5" customHeight="1" x14ac:dyDescent="0.25">
      <c r="A225" s="208">
        <f t="shared" si="3"/>
        <v>44.6</v>
      </c>
      <c r="B225" s="208">
        <f>YEAR(Data_NFI_t[[#This Row],[Distribution Date]])</f>
        <v>2014</v>
      </c>
      <c r="C225" s="744">
        <v>41852</v>
      </c>
      <c r="D225" s="402" t="s">
        <v>828</v>
      </c>
      <c r="E225" s="401" t="s">
        <v>828</v>
      </c>
      <c r="F225" s="402" t="s">
        <v>7</v>
      </c>
      <c r="G225" s="670" t="s">
        <v>13</v>
      </c>
      <c r="H225" s="670" t="s">
        <v>37</v>
      </c>
      <c r="I225" s="670"/>
      <c r="J225" s="670"/>
      <c r="K225" s="670"/>
      <c r="L225" s="42"/>
      <c r="M225" s="42"/>
      <c r="N225" s="42"/>
      <c r="O225" s="42"/>
      <c r="P225" s="42"/>
      <c r="Q225" s="42"/>
      <c r="R225" s="42">
        <v>24</v>
      </c>
      <c r="S225" s="42"/>
      <c r="T225" s="419"/>
      <c r="U225" s="42"/>
      <c r="V225" s="42"/>
      <c r="W225" s="42"/>
      <c r="X225" s="42"/>
      <c r="Y225" s="42"/>
      <c r="Z225" s="42"/>
      <c r="AA225" s="42"/>
      <c r="AB225" s="42"/>
      <c r="AC225" s="105">
        <f>IF(NFI_Expiration=1,IF($A225&lt;VLOOKUP(I$5,NFI,5,0),1,0)*Data_NFI_t[[#This Row],[Hygiene Kit]],0)</f>
        <v>0</v>
      </c>
      <c r="AD225" s="105">
        <f>IF(NFI_Expiration=1,IF($A225&lt;VLOOKUP(L$5,NFI,5,0),1,0)*Data_NFI_t[[#This Row],[NFI Core Kit]],0)</f>
        <v>0</v>
      </c>
      <c r="AE225" s="86">
        <f>IF(NFI_Expiration=1,IF($A225&lt;VLOOKUP(M$5,NFI,5,0),1,0)*Data_NFI_t[[#This Row],[Sanitary Kit]],0)</f>
        <v>0</v>
      </c>
      <c r="AF225" s="86">
        <f>IF(NFI_Expiration=1,IF($A225&lt;VLOOKUP(N$5,NFI,5,0),1,0)*Data_NFI_t[[#This Row],[Mosquito net]],0)</f>
        <v>0</v>
      </c>
      <c r="AG225" s="86">
        <f>IF(NFI_Expiration=1,IF($A225&lt;VLOOKUP(O$5,NFI,5,0),1,0)*Data_NFI_t[[#This Row],[Tarpaulin]],0)</f>
        <v>0</v>
      </c>
      <c r="AH225" s="86">
        <f>IF(NFI_Expiration=1,IF($A225&lt;VLOOKUP(P$5,NFI,5,0),1,0)*Data_NFI_t[[#This Row],[Blanket]],0)</f>
        <v>0</v>
      </c>
      <c r="AI225" s="86">
        <f>IF(NFI_Expiration=1,IF($A225&lt;VLOOKUP(Q$5,NFI,5,0),1,0)*Data_NFI_t[[#This Row],[Kitchen Set]],0)</f>
        <v>0</v>
      </c>
      <c r="AJ225" s="86">
        <f>IF(NFI_Expiration=1,IF($A225&lt;VLOOKUP(R$5,NFI,5,0),1,0)*Data_NFI_t[[#This Row],[Complementary Kit]],0)</f>
        <v>0</v>
      </c>
      <c r="AK225" s="86">
        <f>IF(NFI_Expiration=1,IF($A225&lt;VLOOKUP(S$5,NFI,5,0),1,0)*Data_NFI_t[[#This Row],[Plastic Bucket]],0)</f>
        <v>0</v>
      </c>
      <c r="AL225" s="86">
        <f>IF(NFI_Expiration=1,IF($A225&lt;VLOOKUP(T$5,NFI,5,0),1,0)*Data_NFI_t[[#This Row],[Jerry Can]],0)</f>
        <v>0</v>
      </c>
      <c r="AM225" s="105">
        <f>IF(NFI_Expiration=1,IF($A225&lt;VLOOKUP(U$5,NFI,5,0),1,0)*Data_NFI_t[[#This Row],[Plastic Mat]],0)*IF(Data_NFI_t[[#This Row],[Distribution Date]]&gt;"01-06-2015",1,2.5)</f>
        <v>0</v>
      </c>
      <c r="AN225" s="734">
        <f>IF(NFI_Expiration=1,IF($A225&lt;VLOOKUP(V$5,NFI,5,0),1,0)*Data_NFI_t[[#This Row],[Adult Clothes]],0)</f>
        <v>0</v>
      </c>
      <c r="AO225" s="105">
        <f>IF(NFI_Expiration=1,IF($A225&lt;VLOOKUP(W$5,NFI,5,0),1,0)*Data_NFI_t[[#This Row],[Children Clothes]],0)</f>
        <v>0</v>
      </c>
      <c r="AP225" s="105">
        <f>IF(NFI_Expiration=1,IF($A225&lt;VLOOKUP(X$5,NFI,5,0),1,0)*Data_NFI_t[[#This Row],[Sewing Kit]],0)</f>
        <v>0</v>
      </c>
      <c r="AQ225" s="734">
        <f>IF(NFI_Expiration=1,IF($A225&lt;VLOOKUP(X$5,NFI,5,0),1,0)*Data_NFI_t[[#This Row],[Solar Lantern]],0)</f>
        <v>0</v>
      </c>
      <c r="AR225" s="105" t="str">
        <f ca="1">IFERROR(OFFSET(Camp_List[P_Code],MATCH(Data_NFI_t[[#This Row],[Camp Name]],Camp_List[Camp Name],0)-1,0,1,1),"")</f>
        <v>MMR012CMP015</v>
      </c>
      <c r="AS225" s="421" t="str">
        <f ca="1">IFERROR(OFFSET(Camp_List[Status],MATCH(Data_NFI_t[[#This Row],[Camp Name]],Camp_List[Camp Name],0)-1,0,1,1),"")</f>
        <v>Relocated</v>
      </c>
      <c r="AT225" s="105"/>
    </row>
    <row r="226" spans="1:46" s="78" customFormat="1" ht="19.5" customHeight="1" x14ac:dyDescent="0.25">
      <c r="A226" s="208">
        <f t="shared" si="3"/>
        <v>44.6</v>
      </c>
      <c r="B226" s="208">
        <f>YEAR(Data_NFI_t[[#This Row],[Distribution Date]])</f>
        <v>2014</v>
      </c>
      <c r="C226" s="744">
        <v>41852</v>
      </c>
      <c r="D226" s="402" t="s">
        <v>828</v>
      </c>
      <c r="E226" s="401" t="s">
        <v>828</v>
      </c>
      <c r="F226" s="402" t="s">
        <v>7</v>
      </c>
      <c r="G226" s="670" t="s">
        <v>18</v>
      </c>
      <c r="H226" s="670" t="s">
        <v>95</v>
      </c>
      <c r="I226" s="670"/>
      <c r="J226" s="670"/>
      <c r="K226" s="670"/>
      <c r="L226" s="42"/>
      <c r="M226" s="42"/>
      <c r="N226" s="42"/>
      <c r="O226" s="42"/>
      <c r="P226" s="42"/>
      <c r="Q226" s="42"/>
      <c r="R226" s="42">
        <v>183</v>
      </c>
      <c r="S226" s="42"/>
      <c r="T226" s="419"/>
      <c r="U226" s="42"/>
      <c r="V226" s="42"/>
      <c r="W226" s="42"/>
      <c r="X226" s="42"/>
      <c r="Y226" s="42"/>
      <c r="Z226" s="42"/>
      <c r="AA226" s="42"/>
      <c r="AB226" s="42"/>
      <c r="AC226" s="105">
        <f>IF(NFI_Expiration=1,IF($A226&lt;VLOOKUP(I$5,NFI,5,0),1,0)*Data_NFI_t[[#This Row],[Hygiene Kit]],0)</f>
        <v>0</v>
      </c>
      <c r="AD226" s="105">
        <f>IF(NFI_Expiration=1,IF($A226&lt;VLOOKUP(L$5,NFI,5,0),1,0)*Data_NFI_t[[#This Row],[NFI Core Kit]],0)</f>
        <v>0</v>
      </c>
      <c r="AE226" s="86">
        <f>IF(NFI_Expiration=1,IF($A226&lt;VLOOKUP(M$5,NFI,5,0),1,0)*Data_NFI_t[[#This Row],[Sanitary Kit]],0)</f>
        <v>0</v>
      </c>
      <c r="AF226" s="86">
        <f>IF(NFI_Expiration=1,IF($A226&lt;VLOOKUP(N$5,NFI,5,0),1,0)*Data_NFI_t[[#This Row],[Mosquito net]],0)</f>
        <v>0</v>
      </c>
      <c r="AG226" s="86">
        <f>IF(NFI_Expiration=1,IF($A226&lt;VLOOKUP(O$5,NFI,5,0),1,0)*Data_NFI_t[[#This Row],[Tarpaulin]],0)</f>
        <v>0</v>
      </c>
      <c r="AH226" s="86">
        <f>IF(NFI_Expiration=1,IF($A226&lt;VLOOKUP(P$5,NFI,5,0),1,0)*Data_NFI_t[[#This Row],[Blanket]],0)</f>
        <v>0</v>
      </c>
      <c r="AI226" s="86">
        <f>IF(NFI_Expiration=1,IF($A226&lt;VLOOKUP(Q$5,NFI,5,0),1,0)*Data_NFI_t[[#This Row],[Kitchen Set]],0)</f>
        <v>0</v>
      </c>
      <c r="AJ226" s="86">
        <f>IF(NFI_Expiration=1,IF($A226&lt;VLOOKUP(R$5,NFI,5,0),1,0)*Data_NFI_t[[#This Row],[Complementary Kit]],0)</f>
        <v>0</v>
      </c>
      <c r="AK226" s="86">
        <f>IF(NFI_Expiration=1,IF($A226&lt;VLOOKUP(S$5,NFI,5,0),1,0)*Data_NFI_t[[#This Row],[Plastic Bucket]],0)</f>
        <v>0</v>
      </c>
      <c r="AL226" s="86">
        <f>IF(NFI_Expiration=1,IF($A226&lt;VLOOKUP(T$5,NFI,5,0),1,0)*Data_NFI_t[[#This Row],[Jerry Can]],0)</f>
        <v>0</v>
      </c>
      <c r="AM226" s="105">
        <f>IF(NFI_Expiration=1,IF($A226&lt;VLOOKUP(U$5,NFI,5,0),1,0)*Data_NFI_t[[#This Row],[Plastic Mat]],0)*IF(Data_NFI_t[[#This Row],[Distribution Date]]&gt;"01-06-2015",1,2.5)</f>
        <v>0</v>
      </c>
      <c r="AN226" s="734">
        <f>IF(NFI_Expiration=1,IF($A226&lt;VLOOKUP(V$5,NFI,5,0),1,0)*Data_NFI_t[[#This Row],[Adult Clothes]],0)</f>
        <v>0</v>
      </c>
      <c r="AO226" s="105">
        <f>IF(NFI_Expiration=1,IF($A226&lt;VLOOKUP(W$5,NFI,5,0),1,0)*Data_NFI_t[[#This Row],[Children Clothes]],0)</f>
        <v>0</v>
      </c>
      <c r="AP226" s="105">
        <f>IF(NFI_Expiration=1,IF($A226&lt;VLOOKUP(X$5,NFI,5,0),1,0)*Data_NFI_t[[#This Row],[Sewing Kit]],0)</f>
        <v>0</v>
      </c>
      <c r="AQ226" s="734">
        <f>IF(NFI_Expiration=1,IF($A226&lt;VLOOKUP(X$5,NFI,5,0),1,0)*Data_NFI_t[[#This Row],[Solar Lantern]],0)</f>
        <v>0</v>
      </c>
      <c r="AR226" s="105" t="str">
        <f ca="1">IFERROR(OFFSET(Camp_List[P_Code],MATCH(Data_NFI_t[[#This Row],[Camp Name]],Camp_List[Camp Name],0)-1,0,1,1),"")</f>
        <v>MMR012CMP076</v>
      </c>
      <c r="AS226" s="421" t="str">
        <f ca="1">IFERROR(OFFSET(Camp_List[Status],MATCH(Data_NFI_t[[#This Row],[Camp Name]],Camp_List[Camp Name],0)-1,0,1,1),"")</f>
        <v>Close</v>
      </c>
      <c r="AT226" s="105"/>
    </row>
    <row r="227" spans="1:46" s="78" customFormat="1" ht="19.5" customHeight="1" x14ac:dyDescent="0.25">
      <c r="A227" s="208">
        <f t="shared" si="3"/>
        <v>44.6</v>
      </c>
      <c r="B227" s="208">
        <f>YEAR(Data_NFI_t[[#This Row],[Distribution Date]])</f>
        <v>2014</v>
      </c>
      <c r="C227" s="744">
        <v>41852</v>
      </c>
      <c r="D227" s="402" t="s">
        <v>828</v>
      </c>
      <c r="E227" s="401" t="s">
        <v>828</v>
      </c>
      <c r="F227" s="402" t="s">
        <v>7</v>
      </c>
      <c r="G227" s="670" t="s">
        <v>18</v>
      </c>
      <c r="H227" s="670" t="s">
        <v>97</v>
      </c>
      <c r="I227" s="670"/>
      <c r="J227" s="670"/>
      <c r="K227" s="670"/>
      <c r="L227" s="42"/>
      <c r="M227" s="42"/>
      <c r="N227" s="42"/>
      <c r="O227" s="42"/>
      <c r="P227" s="42"/>
      <c r="Q227" s="42"/>
      <c r="R227" s="42">
        <v>162</v>
      </c>
      <c r="S227" s="42"/>
      <c r="T227" s="419"/>
      <c r="U227" s="42"/>
      <c r="V227" s="42"/>
      <c r="W227" s="42"/>
      <c r="X227" s="42"/>
      <c r="Y227" s="42"/>
      <c r="Z227" s="42"/>
      <c r="AA227" s="42"/>
      <c r="AB227" s="42"/>
      <c r="AC227" s="105">
        <f>IF(NFI_Expiration=1,IF($A227&lt;VLOOKUP(I$5,NFI,5,0),1,0)*Data_NFI_t[[#This Row],[Hygiene Kit]],0)</f>
        <v>0</v>
      </c>
      <c r="AD227" s="105">
        <f>IF(NFI_Expiration=1,IF($A227&lt;VLOOKUP(L$5,NFI,5,0),1,0)*Data_NFI_t[[#This Row],[NFI Core Kit]],0)</f>
        <v>0</v>
      </c>
      <c r="AE227" s="86">
        <f>IF(NFI_Expiration=1,IF($A227&lt;VLOOKUP(M$5,NFI,5,0),1,0)*Data_NFI_t[[#This Row],[Sanitary Kit]],0)</f>
        <v>0</v>
      </c>
      <c r="AF227" s="86">
        <f>IF(NFI_Expiration=1,IF($A227&lt;VLOOKUP(N$5,NFI,5,0),1,0)*Data_NFI_t[[#This Row],[Mosquito net]],0)</f>
        <v>0</v>
      </c>
      <c r="AG227" s="86">
        <f>IF(NFI_Expiration=1,IF($A227&lt;VLOOKUP(O$5,NFI,5,0),1,0)*Data_NFI_t[[#This Row],[Tarpaulin]],0)</f>
        <v>0</v>
      </c>
      <c r="AH227" s="86">
        <f>IF(NFI_Expiration=1,IF($A227&lt;VLOOKUP(P$5,NFI,5,0),1,0)*Data_NFI_t[[#This Row],[Blanket]],0)</f>
        <v>0</v>
      </c>
      <c r="AI227" s="86">
        <f>IF(NFI_Expiration=1,IF($A227&lt;VLOOKUP(Q$5,NFI,5,0),1,0)*Data_NFI_t[[#This Row],[Kitchen Set]],0)</f>
        <v>0</v>
      </c>
      <c r="AJ227" s="86">
        <f>IF(NFI_Expiration=1,IF($A227&lt;VLOOKUP(R$5,NFI,5,0),1,0)*Data_NFI_t[[#This Row],[Complementary Kit]],0)</f>
        <v>0</v>
      </c>
      <c r="AK227" s="86">
        <f>IF(NFI_Expiration=1,IF($A227&lt;VLOOKUP(S$5,NFI,5,0),1,0)*Data_NFI_t[[#This Row],[Plastic Bucket]],0)</f>
        <v>0</v>
      </c>
      <c r="AL227" s="86">
        <f>IF(NFI_Expiration=1,IF($A227&lt;VLOOKUP(T$5,NFI,5,0),1,0)*Data_NFI_t[[#This Row],[Jerry Can]],0)</f>
        <v>0</v>
      </c>
      <c r="AM227" s="105">
        <f>IF(NFI_Expiration=1,IF($A227&lt;VLOOKUP(U$5,NFI,5,0),1,0)*Data_NFI_t[[#This Row],[Plastic Mat]],0)*IF(Data_NFI_t[[#This Row],[Distribution Date]]&gt;"01-06-2015",1,2.5)</f>
        <v>0</v>
      </c>
      <c r="AN227" s="734">
        <f>IF(NFI_Expiration=1,IF($A227&lt;VLOOKUP(V$5,NFI,5,0),1,0)*Data_NFI_t[[#This Row],[Adult Clothes]],0)</f>
        <v>0</v>
      </c>
      <c r="AO227" s="105">
        <f>IF(NFI_Expiration=1,IF($A227&lt;VLOOKUP(W$5,NFI,5,0),1,0)*Data_NFI_t[[#This Row],[Children Clothes]],0)</f>
        <v>0</v>
      </c>
      <c r="AP227" s="105">
        <f>IF(NFI_Expiration=1,IF($A227&lt;VLOOKUP(X$5,NFI,5,0),1,0)*Data_NFI_t[[#This Row],[Sewing Kit]],0)</f>
        <v>0</v>
      </c>
      <c r="AQ227" s="734">
        <f>IF(NFI_Expiration=1,IF($A227&lt;VLOOKUP(X$5,NFI,5,0),1,0)*Data_NFI_t[[#This Row],[Solar Lantern]],0)</f>
        <v>0</v>
      </c>
      <c r="AR227" s="105" t="str">
        <f ca="1">IFERROR(OFFSET(Camp_List[P_Code],MATCH(Data_NFI_t[[#This Row],[Camp Name]],Camp_List[Camp Name],0)-1,0,1,1),"")</f>
        <v>MMR012CMP078</v>
      </c>
      <c r="AS227" s="421" t="str">
        <f ca="1">IFERROR(OFFSET(Camp_List[Status],MATCH(Data_NFI_t[[#This Row],[Camp Name]],Camp_List[Camp Name],0)-1,0,1,1),"")</f>
        <v>Close</v>
      </c>
      <c r="AT227" s="105"/>
    </row>
    <row r="228" spans="1:46" s="78" customFormat="1" ht="19.5" customHeight="1" x14ac:dyDescent="0.25">
      <c r="A228" s="208">
        <f t="shared" si="3"/>
        <v>44.6</v>
      </c>
      <c r="B228" s="208">
        <f>YEAR(Data_NFI_t[[#This Row],[Distribution Date]])</f>
        <v>2014</v>
      </c>
      <c r="C228" s="744">
        <v>41852</v>
      </c>
      <c r="D228" s="402" t="s">
        <v>828</v>
      </c>
      <c r="E228" s="401" t="s">
        <v>828</v>
      </c>
      <c r="F228" s="402" t="s">
        <v>7</v>
      </c>
      <c r="G228" s="670" t="s">
        <v>18</v>
      </c>
      <c r="H228" s="670" t="s">
        <v>96</v>
      </c>
      <c r="I228" s="670"/>
      <c r="J228" s="670"/>
      <c r="K228" s="670"/>
      <c r="L228" s="42"/>
      <c r="M228" s="42"/>
      <c r="N228" s="42"/>
      <c r="O228" s="42"/>
      <c r="P228" s="42"/>
      <c r="Q228" s="42"/>
      <c r="R228" s="42">
        <v>192</v>
      </c>
      <c r="S228" s="42"/>
      <c r="T228" s="419"/>
      <c r="U228" s="42"/>
      <c r="V228" s="42"/>
      <c r="W228" s="42"/>
      <c r="X228" s="42"/>
      <c r="Y228" s="42"/>
      <c r="Z228" s="42"/>
      <c r="AA228" s="42"/>
      <c r="AB228" s="42"/>
      <c r="AC228" s="105">
        <f>IF(NFI_Expiration=1,IF($A228&lt;VLOOKUP(I$5,NFI,5,0),1,0)*Data_NFI_t[[#This Row],[Hygiene Kit]],0)</f>
        <v>0</v>
      </c>
      <c r="AD228" s="105">
        <f>IF(NFI_Expiration=1,IF($A228&lt;VLOOKUP(L$5,NFI,5,0),1,0)*Data_NFI_t[[#This Row],[NFI Core Kit]],0)</f>
        <v>0</v>
      </c>
      <c r="AE228" s="86">
        <f>IF(NFI_Expiration=1,IF($A228&lt;VLOOKUP(M$5,NFI,5,0),1,0)*Data_NFI_t[[#This Row],[Sanitary Kit]],0)</f>
        <v>0</v>
      </c>
      <c r="AF228" s="86">
        <f>IF(NFI_Expiration=1,IF($A228&lt;VLOOKUP(N$5,NFI,5,0),1,0)*Data_NFI_t[[#This Row],[Mosquito net]],0)</f>
        <v>0</v>
      </c>
      <c r="AG228" s="86">
        <f>IF(NFI_Expiration=1,IF($A228&lt;VLOOKUP(O$5,NFI,5,0),1,0)*Data_NFI_t[[#This Row],[Tarpaulin]],0)</f>
        <v>0</v>
      </c>
      <c r="AH228" s="86">
        <f>IF(NFI_Expiration=1,IF($A228&lt;VLOOKUP(P$5,NFI,5,0),1,0)*Data_NFI_t[[#This Row],[Blanket]],0)</f>
        <v>0</v>
      </c>
      <c r="AI228" s="86">
        <f>IF(NFI_Expiration=1,IF($A228&lt;VLOOKUP(Q$5,NFI,5,0),1,0)*Data_NFI_t[[#This Row],[Kitchen Set]],0)</f>
        <v>0</v>
      </c>
      <c r="AJ228" s="86">
        <f>IF(NFI_Expiration=1,IF($A228&lt;VLOOKUP(R$5,NFI,5,0),1,0)*Data_NFI_t[[#This Row],[Complementary Kit]],0)</f>
        <v>0</v>
      </c>
      <c r="AK228" s="86">
        <f>IF(NFI_Expiration=1,IF($A228&lt;VLOOKUP(S$5,NFI,5,0),1,0)*Data_NFI_t[[#This Row],[Plastic Bucket]],0)</f>
        <v>0</v>
      </c>
      <c r="AL228" s="86">
        <f>IF(NFI_Expiration=1,IF($A228&lt;VLOOKUP(T$5,NFI,5,0),1,0)*Data_NFI_t[[#This Row],[Jerry Can]],0)</f>
        <v>0</v>
      </c>
      <c r="AM228" s="105">
        <f>IF(NFI_Expiration=1,IF($A228&lt;VLOOKUP(U$5,NFI,5,0),1,0)*Data_NFI_t[[#This Row],[Plastic Mat]],0)*IF(Data_NFI_t[[#This Row],[Distribution Date]]&gt;"01-06-2015",1,2.5)</f>
        <v>0</v>
      </c>
      <c r="AN228" s="734">
        <f>IF(NFI_Expiration=1,IF($A228&lt;VLOOKUP(V$5,NFI,5,0),1,0)*Data_NFI_t[[#This Row],[Adult Clothes]],0)</f>
        <v>0</v>
      </c>
      <c r="AO228" s="105">
        <f>IF(NFI_Expiration=1,IF($A228&lt;VLOOKUP(W$5,NFI,5,0),1,0)*Data_NFI_t[[#This Row],[Children Clothes]],0)</f>
        <v>0</v>
      </c>
      <c r="AP228" s="105">
        <f>IF(NFI_Expiration=1,IF($A228&lt;VLOOKUP(X$5,NFI,5,0),1,0)*Data_NFI_t[[#This Row],[Sewing Kit]],0)</f>
        <v>0</v>
      </c>
      <c r="AQ228" s="734">
        <f>IF(NFI_Expiration=1,IF($A228&lt;VLOOKUP(X$5,NFI,5,0),1,0)*Data_NFI_t[[#This Row],[Solar Lantern]],0)</f>
        <v>0</v>
      </c>
      <c r="AR228" s="105" t="str">
        <f ca="1">IFERROR(OFFSET(Camp_List[P_Code],MATCH(Data_NFI_t[[#This Row],[Camp Name]],Camp_List[Camp Name],0)-1,0,1,1),"")</f>
        <v>MMR012CMP077</v>
      </c>
      <c r="AS228" s="421" t="str">
        <f ca="1">IFERROR(OFFSET(Camp_List[Status],MATCH(Data_NFI_t[[#This Row],[Camp Name]],Camp_List[Camp Name],0)-1,0,1,1),"")</f>
        <v>Close</v>
      </c>
      <c r="AT228" s="105"/>
    </row>
    <row r="229" spans="1:46" s="78" customFormat="1" ht="19.5" customHeight="1" x14ac:dyDescent="0.25">
      <c r="A229" s="208">
        <f t="shared" si="3"/>
        <v>44.6</v>
      </c>
      <c r="B229" s="208">
        <f>YEAR(Data_NFI_t[[#This Row],[Distribution Date]])</f>
        <v>2014</v>
      </c>
      <c r="C229" s="744">
        <v>41852</v>
      </c>
      <c r="D229" s="402" t="s">
        <v>828</v>
      </c>
      <c r="E229" s="401" t="s">
        <v>828</v>
      </c>
      <c r="F229" s="402" t="s">
        <v>7</v>
      </c>
      <c r="G229" s="670" t="s">
        <v>18</v>
      </c>
      <c r="H229" s="670" t="s">
        <v>99</v>
      </c>
      <c r="I229" s="670"/>
      <c r="J229" s="670"/>
      <c r="K229" s="670"/>
      <c r="L229" s="42"/>
      <c r="M229" s="42"/>
      <c r="N229" s="42"/>
      <c r="O229" s="42"/>
      <c r="P229" s="42"/>
      <c r="Q229" s="42"/>
      <c r="R229" s="42">
        <v>102</v>
      </c>
      <c r="S229" s="42"/>
      <c r="T229" s="419"/>
      <c r="U229" s="42"/>
      <c r="V229" s="42"/>
      <c r="W229" s="42"/>
      <c r="X229" s="42"/>
      <c r="Y229" s="42"/>
      <c r="Z229" s="42"/>
      <c r="AA229" s="42"/>
      <c r="AB229" s="42"/>
      <c r="AC229" s="105">
        <f>IF(NFI_Expiration=1,IF($A229&lt;VLOOKUP(I$5,NFI,5,0),1,0)*Data_NFI_t[[#This Row],[Hygiene Kit]],0)</f>
        <v>0</v>
      </c>
      <c r="AD229" s="105">
        <f>IF(NFI_Expiration=1,IF($A229&lt;VLOOKUP(L$5,NFI,5,0),1,0)*Data_NFI_t[[#This Row],[NFI Core Kit]],0)</f>
        <v>0</v>
      </c>
      <c r="AE229" s="86">
        <f>IF(NFI_Expiration=1,IF($A229&lt;VLOOKUP(M$5,NFI,5,0),1,0)*Data_NFI_t[[#This Row],[Sanitary Kit]],0)</f>
        <v>0</v>
      </c>
      <c r="AF229" s="86">
        <f>IF(NFI_Expiration=1,IF($A229&lt;VLOOKUP(N$5,NFI,5,0),1,0)*Data_NFI_t[[#This Row],[Mosquito net]],0)</f>
        <v>0</v>
      </c>
      <c r="AG229" s="86">
        <f>IF(NFI_Expiration=1,IF($A229&lt;VLOOKUP(O$5,NFI,5,0),1,0)*Data_NFI_t[[#This Row],[Tarpaulin]],0)</f>
        <v>0</v>
      </c>
      <c r="AH229" s="86">
        <f>IF(NFI_Expiration=1,IF($A229&lt;VLOOKUP(P$5,NFI,5,0),1,0)*Data_NFI_t[[#This Row],[Blanket]],0)</f>
        <v>0</v>
      </c>
      <c r="AI229" s="86">
        <f>IF(NFI_Expiration=1,IF($A229&lt;VLOOKUP(Q$5,NFI,5,0),1,0)*Data_NFI_t[[#This Row],[Kitchen Set]],0)</f>
        <v>0</v>
      </c>
      <c r="AJ229" s="86">
        <f>IF(NFI_Expiration=1,IF($A229&lt;VLOOKUP(R$5,NFI,5,0),1,0)*Data_NFI_t[[#This Row],[Complementary Kit]],0)</f>
        <v>0</v>
      </c>
      <c r="AK229" s="86">
        <f>IF(NFI_Expiration=1,IF($A229&lt;VLOOKUP(S$5,NFI,5,0),1,0)*Data_NFI_t[[#This Row],[Plastic Bucket]],0)</f>
        <v>0</v>
      </c>
      <c r="AL229" s="86">
        <f>IF(NFI_Expiration=1,IF($A229&lt;VLOOKUP(T$5,NFI,5,0),1,0)*Data_NFI_t[[#This Row],[Jerry Can]],0)</f>
        <v>0</v>
      </c>
      <c r="AM229" s="105">
        <f>IF(NFI_Expiration=1,IF($A229&lt;VLOOKUP(U$5,NFI,5,0),1,0)*Data_NFI_t[[#This Row],[Plastic Mat]],0)*IF(Data_NFI_t[[#This Row],[Distribution Date]]&gt;"01-06-2015",1,2.5)</f>
        <v>0</v>
      </c>
      <c r="AN229" s="734">
        <f>IF(NFI_Expiration=1,IF($A229&lt;VLOOKUP(V$5,NFI,5,0),1,0)*Data_NFI_t[[#This Row],[Adult Clothes]],0)</f>
        <v>0</v>
      </c>
      <c r="AO229" s="105">
        <f>IF(NFI_Expiration=1,IF($A229&lt;VLOOKUP(W$5,NFI,5,0),1,0)*Data_NFI_t[[#This Row],[Children Clothes]],0)</f>
        <v>0</v>
      </c>
      <c r="AP229" s="105">
        <f>IF(NFI_Expiration=1,IF($A229&lt;VLOOKUP(X$5,NFI,5,0),1,0)*Data_NFI_t[[#This Row],[Sewing Kit]],0)</f>
        <v>0</v>
      </c>
      <c r="AQ229" s="734">
        <f>IF(NFI_Expiration=1,IF($A229&lt;VLOOKUP(X$5,NFI,5,0),1,0)*Data_NFI_t[[#This Row],[Solar Lantern]],0)</f>
        <v>0</v>
      </c>
      <c r="AR229" s="105" t="str">
        <f ca="1">IFERROR(OFFSET(Camp_List[P_Code],MATCH(Data_NFI_t[[#This Row],[Camp Name]],Camp_List[Camp Name],0)-1,0,1,1),"")</f>
        <v>MMR012CMP080</v>
      </c>
      <c r="AS229" s="421" t="str">
        <f ca="1">IFERROR(OFFSET(Camp_List[Status],MATCH(Data_NFI_t[[#This Row],[Camp Name]],Camp_List[Camp Name],0)-1,0,1,1),"")</f>
        <v>Close</v>
      </c>
      <c r="AT229" s="105"/>
    </row>
    <row r="230" spans="1:46" s="78" customFormat="1" ht="19.5" customHeight="1" x14ac:dyDescent="0.25">
      <c r="A230" s="208">
        <f t="shared" si="3"/>
        <v>44.6</v>
      </c>
      <c r="B230" s="208">
        <f>YEAR(Data_NFI_t[[#This Row],[Distribution Date]])</f>
        <v>2014</v>
      </c>
      <c r="C230" s="744">
        <v>41852</v>
      </c>
      <c r="D230" s="402" t="s">
        <v>828</v>
      </c>
      <c r="E230" s="401" t="s">
        <v>828</v>
      </c>
      <c r="F230" s="402" t="s">
        <v>7</v>
      </c>
      <c r="G230" s="670" t="s">
        <v>18</v>
      </c>
      <c r="H230" s="670" t="s">
        <v>98</v>
      </c>
      <c r="I230" s="670"/>
      <c r="J230" s="670"/>
      <c r="K230" s="670"/>
      <c r="L230" s="42"/>
      <c r="M230" s="42"/>
      <c r="N230" s="42"/>
      <c r="O230" s="42"/>
      <c r="P230" s="42"/>
      <c r="Q230" s="42"/>
      <c r="R230" s="42">
        <v>103</v>
      </c>
      <c r="S230" s="42"/>
      <c r="T230" s="419"/>
      <c r="U230" s="42"/>
      <c r="V230" s="42"/>
      <c r="W230" s="42"/>
      <c r="X230" s="42"/>
      <c r="Y230" s="42"/>
      <c r="Z230" s="42"/>
      <c r="AA230" s="42"/>
      <c r="AB230" s="42"/>
      <c r="AC230" s="105">
        <f>IF(NFI_Expiration=1,IF($A230&lt;VLOOKUP(I$5,NFI,5,0),1,0)*Data_NFI_t[[#This Row],[Hygiene Kit]],0)</f>
        <v>0</v>
      </c>
      <c r="AD230" s="105">
        <f>IF(NFI_Expiration=1,IF($A230&lt;VLOOKUP(L$5,NFI,5,0),1,0)*Data_NFI_t[[#This Row],[NFI Core Kit]],0)</f>
        <v>0</v>
      </c>
      <c r="AE230" s="86">
        <f>IF(NFI_Expiration=1,IF($A230&lt;VLOOKUP(M$5,NFI,5,0),1,0)*Data_NFI_t[[#This Row],[Sanitary Kit]],0)</f>
        <v>0</v>
      </c>
      <c r="AF230" s="86">
        <f>IF(NFI_Expiration=1,IF($A230&lt;VLOOKUP(N$5,NFI,5,0),1,0)*Data_NFI_t[[#This Row],[Mosquito net]],0)</f>
        <v>0</v>
      </c>
      <c r="AG230" s="86">
        <f>IF(NFI_Expiration=1,IF($A230&lt;VLOOKUP(O$5,NFI,5,0),1,0)*Data_NFI_t[[#This Row],[Tarpaulin]],0)</f>
        <v>0</v>
      </c>
      <c r="AH230" s="86">
        <f>IF(NFI_Expiration=1,IF($A230&lt;VLOOKUP(P$5,NFI,5,0),1,0)*Data_NFI_t[[#This Row],[Blanket]],0)</f>
        <v>0</v>
      </c>
      <c r="AI230" s="86">
        <f>IF(NFI_Expiration=1,IF($A230&lt;VLOOKUP(Q$5,NFI,5,0),1,0)*Data_NFI_t[[#This Row],[Kitchen Set]],0)</f>
        <v>0</v>
      </c>
      <c r="AJ230" s="86">
        <f>IF(NFI_Expiration=1,IF($A230&lt;VLOOKUP(R$5,NFI,5,0),1,0)*Data_NFI_t[[#This Row],[Complementary Kit]],0)</f>
        <v>0</v>
      </c>
      <c r="AK230" s="86">
        <f>IF(NFI_Expiration=1,IF($A230&lt;VLOOKUP(S$5,NFI,5,0),1,0)*Data_NFI_t[[#This Row],[Plastic Bucket]],0)</f>
        <v>0</v>
      </c>
      <c r="AL230" s="86">
        <f>IF(NFI_Expiration=1,IF($A230&lt;VLOOKUP(T$5,NFI,5,0),1,0)*Data_NFI_t[[#This Row],[Jerry Can]],0)</f>
        <v>0</v>
      </c>
      <c r="AM230" s="105">
        <f>IF(NFI_Expiration=1,IF($A230&lt;VLOOKUP(U$5,NFI,5,0),1,0)*Data_NFI_t[[#This Row],[Plastic Mat]],0)*IF(Data_NFI_t[[#This Row],[Distribution Date]]&gt;"01-06-2015",1,2.5)</f>
        <v>0</v>
      </c>
      <c r="AN230" s="734">
        <f>IF(NFI_Expiration=1,IF($A230&lt;VLOOKUP(V$5,NFI,5,0),1,0)*Data_NFI_t[[#This Row],[Adult Clothes]],0)</f>
        <v>0</v>
      </c>
      <c r="AO230" s="105">
        <f>IF(NFI_Expiration=1,IF($A230&lt;VLOOKUP(W$5,NFI,5,0),1,0)*Data_NFI_t[[#This Row],[Children Clothes]],0)</f>
        <v>0</v>
      </c>
      <c r="AP230" s="105">
        <f>IF(NFI_Expiration=1,IF($A230&lt;VLOOKUP(X$5,NFI,5,0),1,0)*Data_NFI_t[[#This Row],[Sewing Kit]],0)</f>
        <v>0</v>
      </c>
      <c r="AQ230" s="734">
        <f>IF(NFI_Expiration=1,IF($A230&lt;VLOOKUP(X$5,NFI,5,0),1,0)*Data_NFI_t[[#This Row],[Solar Lantern]],0)</f>
        <v>0</v>
      </c>
      <c r="AR230" s="105" t="str">
        <f ca="1">IFERROR(OFFSET(Camp_List[P_Code],MATCH(Data_NFI_t[[#This Row],[Camp Name]],Camp_List[Camp Name],0)-1,0,1,1),"")</f>
        <v>MMR012CMP079</v>
      </c>
      <c r="AS230" s="421" t="str">
        <f ca="1">IFERROR(OFFSET(Camp_List[Status],MATCH(Data_NFI_t[[#This Row],[Camp Name]],Camp_List[Camp Name],0)-1,0,1,1),"")</f>
        <v>Close</v>
      </c>
      <c r="AT230" s="105"/>
    </row>
    <row r="231" spans="1:46" s="78" customFormat="1" ht="19.5" customHeight="1" x14ac:dyDescent="0.25">
      <c r="A231" s="208">
        <f t="shared" si="3"/>
        <v>44.6</v>
      </c>
      <c r="B231" s="208">
        <f>YEAR(Data_NFI_t[[#This Row],[Distribution Date]])</f>
        <v>2014</v>
      </c>
      <c r="C231" s="744">
        <v>41852</v>
      </c>
      <c r="D231" s="402" t="s">
        <v>828</v>
      </c>
      <c r="E231" s="401" t="s">
        <v>828</v>
      </c>
      <c r="F231" s="402" t="s">
        <v>7</v>
      </c>
      <c r="G231" s="670" t="s">
        <v>18</v>
      </c>
      <c r="H231" s="670" t="s">
        <v>100</v>
      </c>
      <c r="I231" s="670"/>
      <c r="J231" s="670"/>
      <c r="K231" s="670"/>
      <c r="L231" s="42"/>
      <c r="M231" s="42"/>
      <c r="N231" s="42"/>
      <c r="O231" s="42"/>
      <c r="P231" s="42"/>
      <c r="Q231" s="42"/>
      <c r="R231" s="42">
        <v>175</v>
      </c>
      <c r="S231" s="42"/>
      <c r="T231" s="419"/>
      <c r="U231" s="42"/>
      <c r="V231" s="42"/>
      <c r="W231" s="42"/>
      <c r="X231" s="42"/>
      <c r="Y231" s="42"/>
      <c r="Z231" s="42"/>
      <c r="AA231" s="42"/>
      <c r="AB231" s="42"/>
      <c r="AC231" s="105">
        <f>IF(NFI_Expiration=1,IF($A231&lt;VLOOKUP(I$5,NFI,5,0),1,0)*Data_NFI_t[[#This Row],[Hygiene Kit]],0)</f>
        <v>0</v>
      </c>
      <c r="AD231" s="105">
        <f>IF(NFI_Expiration=1,IF($A231&lt;VLOOKUP(L$5,NFI,5,0),1,0)*Data_NFI_t[[#This Row],[NFI Core Kit]],0)</f>
        <v>0</v>
      </c>
      <c r="AE231" s="86">
        <f>IF(NFI_Expiration=1,IF($A231&lt;VLOOKUP(M$5,NFI,5,0),1,0)*Data_NFI_t[[#This Row],[Sanitary Kit]],0)</f>
        <v>0</v>
      </c>
      <c r="AF231" s="86">
        <f>IF(NFI_Expiration=1,IF($A231&lt;VLOOKUP(N$5,NFI,5,0),1,0)*Data_NFI_t[[#This Row],[Mosquito net]],0)</f>
        <v>0</v>
      </c>
      <c r="AG231" s="86">
        <f>IF(NFI_Expiration=1,IF($A231&lt;VLOOKUP(O$5,NFI,5,0),1,0)*Data_NFI_t[[#This Row],[Tarpaulin]],0)</f>
        <v>0</v>
      </c>
      <c r="AH231" s="86">
        <f>IF(NFI_Expiration=1,IF($A231&lt;VLOOKUP(P$5,NFI,5,0),1,0)*Data_NFI_t[[#This Row],[Blanket]],0)</f>
        <v>0</v>
      </c>
      <c r="AI231" s="86">
        <f>IF(NFI_Expiration=1,IF($A231&lt;VLOOKUP(Q$5,NFI,5,0),1,0)*Data_NFI_t[[#This Row],[Kitchen Set]],0)</f>
        <v>0</v>
      </c>
      <c r="AJ231" s="86">
        <f>IF(NFI_Expiration=1,IF($A231&lt;VLOOKUP(R$5,NFI,5,0),1,0)*Data_NFI_t[[#This Row],[Complementary Kit]],0)</f>
        <v>0</v>
      </c>
      <c r="AK231" s="86">
        <f>IF(NFI_Expiration=1,IF($A231&lt;VLOOKUP(S$5,NFI,5,0),1,0)*Data_NFI_t[[#This Row],[Plastic Bucket]],0)</f>
        <v>0</v>
      </c>
      <c r="AL231" s="86">
        <f>IF(NFI_Expiration=1,IF($A231&lt;VLOOKUP(T$5,NFI,5,0),1,0)*Data_NFI_t[[#This Row],[Jerry Can]],0)</f>
        <v>0</v>
      </c>
      <c r="AM231" s="105">
        <f>IF(NFI_Expiration=1,IF($A231&lt;VLOOKUP(U$5,NFI,5,0),1,0)*Data_NFI_t[[#This Row],[Plastic Mat]],0)*IF(Data_NFI_t[[#This Row],[Distribution Date]]&gt;"01-06-2015",1,2.5)</f>
        <v>0</v>
      </c>
      <c r="AN231" s="734">
        <f>IF(NFI_Expiration=1,IF($A231&lt;VLOOKUP(V$5,NFI,5,0),1,0)*Data_NFI_t[[#This Row],[Adult Clothes]],0)</f>
        <v>0</v>
      </c>
      <c r="AO231" s="105">
        <f>IF(NFI_Expiration=1,IF($A231&lt;VLOOKUP(W$5,NFI,5,0),1,0)*Data_NFI_t[[#This Row],[Children Clothes]],0)</f>
        <v>0</v>
      </c>
      <c r="AP231" s="105">
        <f>IF(NFI_Expiration=1,IF($A231&lt;VLOOKUP(X$5,NFI,5,0),1,0)*Data_NFI_t[[#This Row],[Sewing Kit]],0)</f>
        <v>0</v>
      </c>
      <c r="AQ231" s="734">
        <f>IF(NFI_Expiration=1,IF($A231&lt;VLOOKUP(X$5,NFI,5,0),1,0)*Data_NFI_t[[#This Row],[Solar Lantern]],0)</f>
        <v>0</v>
      </c>
      <c r="AR231" s="105" t="str">
        <f ca="1">IFERROR(OFFSET(Camp_List[P_Code],MATCH(Data_NFI_t[[#This Row],[Camp Name]],Camp_List[Camp Name],0)-1,0,1,1),"")</f>
        <v>MMR012CMP081</v>
      </c>
      <c r="AS231" s="421" t="str">
        <f ca="1">IFERROR(OFFSET(Camp_List[Status],MATCH(Data_NFI_t[[#This Row],[Camp Name]],Camp_List[Camp Name],0)-1,0,1,1),"")</f>
        <v>Close</v>
      </c>
      <c r="AT231" s="105"/>
    </row>
    <row r="232" spans="1:46" s="78" customFormat="1" ht="19.5" customHeight="1" x14ac:dyDescent="0.25">
      <c r="A232" s="208">
        <f t="shared" si="3"/>
        <v>44.966666666666669</v>
      </c>
      <c r="B232" s="208">
        <f>YEAR(Data_NFI_t[[#This Row],[Distribution Date]])</f>
        <v>2014</v>
      </c>
      <c r="C232" s="744">
        <v>41841</v>
      </c>
      <c r="D232" s="402" t="s">
        <v>273</v>
      </c>
      <c r="E232" s="401" t="s">
        <v>273</v>
      </c>
      <c r="F232" s="402" t="s">
        <v>7</v>
      </c>
      <c r="G232" s="670" t="s">
        <v>17</v>
      </c>
      <c r="H232" s="670" t="s">
        <v>61</v>
      </c>
      <c r="I232" s="670"/>
      <c r="J232" s="670"/>
      <c r="K232" s="670"/>
      <c r="L232" s="42"/>
      <c r="M232" s="42"/>
      <c r="N232" s="42"/>
      <c r="O232" s="42">
        <v>304</v>
      </c>
      <c r="P232" s="42">
        <v>608</v>
      </c>
      <c r="Q232" s="42"/>
      <c r="R232" s="42"/>
      <c r="S232" s="42">
        <v>304</v>
      </c>
      <c r="T232" s="419"/>
      <c r="U232" s="42"/>
      <c r="V232" s="42"/>
      <c r="W232" s="42"/>
      <c r="X232" s="42"/>
      <c r="Y232" s="42"/>
      <c r="Z232" s="42"/>
      <c r="AA232" s="42"/>
      <c r="AB232" s="42"/>
      <c r="AC232" s="105">
        <f>IF(NFI_Expiration=1,IF($A232&lt;VLOOKUP(I$5,NFI,5,0),1,0)*Data_NFI_t[[#This Row],[Hygiene Kit]],0)</f>
        <v>0</v>
      </c>
      <c r="AD232" s="105">
        <f>IF(NFI_Expiration=1,IF($A232&lt;VLOOKUP(L$5,NFI,5,0),1,0)*Data_NFI_t[[#This Row],[NFI Core Kit]],0)</f>
        <v>0</v>
      </c>
      <c r="AE232" s="86">
        <f>IF(NFI_Expiration=1,IF($A232&lt;VLOOKUP(M$5,NFI,5,0),1,0)*Data_NFI_t[[#This Row],[Sanitary Kit]],0)</f>
        <v>0</v>
      </c>
      <c r="AF232" s="86">
        <f>IF(NFI_Expiration=1,IF($A232&lt;VLOOKUP(N$5,NFI,5,0),1,0)*Data_NFI_t[[#This Row],[Mosquito net]],0)</f>
        <v>0</v>
      </c>
      <c r="AG232" s="86">
        <f>IF(NFI_Expiration=1,IF($A232&lt;VLOOKUP(O$5,NFI,5,0),1,0)*Data_NFI_t[[#This Row],[Tarpaulin]],0)</f>
        <v>0</v>
      </c>
      <c r="AH232" s="86">
        <f>IF(NFI_Expiration=1,IF($A232&lt;VLOOKUP(P$5,NFI,5,0),1,0)*Data_NFI_t[[#This Row],[Blanket]],0)</f>
        <v>0</v>
      </c>
      <c r="AI232" s="86">
        <f>IF(NFI_Expiration=1,IF($A232&lt;VLOOKUP(Q$5,NFI,5,0),1,0)*Data_NFI_t[[#This Row],[Kitchen Set]],0)</f>
        <v>0</v>
      </c>
      <c r="AJ232" s="86">
        <f>IF(NFI_Expiration=1,IF($A232&lt;VLOOKUP(R$5,NFI,5,0),1,0)*Data_NFI_t[[#This Row],[Complementary Kit]],0)</f>
        <v>0</v>
      </c>
      <c r="AK232" s="86">
        <f>IF(NFI_Expiration=1,IF($A232&lt;VLOOKUP(S$5,NFI,5,0),1,0)*Data_NFI_t[[#This Row],[Plastic Bucket]],0)</f>
        <v>0</v>
      </c>
      <c r="AL232" s="86">
        <f>IF(NFI_Expiration=1,IF($A232&lt;VLOOKUP(T$5,NFI,5,0),1,0)*Data_NFI_t[[#This Row],[Jerry Can]],0)</f>
        <v>0</v>
      </c>
      <c r="AM232" s="105">
        <f>IF(NFI_Expiration=1,IF($A232&lt;VLOOKUP(U$5,NFI,5,0),1,0)*Data_NFI_t[[#This Row],[Plastic Mat]],0)*IF(Data_NFI_t[[#This Row],[Distribution Date]]&gt;"01-06-2015",1,2.5)</f>
        <v>0</v>
      </c>
      <c r="AN232" s="734">
        <f>IF(NFI_Expiration=1,IF($A232&lt;VLOOKUP(V$5,NFI,5,0),1,0)*Data_NFI_t[[#This Row],[Adult Clothes]],0)</f>
        <v>0</v>
      </c>
      <c r="AO232" s="105">
        <f>IF(NFI_Expiration=1,IF($A232&lt;VLOOKUP(W$5,NFI,5,0),1,0)*Data_NFI_t[[#This Row],[Children Clothes]],0)</f>
        <v>0</v>
      </c>
      <c r="AP232" s="105">
        <f>IF(NFI_Expiration=1,IF($A232&lt;VLOOKUP(X$5,NFI,5,0),1,0)*Data_NFI_t[[#This Row],[Sewing Kit]],0)</f>
        <v>0</v>
      </c>
      <c r="AQ232" s="734">
        <f>IF(NFI_Expiration=1,IF($A232&lt;VLOOKUP(X$5,NFI,5,0),1,0)*Data_NFI_t[[#This Row],[Solar Lantern]],0)</f>
        <v>0</v>
      </c>
      <c r="AR232" s="105" t="str">
        <f ca="1">IFERROR(OFFSET(Camp_List[P_Code],MATCH(Data_NFI_t[[#This Row],[Camp Name]],Camp_List[Camp Name],0)-1,0,1,1),"")</f>
        <v>MMR012CMP041</v>
      </c>
      <c r="AS232" s="421" t="str">
        <f ca="1">IFERROR(OFFSET(Camp_List[Status],MATCH(Data_NFI_t[[#This Row],[Camp Name]],Camp_List[Camp Name],0)-1,0,1,1),"")</f>
        <v>Open</v>
      </c>
      <c r="AT232" s="105"/>
    </row>
    <row r="233" spans="1:46" s="78" customFormat="1" ht="19.5" customHeight="1" x14ac:dyDescent="0.25">
      <c r="A233" s="208">
        <f t="shared" si="3"/>
        <v>44.966666666666669</v>
      </c>
      <c r="B233" s="208">
        <f>YEAR(Data_NFI_t[[#This Row],[Distribution Date]])</f>
        <v>2014</v>
      </c>
      <c r="C233" s="744">
        <v>41841</v>
      </c>
      <c r="D233" s="402" t="s">
        <v>575</v>
      </c>
      <c r="E233" s="401" t="s">
        <v>575</v>
      </c>
      <c r="F233" s="402" t="s">
        <v>7</v>
      </c>
      <c r="G233" s="670" t="s">
        <v>17</v>
      </c>
      <c r="H233" s="670" t="s">
        <v>76</v>
      </c>
      <c r="I233" s="670"/>
      <c r="J233" s="670"/>
      <c r="K233" s="670"/>
      <c r="L233" s="42">
        <v>70</v>
      </c>
      <c r="M233" s="42"/>
      <c r="N233" s="42"/>
      <c r="O233" s="42"/>
      <c r="P233" s="42"/>
      <c r="Q233" s="42"/>
      <c r="R233" s="42"/>
      <c r="S233" s="42"/>
      <c r="T233" s="419"/>
      <c r="U233" s="42"/>
      <c r="V233" s="42"/>
      <c r="W233" s="42"/>
      <c r="X233" s="42"/>
      <c r="Y233" s="42"/>
      <c r="Z233" s="42"/>
      <c r="AA233" s="42"/>
      <c r="AB233" s="42"/>
      <c r="AC233" s="105">
        <f>IF(NFI_Expiration=1,IF($A233&lt;VLOOKUP(I$5,NFI,5,0),1,0)*Data_NFI_t[[#This Row],[Hygiene Kit]],0)</f>
        <v>0</v>
      </c>
      <c r="AD233" s="105">
        <f>IF(NFI_Expiration=1,IF($A233&lt;VLOOKUP(L$5,NFI,5,0),1,0)*Data_NFI_t[[#This Row],[NFI Core Kit]],0)</f>
        <v>0</v>
      </c>
      <c r="AE233" s="86">
        <f>IF(NFI_Expiration=1,IF($A233&lt;VLOOKUP(M$5,NFI,5,0),1,0)*Data_NFI_t[[#This Row],[Sanitary Kit]],0)</f>
        <v>0</v>
      </c>
      <c r="AF233" s="86">
        <f>IF(NFI_Expiration=1,IF($A233&lt;VLOOKUP(N$5,NFI,5,0),1,0)*Data_NFI_t[[#This Row],[Mosquito net]],0)</f>
        <v>0</v>
      </c>
      <c r="AG233" s="86">
        <f>IF(NFI_Expiration=1,IF($A233&lt;VLOOKUP(O$5,NFI,5,0),1,0)*Data_NFI_t[[#This Row],[Tarpaulin]],0)</f>
        <v>0</v>
      </c>
      <c r="AH233" s="86">
        <f>IF(NFI_Expiration=1,IF($A233&lt;VLOOKUP(P$5,NFI,5,0),1,0)*Data_NFI_t[[#This Row],[Blanket]],0)</f>
        <v>0</v>
      </c>
      <c r="AI233" s="86">
        <f>IF(NFI_Expiration=1,IF($A233&lt;VLOOKUP(Q$5,NFI,5,0),1,0)*Data_NFI_t[[#This Row],[Kitchen Set]],0)</f>
        <v>0</v>
      </c>
      <c r="AJ233" s="86">
        <f>IF(NFI_Expiration=1,IF($A233&lt;VLOOKUP(R$5,NFI,5,0),1,0)*Data_NFI_t[[#This Row],[Complementary Kit]],0)</f>
        <v>0</v>
      </c>
      <c r="AK233" s="86">
        <f>IF(NFI_Expiration=1,IF($A233&lt;VLOOKUP(S$5,NFI,5,0),1,0)*Data_NFI_t[[#This Row],[Plastic Bucket]],0)</f>
        <v>0</v>
      </c>
      <c r="AL233" s="86">
        <f>IF(NFI_Expiration=1,IF($A233&lt;VLOOKUP(T$5,NFI,5,0),1,0)*Data_NFI_t[[#This Row],[Jerry Can]],0)</f>
        <v>0</v>
      </c>
      <c r="AM233" s="105">
        <f>IF(NFI_Expiration=1,IF($A233&lt;VLOOKUP(U$5,NFI,5,0),1,0)*Data_NFI_t[[#This Row],[Plastic Mat]],0)*IF(Data_NFI_t[[#This Row],[Distribution Date]]&gt;"01-06-2015",1,2.5)</f>
        <v>0</v>
      </c>
      <c r="AN233" s="734">
        <f>IF(NFI_Expiration=1,IF($A233&lt;VLOOKUP(V$5,NFI,5,0),1,0)*Data_NFI_t[[#This Row],[Adult Clothes]],0)</f>
        <v>0</v>
      </c>
      <c r="AO233" s="105">
        <f>IF(NFI_Expiration=1,IF($A233&lt;VLOOKUP(W$5,NFI,5,0),1,0)*Data_NFI_t[[#This Row],[Children Clothes]],0)</f>
        <v>0</v>
      </c>
      <c r="AP233" s="105">
        <f>IF(NFI_Expiration=1,IF($A233&lt;VLOOKUP(X$5,NFI,5,0),1,0)*Data_NFI_t[[#This Row],[Sewing Kit]],0)</f>
        <v>0</v>
      </c>
      <c r="AQ233" s="734">
        <f>IF(NFI_Expiration=1,IF($A233&lt;VLOOKUP(X$5,NFI,5,0),1,0)*Data_NFI_t[[#This Row],[Solar Lantern]],0)</f>
        <v>0</v>
      </c>
      <c r="AR233" s="105" t="str">
        <f ca="1">IFERROR(OFFSET(Camp_List[P_Code],MATCH(Data_NFI_t[[#This Row],[Camp Name]],Camp_List[Camp Name],0)-1,0,1,1),"")</f>
        <v>MMR012CMP056</v>
      </c>
      <c r="AS233" s="421" t="str">
        <f ca="1">IFERROR(OFFSET(Camp_List[Status],MATCH(Data_NFI_t[[#This Row],[Camp Name]],Camp_List[Camp Name],0)-1,0,1,1),"")</f>
        <v>Relocated</v>
      </c>
      <c r="AT233" s="105"/>
    </row>
    <row r="234" spans="1:46" s="78" customFormat="1" ht="19.5" customHeight="1" x14ac:dyDescent="0.25">
      <c r="A234" s="208">
        <f t="shared" si="3"/>
        <v>44.966666666666669</v>
      </c>
      <c r="B234" s="208">
        <f>YEAR(Data_NFI_t[[#This Row],[Distribution Date]])</f>
        <v>2014</v>
      </c>
      <c r="C234" s="744">
        <v>41841</v>
      </c>
      <c r="D234" s="402" t="s">
        <v>575</v>
      </c>
      <c r="E234" s="401" t="s">
        <v>575</v>
      </c>
      <c r="F234" s="402" t="s">
        <v>7</v>
      </c>
      <c r="G234" s="670" t="s">
        <v>17</v>
      </c>
      <c r="H234" s="670" t="s">
        <v>232</v>
      </c>
      <c r="I234" s="670"/>
      <c r="J234" s="670"/>
      <c r="K234" s="670"/>
      <c r="L234" s="42">
        <v>151</v>
      </c>
      <c r="M234" s="42"/>
      <c r="N234" s="42"/>
      <c r="O234" s="42"/>
      <c r="P234" s="42"/>
      <c r="Q234" s="42"/>
      <c r="R234" s="42"/>
      <c r="S234" s="42"/>
      <c r="T234" s="419"/>
      <c r="U234" s="42"/>
      <c r="V234" s="42"/>
      <c r="W234" s="42"/>
      <c r="X234" s="42"/>
      <c r="Y234" s="42"/>
      <c r="Z234" s="42"/>
      <c r="AA234" s="42"/>
      <c r="AB234" s="42"/>
      <c r="AC234" s="105">
        <f>IF(NFI_Expiration=1,IF($A234&lt;VLOOKUP(I$5,NFI,5,0),1,0)*Data_NFI_t[[#This Row],[Hygiene Kit]],0)</f>
        <v>0</v>
      </c>
      <c r="AD234" s="105">
        <f>IF(NFI_Expiration=1,IF($A234&lt;VLOOKUP(L$5,NFI,5,0),1,0)*Data_NFI_t[[#This Row],[NFI Core Kit]],0)</f>
        <v>0</v>
      </c>
      <c r="AE234" s="86">
        <f>IF(NFI_Expiration=1,IF($A234&lt;VLOOKUP(M$5,NFI,5,0),1,0)*Data_NFI_t[[#This Row],[Sanitary Kit]],0)</f>
        <v>0</v>
      </c>
      <c r="AF234" s="86">
        <f>IF(NFI_Expiration=1,IF($A234&lt;VLOOKUP(N$5,NFI,5,0),1,0)*Data_NFI_t[[#This Row],[Mosquito net]],0)</f>
        <v>0</v>
      </c>
      <c r="AG234" s="86">
        <f>IF(NFI_Expiration=1,IF($A234&lt;VLOOKUP(O$5,NFI,5,0),1,0)*Data_NFI_t[[#This Row],[Tarpaulin]],0)</f>
        <v>0</v>
      </c>
      <c r="AH234" s="86">
        <f>IF(NFI_Expiration=1,IF($A234&lt;VLOOKUP(P$5,NFI,5,0),1,0)*Data_NFI_t[[#This Row],[Blanket]],0)</f>
        <v>0</v>
      </c>
      <c r="AI234" s="86">
        <f>IF(NFI_Expiration=1,IF($A234&lt;VLOOKUP(Q$5,NFI,5,0),1,0)*Data_NFI_t[[#This Row],[Kitchen Set]],0)</f>
        <v>0</v>
      </c>
      <c r="AJ234" s="86">
        <f>IF(NFI_Expiration=1,IF($A234&lt;VLOOKUP(R$5,NFI,5,0),1,0)*Data_NFI_t[[#This Row],[Complementary Kit]],0)</f>
        <v>0</v>
      </c>
      <c r="AK234" s="86">
        <f>IF(NFI_Expiration=1,IF($A234&lt;VLOOKUP(S$5,NFI,5,0),1,0)*Data_NFI_t[[#This Row],[Plastic Bucket]],0)</f>
        <v>0</v>
      </c>
      <c r="AL234" s="86">
        <f>IF(NFI_Expiration=1,IF($A234&lt;VLOOKUP(T$5,NFI,5,0),1,0)*Data_NFI_t[[#This Row],[Jerry Can]],0)</f>
        <v>0</v>
      </c>
      <c r="AM234" s="105">
        <f>IF(NFI_Expiration=1,IF($A234&lt;VLOOKUP(U$5,NFI,5,0),1,0)*Data_NFI_t[[#This Row],[Plastic Mat]],0)*IF(Data_NFI_t[[#This Row],[Distribution Date]]&gt;"01-06-2015",1,2.5)</f>
        <v>0</v>
      </c>
      <c r="AN234" s="734">
        <f>IF(NFI_Expiration=1,IF($A234&lt;VLOOKUP(V$5,NFI,5,0),1,0)*Data_NFI_t[[#This Row],[Adult Clothes]],0)</f>
        <v>0</v>
      </c>
      <c r="AO234" s="105">
        <f>IF(NFI_Expiration=1,IF($A234&lt;VLOOKUP(W$5,NFI,5,0),1,0)*Data_NFI_t[[#This Row],[Children Clothes]],0)</f>
        <v>0</v>
      </c>
      <c r="AP234" s="105">
        <f>IF(NFI_Expiration=1,IF($A234&lt;VLOOKUP(X$5,NFI,5,0),1,0)*Data_NFI_t[[#This Row],[Sewing Kit]],0)</f>
        <v>0</v>
      </c>
      <c r="AQ234" s="734">
        <f>IF(NFI_Expiration=1,IF($A234&lt;VLOOKUP(X$5,NFI,5,0),1,0)*Data_NFI_t[[#This Row],[Solar Lantern]],0)</f>
        <v>0</v>
      </c>
      <c r="AR234" s="105" t="str">
        <f ca="1">IFERROR(OFFSET(Camp_List[P_Code],MATCH(Data_NFI_t[[#This Row],[Camp Name]],Camp_List[Camp Name],0)-1,0,1,1),"")</f>
        <v/>
      </c>
      <c r="AS234" s="421" t="str">
        <f ca="1">IFERROR(OFFSET(Camp_List[Status],MATCH(Data_NFI_t[[#This Row],[Camp Name]],Camp_List[Camp Name],0)-1,0,1,1),"")</f>
        <v/>
      </c>
      <c r="AT234" s="105"/>
    </row>
    <row r="235" spans="1:46" s="78" customFormat="1" ht="19.5" customHeight="1" x14ac:dyDescent="0.25">
      <c r="A235" s="208">
        <f t="shared" si="3"/>
        <v>46.2</v>
      </c>
      <c r="B235" s="208">
        <f>YEAR(Data_NFI_t[[#This Row],[Distribution Date]])</f>
        <v>2014</v>
      </c>
      <c r="C235" s="744">
        <v>41804</v>
      </c>
      <c r="D235" s="402" t="s">
        <v>575</v>
      </c>
      <c r="E235" s="401" t="s">
        <v>575</v>
      </c>
      <c r="F235" s="402" t="s">
        <v>7</v>
      </c>
      <c r="G235" s="670" t="s">
        <v>17</v>
      </c>
      <c r="H235" s="670" t="s">
        <v>62</v>
      </c>
      <c r="I235" s="670"/>
      <c r="J235" s="670"/>
      <c r="K235" s="670"/>
      <c r="L235" s="42"/>
      <c r="M235" s="42"/>
      <c r="N235" s="42">
        <v>2</v>
      </c>
      <c r="O235" s="42">
        <v>1</v>
      </c>
      <c r="P235" s="42">
        <v>2</v>
      </c>
      <c r="Q235" s="42">
        <v>1</v>
      </c>
      <c r="R235" s="42"/>
      <c r="S235" s="42">
        <v>1</v>
      </c>
      <c r="T235" s="419"/>
      <c r="U235" s="42">
        <v>5</v>
      </c>
      <c r="V235" s="42"/>
      <c r="W235" s="42"/>
      <c r="X235" s="42"/>
      <c r="Y235" s="42"/>
      <c r="Z235" s="42"/>
      <c r="AA235" s="42"/>
      <c r="AB235" s="42"/>
      <c r="AC235" s="105">
        <f>IF(NFI_Expiration=1,IF($A235&lt;VLOOKUP(I$5,NFI,5,0),1,0)*Data_NFI_t[[#This Row],[Hygiene Kit]],0)</f>
        <v>0</v>
      </c>
      <c r="AD235" s="105">
        <f>IF(NFI_Expiration=1,IF($A235&lt;VLOOKUP(L$5,NFI,5,0),1,0)*Data_NFI_t[[#This Row],[NFI Core Kit]],0)</f>
        <v>0</v>
      </c>
      <c r="AE235" s="86">
        <f>IF(NFI_Expiration=1,IF($A235&lt;VLOOKUP(M$5,NFI,5,0),1,0)*Data_NFI_t[[#This Row],[Sanitary Kit]],0)</f>
        <v>0</v>
      </c>
      <c r="AF235" s="86">
        <f>IF(NFI_Expiration=1,IF($A235&lt;VLOOKUP(N$5,NFI,5,0),1,0)*Data_NFI_t[[#This Row],[Mosquito net]],0)</f>
        <v>0</v>
      </c>
      <c r="AG235" s="86">
        <f>IF(NFI_Expiration=1,IF($A235&lt;VLOOKUP(O$5,NFI,5,0),1,0)*Data_NFI_t[[#This Row],[Tarpaulin]],0)</f>
        <v>0</v>
      </c>
      <c r="AH235" s="86">
        <f>IF(NFI_Expiration=1,IF($A235&lt;VLOOKUP(P$5,NFI,5,0),1,0)*Data_NFI_t[[#This Row],[Blanket]],0)</f>
        <v>0</v>
      </c>
      <c r="AI235" s="86">
        <f>IF(NFI_Expiration=1,IF($A235&lt;VLOOKUP(Q$5,NFI,5,0),1,0)*Data_NFI_t[[#This Row],[Kitchen Set]],0)</f>
        <v>0</v>
      </c>
      <c r="AJ235" s="86">
        <f>IF(NFI_Expiration=1,IF($A235&lt;VLOOKUP(R$5,NFI,5,0),1,0)*Data_NFI_t[[#This Row],[Complementary Kit]],0)</f>
        <v>0</v>
      </c>
      <c r="AK235" s="86">
        <f>IF(NFI_Expiration=1,IF($A235&lt;VLOOKUP(S$5,NFI,5,0),1,0)*Data_NFI_t[[#This Row],[Plastic Bucket]],0)</f>
        <v>0</v>
      </c>
      <c r="AL235" s="86">
        <f>IF(NFI_Expiration=1,IF($A235&lt;VLOOKUP(T$5,NFI,5,0),1,0)*Data_NFI_t[[#This Row],[Jerry Can]],0)</f>
        <v>0</v>
      </c>
      <c r="AM235" s="105">
        <f>IF(NFI_Expiration=1,IF($A235&lt;VLOOKUP(U$5,NFI,5,0),1,0)*Data_NFI_t[[#This Row],[Plastic Mat]],0)*IF(Data_NFI_t[[#This Row],[Distribution Date]]&gt;"01-06-2015",1,2.5)</f>
        <v>0</v>
      </c>
      <c r="AN235" s="734">
        <f>IF(NFI_Expiration=1,IF($A235&lt;VLOOKUP(V$5,NFI,5,0),1,0)*Data_NFI_t[[#This Row],[Adult Clothes]],0)</f>
        <v>0</v>
      </c>
      <c r="AO235" s="105">
        <f>IF(NFI_Expiration=1,IF($A235&lt;VLOOKUP(W$5,NFI,5,0),1,0)*Data_NFI_t[[#This Row],[Children Clothes]],0)</f>
        <v>0</v>
      </c>
      <c r="AP235" s="105">
        <f>IF(NFI_Expiration=1,IF($A235&lt;VLOOKUP(X$5,NFI,5,0),1,0)*Data_NFI_t[[#This Row],[Sewing Kit]],0)</f>
        <v>0</v>
      </c>
      <c r="AQ235" s="734">
        <f>IF(NFI_Expiration=1,IF($A235&lt;VLOOKUP(X$5,NFI,5,0),1,0)*Data_NFI_t[[#This Row],[Solar Lantern]],0)</f>
        <v>0</v>
      </c>
      <c r="AR235" s="105" t="str">
        <f ca="1">IFERROR(OFFSET(Camp_List[P_Code],MATCH(Data_NFI_t[[#This Row],[Camp Name]],Camp_List[Camp Name],0)-1,0,1,1),"")</f>
        <v>MMR012CMP042</v>
      </c>
      <c r="AS235" s="421" t="str">
        <f ca="1">IFERROR(OFFSET(Camp_List[Status],MATCH(Data_NFI_t[[#This Row],[Camp Name]],Camp_List[Camp Name],0)-1,0,1,1),"")</f>
        <v>Open</v>
      </c>
      <c r="AT235" s="105"/>
    </row>
    <row r="236" spans="1:46" s="78" customFormat="1" ht="19.5" customHeight="1" x14ac:dyDescent="0.25">
      <c r="A236" s="208">
        <f t="shared" si="3"/>
        <v>46.4</v>
      </c>
      <c r="B236" s="208">
        <f>YEAR(Data_NFI_t[[#This Row],[Distribution Date]])</f>
        <v>2014</v>
      </c>
      <c r="C236" s="744">
        <v>41798</v>
      </c>
      <c r="D236" s="402" t="s">
        <v>270</v>
      </c>
      <c r="E236" s="401" t="s">
        <v>270</v>
      </c>
      <c r="F236" s="402" t="s">
        <v>7</v>
      </c>
      <c r="G236" s="670" t="s">
        <v>17</v>
      </c>
      <c r="H236" s="670" t="s">
        <v>505</v>
      </c>
      <c r="I236" s="670"/>
      <c r="J236" s="670"/>
      <c r="K236" s="670"/>
      <c r="L236" s="42">
        <v>2404</v>
      </c>
      <c r="M236" s="42"/>
      <c r="N236" s="42">
        <v>4808</v>
      </c>
      <c r="O236" s="42">
        <v>2404</v>
      </c>
      <c r="P236" s="42">
        <v>4808</v>
      </c>
      <c r="Q236" s="42">
        <v>2404</v>
      </c>
      <c r="R236" s="42"/>
      <c r="S236" s="42">
        <v>2404</v>
      </c>
      <c r="T236" s="419"/>
      <c r="U236" s="42">
        <v>12020</v>
      </c>
      <c r="V236" s="42"/>
      <c r="W236" s="42"/>
      <c r="X236" s="42"/>
      <c r="Y236" s="42"/>
      <c r="Z236" s="42"/>
      <c r="AA236" s="42"/>
      <c r="AB236" s="42"/>
      <c r="AC236" s="105">
        <f>IF(NFI_Expiration=1,IF($A236&lt;VLOOKUP(I$5,NFI,5,0),1,0)*Data_NFI_t[[#This Row],[Hygiene Kit]],0)</f>
        <v>0</v>
      </c>
      <c r="AD236" s="105">
        <f>IF(NFI_Expiration=1,IF($A236&lt;VLOOKUP(L$5,NFI,5,0),1,0)*Data_NFI_t[[#This Row],[NFI Core Kit]],0)</f>
        <v>0</v>
      </c>
      <c r="AE236" s="86">
        <f>IF(NFI_Expiration=1,IF($A236&lt;VLOOKUP(M$5,NFI,5,0),1,0)*Data_NFI_t[[#This Row],[Sanitary Kit]],0)</f>
        <v>0</v>
      </c>
      <c r="AF236" s="86">
        <f>IF(NFI_Expiration=1,IF($A236&lt;VLOOKUP(N$5,NFI,5,0),1,0)*Data_NFI_t[[#This Row],[Mosquito net]],0)</f>
        <v>0</v>
      </c>
      <c r="AG236" s="86">
        <f>IF(NFI_Expiration=1,IF($A236&lt;VLOOKUP(O$5,NFI,5,0),1,0)*Data_NFI_t[[#This Row],[Tarpaulin]],0)</f>
        <v>0</v>
      </c>
      <c r="AH236" s="86">
        <f>IF(NFI_Expiration=1,IF($A236&lt;VLOOKUP(P$5,NFI,5,0),1,0)*Data_NFI_t[[#This Row],[Blanket]],0)</f>
        <v>0</v>
      </c>
      <c r="AI236" s="86">
        <f>IF(NFI_Expiration=1,IF($A236&lt;VLOOKUP(Q$5,NFI,5,0),1,0)*Data_NFI_t[[#This Row],[Kitchen Set]],0)</f>
        <v>0</v>
      </c>
      <c r="AJ236" s="86">
        <f>IF(NFI_Expiration=1,IF($A236&lt;VLOOKUP(R$5,NFI,5,0),1,0)*Data_NFI_t[[#This Row],[Complementary Kit]],0)</f>
        <v>0</v>
      </c>
      <c r="AK236" s="86">
        <f>IF(NFI_Expiration=1,IF($A236&lt;VLOOKUP(S$5,NFI,5,0),1,0)*Data_NFI_t[[#This Row],[Plastic Bucket]],0)</f>
        <v>0</v>
      </c>
      <c r="AL236" s="86">
        <f>IF(NFI_Expiration=1,IF($A236&lt;VLOOKUP(T$5,NFI,5,0),1,0)*Data_NFI_t[[#This Row],[Jerry Can]],0)</f>
        <v>0</v>
      </c>
      <c r="AM236" s="105">
        <f>IF(NFI_Expiration=1,IF($A236&lt;VLOOKUP(U$5,NFI,5,0),1,0)*Data_NFI_t[[#This Row],[Plastic Mat]],0)*IF(Data_NFI_t[[#This Row],[Distribution Date]]&gt;"01-06-2015",1,2.5)</f>
        <v>0</v>
      </c>
      <c r="AN236" s="734">
        <f>IF(NFI_Expiration=1,IF($A236&lt;VLOOKUP(V$5,NFI,5,0),1,0)*Data_NFI_t[[#This Row],[Adult Clothes]],0)</f>
        <v>0</v>
      </c>
      <c r="AO236" s="105">
        <f>IF(NFI_Expiration=1,IF($A236&lt;VLOOKUP(W$5,NFI,5,0),1,0)*Data_NFI_t[[#This Row],[Children Clothes]],0)</f>
        <v>0</v>
      </c>
      <c r="AP236" s="105">
        <f>IF(NFI_Expiration=1,IF($A236&lt;VLOOKUP(X$5,NFI,5,0),1,0)*Data_NFI_t[[#This Row],[Sewing Kit]],0)</f>
        <v>0</v>
      </c>
      <c r="AQ236" s="734">
        <f>IF(NFI_Expiration=1,IF($A236&lt;VLOOKUP(X$5,NFI,5,0),1,0)*Data_NFI_t[[#This Row],[Solar Lantern]],0)</f>
        <v>0</v>
      </c>
      <c r="AR236" s="105" t="str">
        <f ca="1">IFERROR(OFFSET(Camp_List[P_Code],MATCH(Data_NFI_t[[#This Row],[Camp Name]],Camp_List[Camp Name],0)-1,0,1,1),"")</f>
        <v>MMR012CMP101</v>
      </c>
      <c r="AS236" s="421" t="str">
        <f ca="1">IFERROR(OFFSET(Camp_List[Status],MATCH(Data_NFI_t[[#This Row],[Camp Name]],Camp_List[Camp Name],0)-1,0,1,1),"")</f>
        <v>Close</v>
      </c>
      <c r="AT236" s="105"/>
    </row>
    <row r="237" spans="1:46" s="78" customFormat="1" ht="19.5" customHeight="1" x14ac:dyDescent="0.25">
      <c r="A237" s="208">
        <f t="shared" si="3"/>
        <v>48.666666666666664</v>
      </c>
      <c r="B237" s="208">
        <f>YEAR(Data_NFI_t[[#This Row],[Distribution Date]])</f>
        <v>2014</v>
      </c>
      <c r="C237" s="744">
        <v>41730</v>
      </c>
      <c r="D237" s="402" t="s">
        <v>273</v>
      </c>
      <c r="E237" s="401" t="s">
        <v>273</v>
      </c>
      <c r="F237" s="402" t="s">
        <v>7</v>
      </c>
      <c r="G237" s="670" t="s">
        <v>17</v>
      </c>
      <c r="H237" s="670" t="s">
        <v>65</v>
      </c>
      <c r="I237" s="670"/>
      <c r="J237" s="670"/>
      <c r="K237" s="670"/>
      <c r="L237" s="42"/>
      <c r="M237" s="42"/>
      <c r="N237" s="42"/>
      <c r="O237" s="42">
        <v>2573</v>
      </c>
      <c r="P237" s="42"/>
      <c r="Q237" s="42"/>
      <c r="R237" s="42"/>
      <c r="S237" s="42"/>
      <c r="T237" s="419"/>
      <c r="U237" s="42"/>
      <c r="V237" s="42"/>
      <c r="W237" s="42"/>
      <c r="X237" s="42"/>
      <c r="Y237" s="42"/>
      <c r="Z237" s="42"/>
      <c r="AA237" s="42"/>
      <c r="AB237" s="42"/>
      <c r="AC237" s="105">
        <f>IF(NFI_Expiration=1,IF($A237&lt;VLOOKUP(I$5,NFI,5,0),1,0)*Data_NFI_t[[#This Row],[Hygiene Kit]],0)</f>
        <v>0</v>
      </c>
      <c r="AD237" s="105">
        <f>IF(NFI_Expiration=1,IF($A237&lt;VLOOKUP(L$5,NFI,5,0),1,0)*Data_NFI_t[[#This Row],[NFI Core Kit]],0)</f>
        <v>0</v>
      </c>
      <c r="AE237" s="86">
        <f>IF(NFI_Expiration=1,IF($A237&lt;VLOOKUP(M$5,NFI,5,0),1,0)*Data_NFI_t[[#This Row],[Sanitary Kit]],0)</f>
        <v>0</v>
      </c>
      <c r="AF237" s="86">
        <f>IF(NFI_Expiration=1,IF($A237&lt;VLOOKUP(N$5,NFI,5,0),1,0)*Data_NFI_t[[#This Row],[Mosquito net]],0)</f>
        <v>0</v>
      </c>
      <c r="AG237" s="86">
        <f>IF(NFI_Expiration=1,IF($A237&lt;VLOOKUP(O$5,NFI,5,0),1,0)*Data_NFI_t[[#This Row],[Tarpaulin]],0)</f>
        <v>0</v>
      </c>
      <c r="AH237" s="86">
        <f>IF(NFI_Expiration=1,IF($A237&lt;VLOOKUP(P$5,NFI,5,0),1,0)*Data_NFI_t[[#This Row],[Blanket]],0)</f>
        <v>0</v>
      </c>
      <c r="AI237" s="86">
        <f>IF(NFI_Expiration=1,IF($A237&lt;VLOOKUP(Q$5,NFI,5,0),1,0)*Data_NFI_t[[#This Row],[Kitchen Set]],0)</f>
        <v>0</v>
      </c>
      <c r="AJ237" s="86">
        <f>IF(NFI_Expiration=1,IF($A237&lt;VLOOKUP(R$5,NFI,5,0),1,0)*Data_NFI_t[[#This Row],[Complementary Kit]],0)</f>
        <v>0</v>
      </c>
      <c r="AK237" s="86">
        <f>IF(NFI_Expiration=1,IF($A237&lt;VLOOKUP(S$5,NFI,5,0),1,0)*Data_NFI_t[[#This Row],[Plastic Bucket]],0)</f>
        <v>0</v>
      </c>
      <c r="AL237" s="86">
        <f>IF(NFI_Expiration=1,IF($A237&lt;VLOOKUP(T$5,NFI,5,0),1,0)*Data_NFI_t[[#This Row],[Jerry Can]],0)</f>
        <v>0</v>
      </c>
      <c r="AM237" s="105">
        <f>IF(NFI_Expiration=1,IF($A237&lt;VLOOKUP(U$5,NFI,5,0),1,0)*Data_NFI_t[[#This Row],[Plastic Mat]],0)*IF(Data_NFI_t[[#This Row],[Distribution Date]]&gt;"01-06-2015",1,2.5)</f>
        <v>0</v>
      </c>
      <c r="AN237" s="734">
        <f>IF(NFI_Expiration=1,IF($A237&lt;VLOOKUP(V$5,NFI,5,0),1,0)*Data_NFI_t[[#This Row],[Adult Clothes]],0)</f>
        <v>0</v>
      </c>
      <c r="AO237" s="105">
        <f>IF(NFI_Expiration=1,IF($A237&lt;VLOOKUP(W$5,NFI,5,0),1,0)*Data_NFI_t[[#This Row],[Children Clothes]],0)</f>
        <v>0</v>
      </c>
      <c r="AP237" s="105">
        <f>IF(NFI_Expiration=1,IF($A237&lt;VLOOKUP(X$5,NFI,5,0),1,0)*Data_NFI_t[[#This Row],[Sewing Kit]],0)</f>
        <v>0</v>
      </c>
      <c r="AQ237" s="734">
        <f>IF(NFI_Expiration=1,IF($A237&lt;VLOOKUP(X$5,NFI,5,0),1,0)*Data_NFI_t[[#This Row],[Solar Lantern]],0)</f>
        <v>0</v>
      </c>
      <c r="AR237" s="105" t="str">
        <f ca="1">IFERROR(OFFSET(Camp_List[P_Code],MATCH(Data_NFI_t[[#This Row],[Camp Name]],Camp_List[Camp Name],0)-1,0,1,1),"")</f>
        <v>MMR012CMP045</v>
      </c>
      <c r="AS237" s="421" t="str">
        <f ca="1">IFERROR(OFFSET(Camp_List[Status],MATCH(Data_NFI_t[[#This Row],[Camp Name]],Camp_List[Camp Name],0)-1,0,1,1),"")</f>
        <v>Open</v>
      </c>
      <c r="AT237" s="105"/>
    </row>
    <row r="238" spans="1:46" s="78" customFormat="1" ht="19.5" customHeight="1" x14ac:dyDescent="0.25">
      <c r="A238" s="208">
        <f t="shared" si="3"/>
        <v>49.7</v>
      </c>
      <c r="B238" s="208">
        <f>YEAR(Data_NFI_t[[#This Row],[Distribution Date]])</f>
        <v>2014</v>
      </c>
      <c r="C238" s="744">
        <v>41699</v>
      </c>
      <c r="D238" s="402" t="s">
        <v>273</v>
      </c>
      <c r="E238" s="401" t="s">
        <v>273</v>
      </c>
      <c r="F238" s="402" t="s">
        <v>7</v>
      </c>
      <c r="G238" s="670" t="s">
        <v>17</v>
      </c>
      <c r="H238" s="670" t="s">
        <v>581</v>
      </c>
      <c r="I238" s="670"/>
      <c r="J238" s="670"/>
      <c r="K238" s="670"/>
      <c r="L238" s="42"/>
      <c r="M238" s="42"/>
      <c r="N238" s="42"/>
      <c r="O238" s="42">
        <v>1000</v>
      </c>
      <c r="P238" s="42"/>
      <c r="Q238" s="42"/>
      <c r="R238" s="42"/>
      <c r="S238" s="42"/>
      <c r="T238" s="419"/>
      <c r="U238" s="42"/>
      <c r="V238" s="42"/>
      <c r="W238" s="42"/>
      <c r="X238" s="42"/>
      <c r="Y238" s="42"/>
      <c r="Z238" s="42"/>
      <c r="AA238" s="42"/>
      <c r="AB238" s="42"/>
      <c r="AC238" s="105">
        <f>IF(NFI_Expiration=1,IF($A238&lt;VLOOKUP(I$5,NFI,5,0),1,0)*Data_NFI_t[[#This Row],[Hygiene Kit]],0)</f>
        <v>0</v>
      </c>
      <c r="AD238" s="105">
        <f>IF(NFI_Expiration=1,IF($A238&lt;VLOOKUP(L$5,NFI,5,0),1,0)*Data_NFI_t[[#This Row],[NFI Core Kit]],0)</f>
        <v>0</v>
      </c>
      <c r="AE238" s="86">
        <f>IF(NFI_Expiration=1,IF($A238&lt;VLOOKUP(M$5,NFI,5,0),1,0)*Data_NFI_t[[#This Row],[Sanitary Kit]],0)</f>
        <v>0</v>
      </c>
      <c r="AF238" s="86">
        <f>IF(NFI_Expiration=1,IF($A238&lt;VLOOKUP(N$5,NFI,5,0),1,0)*Data_NFI_t[[#This Row],[Mosquito net]],0)</f>
        <v>0</v>
      </c>
      <c r="AG238" s="86">
        <f>IF(NFI_Expiration=1,IF($A238&lt;VLOOKUP(O$5,NFI,5,0),1,0)*Data_NFI_t[[#This Row],[Tarpaulin]],0)</f>
        <v>0</v>
      </c>
      <c r="AH238" s="86">
        <f>IF(NFI_Expiration=1,IF($A238&lt;VLOOKUP(P$5,NFI,5,0),1,0)*Data_NFI_t[[#This Row],[Blanket]],0)</f>
        <v>0</v>
      </c>
      <c r="AI238" s="86">
        <f>IF(NFI_Expiration=1,IF($A238&lt;VLOOKUP(Q$5,NFI,5,0),1,0)*Data_NFI_t[[#This Row],[Kitchen Set]],0)</f>
        <v>0</v>
      </c>
      <c r="AJ238" s="86">
        <f>IF(NFI_Expiration=1,IF($A238&lt;VLOOKUP(R$5,NFI,5,0),1,0)*Data_NFI_t[[#This Row],[Complementary Kit]],0)</f>
        <v>0</v>
      </c>
      <c r="AK238" s="86">
        <f>IF(NFI_Expiration=1,IF($A238&lt;VLOOKUP(S$5,NFI,5,0),1,0)*Data_NFI_t[[#This Row],[Plastic Bucket]],0)</f>
        <v>0</v>
      </c>
      <c r="AL238" s="86">
        <f>IF(NFI_Expiration=1,IF($A238&lt;VLOOKUP(T$5,NFI,5,0),1,0)*Data_NFI_t[[#This Row],[Jerry Can]],0)</f>
        <v>0</v>
      </c>
      <c r="AM238" s="105">
        <f>IF(NFI_Expiration=1,IF($A238&lt;VLOOKUP(U$5,NFI,5,0),1,0)*Data_NFI_t[[#This Row],[Plastic Mat]],0)*IF(Data_NFI_t[[#This Row],[Distribution Date]]&gt;"01-06-2015",1,2.5)</f>
        <v>0</v>
      </c>
      <c r="AN238" s="734">
        <f>IF(NFI_Expiration=1,IF($A238&lt;VLOOKUP(V$5,NFI,5,0),1,0)*Data_NFI_t[[#This Row],[Adult Clothes]],0)</f>
        <v>0</v>
      </c>
      <c r="AO238" s="105">
        <f>IF(NFI_Expiration=1,IF($A238&lt;VLOOKUP(W$5,NFI,5,0),1,0)*Data_NFI_t[[#This Row],[Children Clothes]],0)</f>
        <v>0</v>
      </c>
      <c r="AP238" s="105">
        <f>IF(NFI_Expiration=1,IF($A238&lt;VLOOKUP(X$5,NFI,5,0),1,0)*Data_NFI_t[[#This Row],[Sewing Kit]],0)</f>
        <v>0</v>
      </c>
      <c r="AQ238" s="734">
        <f>IF(NFI_Expiration=1,IF($A238&lt;VLOOKUP(X$5,NFI,5,0),1,0)*Data_NFI_t[[#This Row],[Solar Lantern]],0)</f>
        <v>0</v>
      </c>
      <c r="AR238" s="105" t="str">
        <f ca="1">IFERROR(OFFSET(Camp_List[P_Code],MATCH(Data_NFI_t[[#This Row],[Camp Name]],Camp_List[Camp Name],0)-1,0,1,1),"")</f>
        <v>MMR012CMP113</v>
      </c>
      <c r="AS238" s="421" t="str">
        <f ca="1">IFERROR(OFFSET(Camp_List[Status],MATCH(Data_NFI_t[[#This Row],[Camp Name]],Camp_List[Camp Name],0)-1,0,1,1),"")</f>
        <v>Open</v>
      </c>
      <c r="AT238" s="105"/>
    </row>
    <row r="239" spans="1:46" s="78" customFormat="1" ht="19.5" customHeight="1" x14ac:dyDescent="0.25">
      <c r="A239" s="208">
        <f t="shared" si="3"/>
        <v>49.7</v>
      </c>
      <c r="B239" s="208">
        <f>YEAR(Data_NFI_t[[#This Row],[Distribution Date]])</f>
        <v>2014</v>
      </c>
      <c r="C239" s="744">
        <v>41699</v>
      </c>
      <c r="D239" s="402" t="s">
        <v>273</v>
      </c>
      <c r="E239" s="401" t="s">
        <v>273</v>
      </c>
      <c r="F239" s="402" t="s">
        <v>7</v>
      </c>
      <c r="G239" s="670" t="s">
        <v>17</v>
      </c>
      <c r="H239" s="670" t="s">
        <v>582</v>
      </c>
      <c r="I239" s="670"/>
      <c r="J239" s="670"/>
      <c r="K239" s="670"/>
      <c r="L239" s="42"/>
      <c r="M239" s="42"/>
      <c r="N239" s="42"/>
      <c r="O239" s="42">
        <v>1320</v>
      </c>
      <c r="P239" s="42"/>
      <c r="Q239" s="42"/>
      <c r="R239" s="42"/>
      <c r="S239" s="42"/>
      <c r="T239" s="419"/>
      <c r="U239" s="42"/>
      <c r="V239" s="42"/>
      <c r="W239" s="42"/>
      <c r="X239" s="42"/>
      <c r="Y239" s="42"/>
      <c r="Z239" s="42"/>
      <c r="AA239" s="42"/>
      <c r="AB239" s="42"/>
      <c r="AC239" s="105">
        <f>IF(NFI_Expiration=1,IF($A239&lt;VLOOKUP(I$5,NFI,5,0),1,0)*Data_NFI_t[[#This Row],[Hygiene Kit]],0)</f>
        <v>0</v>
      </c>
      <c r="AD239" s="105">
        <f>IF(NFI_Expiration=1,IF($A239&lt;VLOOKUP(L$5,NFI,5,0),1,0)*Data_NFI_t[[#This Row],[NFI Core Kit]],0)</f>
        <v>0</v>
      </c>
      <c r="AE239" s="86">
        <f>IF(NFI_Expiration=1,IF($A239&lt;VLOOKUP(M$5,NFI,5,0),1,0)*Data_NFI_t[[#This Row],[Sanitary Kit]],0)</f>
        <v>0</v>
      </c>
      <c r="AF239" s="86">
        <f>IF(NFI_Expiration=1,IF($A239&lt;VLOOKUP(N$5,NFI,5,0),1,0)*Data_NFI_t[[#This Row],[Mosquito net]],0)</f>
        <v>0</v>
      </c>
      <c r="AG239" s="86">
        <f>IF(NFI_Expiration=1,IF($A239&lt;VLOOKUP(O$5,NFI,5,0),1,0)*Data_NFI_t[[#This Row],[Tarpaulin]],0)</f>
        <v>0</v>
      </c>
      <c r="AH239" s="86">
        <f>IF(NFI_Expiration=1,IF($A239&lt;VLOOKUP(P$5,NFI,5,0),1,0)*Data_NFI_t[[#This Row],[Blanket]],0)</f>
        <v>0</v>
      </c>
      <c r="AI239" s="86">
        <f>IF(NFI_Expiration=1,IF($A239&lt;VLOOKUP(Q$5,NFI,5,0),1,0)*Data_NFI_t[[#This Row],[Kitchen Set]],0)</f>
        <v>0</v>
      </c>
      <c r="AJ239" s="86">
        <f>IF(NFI_Expiration=1,IF($A239&lt;VLOOKUP(R$5,NFI,5,0),1,0)*Data_NFI_t[[#This Row],[Complementary Kit]],0)</f>
        <v>0</v>
      </c>
      <c r="AK239" s="86">
        <f>IF(NFI_Expiration=1,IF($A239&lt;VLOOKUP(S$5,NFI,5,0),1,0)*Data_NFI_t[[#This Row],[Plastic Bucket]],0)</f>
        <v>0</v>
      </c>
      <c r="AL239" s="86">
        <f>IF(NFI_Expiration=1,IF($A239&lt;VLOOKUP(T$5,NFI,5,0),1,0)*Data_NFI_t[[#This Row],[Jerry Can]],0)</f>
        <v>0</v>
      </c>
      <c r="AM239" s="105">
        <f>IF(NFI_Expiration=1,IF($A239&lt;VLOOKUP(U$5,NFI,5,0),1,0)*Data_NFI_t[[#This Row],[Plastic Mat]],0)*IF(Data_NFI_t[[#This Row],[Distribution Date]]&gt;"01-06-2015",1,2.5)</f>
        <v>0</v>
      </c>
      <c r="AN239" s="734">
        <f>IF(NFI_Expiration=1,IF($A239&lt;VLOOKUP(V$5,NFI,5,0),1,0)*Data_NFI_t[[#This Row],[Adult Clothes]],0)</f>
        <v>0</v>
      </c>
      <c r="AO239" s="105">
        <f>IF(NFI_Expiration=1,IF($A239&lt;VLOOKUP(W$5,NFI,5,0),1,0)*Data_NFI_t[[#This Row],[Children Clothes]],0)</f>
        <v>0</v>
      </c>
      <c r="AP239" s="105">
        <f>IF(NFI_Expiration=1,IF($A239&lt;VLOOKUP(X$5,NFI,5,0),1,0)*Data_NFI_t[[#This Row],[Sewing Kit]],0)</f>
        <v>0</v>
      </c>
      <c r="AQ239" s="734">
        <f>IF(NFI_Expiration=1,IF($A239&lt;VLOOKUP(X$5,NFI,5,0),1,0)*Data_NFI_t[[#This Row],[Solar Lantern]],0)</f>
        <v>0</v>
      </c>
      <c r="AR239" s="105" t="str">
        <f ca="1">IFERROR(OFFSET(Camp_List[P_Code],MATCH(Data_NFI_t[[#This Row],[Camp Name]],Camp_List[Camp Name],0)-1,0,1,1),"")</f>
        <v>MMR012CMP114</v>
      </c>
      <c r="AS239" s="421" t="str">
        <f ca="1">IFERROR(OFFSET(Camp_List[Status],MATCH(Data_NFI_t[[#This Row],[Camp Name]],Camp_List[Camp Name],0)-1,0,1,1),"")</f>
        <v>Open</v>
      </c>
      <c r="AT239" s="105"/>
    </row>
    <row r="240" spans="1:46" s="78" customFormat="1" ht="19.5" customHeight="1" x14ac:dyDescent="0.25">
      <c r="A240" s="208">
        <f t="shared" si="3"/>
        <v>49.7</v>
      </c>
      <c r="B240" s="208">
        <f>YEAR(Data_NFI_t[[#This Row],[Distribution Date]])</f>
        <v>2014</v>
      </c>
      <c r="C240" s="744">
        <v>41699</v>
      </c>
      <c r="D240" s="402" t="s">
        <v>273</v>
      </c>
      <c r="E240" s="401" t="s">
        <v>273</v>
      </c>
      <c r="F240" s="402" t="s">
        <v>7</v>
      </c>
      <c r="G240" s="670" t="s">
        <v>17</v>
      </c>
      <c r="H240" s="670" t="s">
        <v>499</v>
      </c>
      <c r="I240" s="670"/>
      <c r="J240" s="670"/>
      <c r="K240" s="670"/>
      <c r="L240" s="42"/>
      <c r="M240" s="42"/>
      <c r="N240" s="42"/>
      <c r="O240" s="42">
        <v>1400</v>
      </c>
      <c r="P240" s="42"/>
      <c r="Q240" s="42"/>
      <c r="R240" s="42"/>
      <c r="S240" s="42"/>
      <c r="T240" s="419"/>
      <c r="U240" s="42"/>
      <c r="V240" s="42"/>
      <c r="W240" s="42"/>
      <c r="X240" s="42"/>
      <c r="Y240" s="42"/>
      <c r="Z240" s="42"/>
      <c r="AA240" s="42"/>
      <c r="AB240" s="42"/>
      <c r="AC240" s="105">
        <f>IF(NFI_Expiration=1,IF($A240&lt;VLOOKUP(I$5,NFI,5,0),1,0)*Data_NFI_t[[#This Row],[Hygiene Kit]],0)</f>
        <v>0</v>
      </c>
      <c r="AD240" s="105">
        <f>IF(NFI_Expiration=1,IF($A240&lt;VLOOKUP(L$5,NFI,5,0),1,0)*Data_NFI_t[[#This Row],[NFI Core Kit]],0)</f>
        <v>0</v>
      </c>
      <c r="AE240" s="86">
        <f>IF(NFI_Expiration=1,IF($A240&lt;VLOOKUP(M$5,NFI,5,0),1,0)*Data_NFI_t[[#This Row],[Sanitary Kit]],0)</f>
        <v>0</v>
      </c>
      <c r="AF240" s="86">
        <f>IF(NFI_Expiration=1,IF($A240&lt;VLOOKUP(N$5,NFI,5,0),1,0)*Data_NFI_t[[#This Row],[Mosquito net]],0)</f>
        <v>0</v>
      </c>
      <c r="AG240" s="86">
        <f>IF(NFI_Expiration=1,IF($A240&lt;VLOOKUP(O$5,NFI,5,0),1,0)*Data_NFI_t[[#This Row],[Tarpaulin]],0)</f>
        <v>0</v>
      </c>
      <c r="AH240" s="86">
        <f>IF(NFI_Expiration=1,IF($A240&lt;VLOOKUP(P$5,NFI,5,0),1,0)*Data_NFI_t[[#This Row],[Blanket]],0)</f>
        <v>0</v>
      </c>
      <c r="AI240" s="86">
        <f>IF(NFI_Expiration=1,IF($A240&lt;VLOOKUP(Q$5,NFI,5,0),1,0)*Data_NFI_t[[#This Row],[Kitchen Set]],0)</f>
        <v>0</v>
      </c>
      <c r="AJ240" s="86">
        <f>IF(NFI_Expiration=1,IF($A240&lt;VLOOKUP(R$5,NFI,5,0),1,0)*Data_NFI_t[[#This Row],[Complementary Kit]],0)</f>
        <v>0</v>
      </c>
      <c r="AK240" s="86">
        <f>IF(NFI_Expiration=1,IF($A240&lt;VLOOKUP(S$5,NFI,5,0),1,0)*Data_NFI_t[[#This Row],[Plastic Bucket]],0)</f>
        <v>0</v>
      </c>
      <c r="AL240" s="86">
        <f>IF(NFI_Expiration=1,IF($A240&lt;VLOOKUP(T$5,NFI,5,0),1,0)*Data_NFI_t[[#This Row],[Jerry Can]],0)</f>
        <v>0</v>
      </c>
      <c r="AM240" s="105">
        <f>IF(NFI_Expiration=1,IF($A240&lt;VLOOKUP(U$5,NFI,5,0),1,0)*Data_NFI_t[[#This Row],[Plastic Mat]],0)*IF(Data_NFI_t[[#This Row],[Distribution Date]]&gt;"01-06-2015",1,2.5)</f>
        <v>0</v>
      </c>
      <c r="AN240" s="734">
        <f>IF(NFI_Expiration=1,IF($A240&lt;VLOOKUP(V$5,NFI,5,0),1,0)*Data_NFI_t[[#This Row],[Adult Clothes]],0)</f>
        <v>0</v>
      </c>
      <c r="AO240" s="105">
        <f>IF(NFI_Expiration=1,IF($A240&lt;VLOOKUP(W$5,NFI,5,0),1,0)*Data_NFI_t[[#This Row],[Children Clothes]],0)</f>
        <v>0</v>
      </c>
      <c r="AP240" s="105">
        <f>IF(NFI_Expiration=1,IF($A240&lt;VLOOKUP(X$5,NFI,5,0),1,0)*Data_NFI_t[[#This Row],[Sewing Kit]],0)</f>
        <v>0</v>
      </c>
      <c r="AQ240" s="734">
        <f>IF(NFI_Expiration=1,IF($A240&lt;VLOOKUP(X$5,NFI,5,0),1,0)*Data_NFI_t[[#This Row],[Solar Lantern]],0)</f>
        <v>0</v>
      </c>
      <c r="AR240" s="105" t="str">
        <f ca="1">IFERROR(OFFSET(Camp_List[P_Code],MATCH(Data_NFI_t[[#This Row],[Camp Name]],Camp_List[Camp Name],0)-1,0,1,1),"")</f>
        <v>MMR012CMP097</v>
      </c>
      <c r="AS240" s="421" t="str">
        <f ca="1">IFERROR(OFFSET(Camp_List[Status],MATCH(Data_NFI_t[[#This Row],[Camp Name]],Camp_List[Camp Name],0)-1,0,1,1),"")</f>
        <v>Open</v>
      </c>
      <c r="AT240" s="105"/>
    </row>
    <row r="241" spans="1:46" s="78" customFormat="1" ht="19.5" customHeight="1" x14ac:dyDescent="0.25">
      <c r="A241" s="208">
        <f t="shared" si="3"/>
        <v>49.7</v>
      </c>
      <c r="B241" s="208">
        <f>YEAR(Data_NFI_t[[#This Row],[Distribution Date]])</f>
        <v>2014</v>
      </c>
      <c r="C241" s="744">
        <v>41699</v>
      </c>
      <c r="D241" s="402" t="s">
        <v>273</v>
      </c>
      <c r="E241" s="401" t="s">
        <v>273</v>
      </c>
      <c r="F241" s="402" t="s">
        <v>7</v>
      </c>
      <c r="G241" s="670" t="s">
        <v>17</v>
      </c>
      <c r="H241" s="670" t="s">
        <v>586</v>
      </c>
      <c r="I241" s="670"/>
      <c r="J241" s="670"/>
      <c r="K241" s="670"/>
      <c r="L241" s="42"/>
      <c r="M241" s="42"/>
      <c r="N241" s="42"/>
      <c r="O241" s="42">
        <v>2549</v>
      </c>
      <c r="P241" s="42"/>
      <c r="Q241" s="42"/>
      <c r="R241" s="42"/>
      <c r="S241" s="42"/>
      <c r="T241" s="419"/>
      <c r="U241" s="42"/>
      <c r="V241" s="42"/>
      <c r="W241" s="42"/>
      <c r="X241" s="42"/>
      <c r="Y241" s="42"/>
      <c r="Z241" s="42"/>
      <c r="AA241" s="42"/>
      <c r="AB241" s="42"/>
      <c r="AC241" s="105">
        <f>IF(NFI_Expiration=1,IF($A241&lt;VLOOKUP(I$5,NFI,5,0),1,0)*Data_NFI_t[[#This Row],[Hygiene Kit]],0)</f>
        <v>0</v>
      </c>
      <c r="AD241" s="105">
        <f>IF(NFI_Expiration=1,IF($A241&lt;VLOOKUP(L$5,NFI,5,0),1,0)*Data_NFI_t[[#This Row],[NFI Core Kit]],0)</f>
        <v>0</v>
      </c>
      <c r="AE241" s="86">
        <f>IF(NFI_Expiration=1,IF($A241&lt;VLOOKUP(M$5,NFI,5,0),1,0)*Data_NFI_t[[#This Row],[Sanitary Kit]],0)</f>
        <v>0</v>
      </c>
      <c r="AF241" s="86">
        <f>IF(NFI_Expiration=1,IF($A241&lt;VLOOKUP(N$5,NFI,5,0),1,0)*Data_NFI_t[[#This Row],[Mosquito net]],0)</f>
        <v>0</v>
      </c>
      <c r="AG241" s="86">
        <f>IF(NFI_Expiration=1,IF($A241&lt;VLOOKUP(O$5,NFI,5,0),1,0)*Data_NFI_t[[#This Row],[Tarpaulin]],0)</f>
        <v>0</v>
      </c>
      <c r="AH241" s="86">
        <f>IF(NFI_Expiration=1,IF($A241&lt;VLOOKUP(P$5,NFI,5,0),1,0)*Data_NFI_t[[#This Row],[Blanket]],0)</f>
        <v>0</v>
      </c>
      <c r="AI241" s="86">
        <f>IF(NFI_Expiration=1,IF($A241&lt;VLOOKUP(Q$5,NFI,5,0),1,0)*Data_NFI_t[[#This Row],[Kitchen Set]],0)</f>
        <v>0</v>
      </c>
      <c r="AJ241" s="86">
        <f>IF(NFI_Expiration=1,IF($A241&lt;VLOOKUP(R$5,NFI,5,0),1,0)*Data_NFI_t[[#This Row],[Complementary Kit]],0)</f>
        <v>0</v>
      </c>
      <c r="AK241" s="86">
        <f>IF(NFI_Expiration=1,IF($A241&lt;VLOOKUP(S$5,NFI,5,0),1,0)*Data_NFI_t[[#This Row],[Plastic Bucket]],0)</f>
        <v>0</v>
      </c>
      <c r="AL241" s="86">
        <f>IF(NFI_Expiration=1,IF($A241&lt;VLOOKUP(T$5,NFI,5,0),1,0)*Data_NFI_t[[#This Row],[Jerry Can]],0)</f>
        <v>0</v>
      </c>
      <c r="AM241" s="105">
        <f>IF(NFI_Expiration=1,IF($A241&lt;VLOOKUP(U$5,NFI,5,0),1,0)*Data_NFI_t[[#This Row],[Plastic Mat]],0)*IF(Data_NFI_t[[#This Row],[Distribution Date]]&gt;"01-06-2015",1,2.5)</f>
        <v>0</v>
      </c>
      <c r="AN241" s="734">
        <f>IF(NFI_Expiration=1,IF($A241&lt;VLOOKUP(V$5,NFI,5,0),1,0)*Data_NFI_t[[#This Row],[Adult Clothes]],0)</f>
        <v>0</v>
      </c>
      <c r="AO241" s="105">
        <f>IF(NFI_Expiration=1,IF($A241&lt;VLOOKUP(W$5,NFI,5,0),1,0)*Data_NFI_t[[#This Row],[Children Clothes]],0)</f>
        <v>0</v>
      </c>
      <c r="AP241" s="105">
        <f>IF(NFI_Expiration=1,IF($A241&lt;VLOOKUP(X$5,NFI,5,0),1,0)*Data_NFI_t[[#This Row],[Sewing Kit]],0)</f>
        <v>0</v>
      </c>
      <c r="AQ241" s="734">
        <f>IF(NFI_Expiration=1,IF($A241&lt;VLOOKUP(X$5,NFI,5,0),1,0)*Data_NFI_t[[#This Row],[Solar Lantern]],0)</f>
        <v>0</v>
      </c>
      <c r="AR241" s="105" t="str">
        <f ca="1">IFERROR(OFFSET(Camp_List[P_Code],MATCH(Data_NFI_t[[#This Row],[Camp Name]],Camp_List[Camp Name],0)-1,0,1,1),"")</f>
        <v>MMR012CMP115</v>
      </c>
      <c r="AS241" s="421" t="str">
        <f ca="1">IFERROR(OFFSET(Camp_List[Status],MATCH(Data_NFI_t[[#This Row],[Camp Name]],Camp_List[Camp Name],0)-1,0,1,1),"")</f>
        <v>Open</v>
      </c>
      <c r="AT241" s="105"/>
    </row>
    <row r="242" spans="1:46" s="78" customFormat="1" ht="19.5" customHeight="1" x14ac:dyDescent="0.25">
      <c r="A242" s="208">
        <f t="shared" si="3"/>
        <v>50.666666666666664</v>
      </c>
      <c r="B242" s="208">
        <f>YEAR(Data_NFI_t[[#This Row],[Distribution Date]])</f>
        <v>2014</v>
      </c>
      <c r="C242" s="744">
        <v>41670</v>
      </c>
      <c r="D242" s="402" t="s">
        <v>270</v>
      </c>
      <c r="E242" s="401" t="s">
        <v>270</v>
      </c>
      <c r="F242" s="402" t="s">
        <v>7</v>
      </c>
      <c r="G242" s="670" t="s">
        <v>14</v>
      </c>
      <c r="H242" s="670" t="s">
        <v>46</v>
      </c>
      <c r="I242" s="670"/>
      <c r="J242" s="670"/>
      <c r="K242" s="670"/>
      <c r="L242" s="42"/>
      <c r="M242" s="42"/>
      <c r="N242" s="42">
        <v>2</v>
      </c>
      <c r="O242" s="42"/>
      <c r="P242" s="42">
        <v>2</v>
      </c>
      <c r="Q242" s="42">
        <v>1</v>
      </c>
      <c r="R242" s="42">
        <v>4</v>
      </c>
      <c r="S242" s="42">
        <v>1</v>
      </c>
      <c r="T242" s="419"/>
      <c r="U242" s="42">
        <v>2</v>
      </c>
      <c r="V242" s="42"/>
      <c r="W242" s="42"/>
      <c r="X242" s="42"/>
      <c r="Y242" s="42"/>
      <c r="Z242" s="42"/>
      <c r="AA242" s="42"/>
      <c r="AB242" s="42"/>
      <c r="AC242" s="105">
        <f>IF(NFI_Expiration=1,IF($A242&lt;VLOOKUP(I$5,NFI,5,0),1,0)*Data_NFI_t[[#This Row],[Hygiene Kit]],0)</f>
        <v>0</v>
      </c>
      <c r="AD242" s="105">
        <f>IF(NFI_Expiration=1,IF($A242&lt;VLOOKUP(L$5,NFI,5,0),1,0)*Data_NFI_t[[#This Row],[NFI Core Kit]],0)</f>
        <v>0</v>
      </c>
      <c r="AE242" s="86">
        <f>IF(NFI_Expiration=1,IF($A242&lt;VLOOKUP(M$5,NFI,5,0),1,0)*Data_NFI_t[[#This Row],[Sanitary Kit]],0)</f>
        <v>0</v>
      </c>
      <c r="AF242" s="86">
        <f>IF(NFI_Expiration=1,IF($A242&lt;VLOOKUP(N$5,NFI,5,0),1,0)*Data_NFI_t[[#This Row],[Mosquito net]],0)</f>
        <v>0</v>
      </c>
      <c r="AG242" s="86">
        <f>IF(NFI_Expiration=1,IF($A242&lt;VLOOKUP(O$5,NFI,5,0),1,0)*Data_NFI_t[[#This Row],[Tarpaulin]],0)</f>
        <v>0</v>
      </c>
      <c r="AH242" s="86">
        <f>IF(NFI_Expiration=1,IF($A242&lt;VLOOKUP(P$5,NFI,5,0),1,0)*Data_NFI_t[[#This Row],[Blanket]],0)</f>
        <v>0</v>
      </c>
      <c r="AI242" s="86">
        <f>IF(NFI_Expiration=1,IF($A242&lt;VLOOKUP(Q$5,NFI,5,0),1,0)*Data_NFI_t[[#This Row],[Kitchen Set]],0)</f>
        <v>0</v>
      </c>
      <c r="AJ242" s="86">
        <f>IF(NFI_Expiration=1,IF($A242&lt;VLOOKUP(R$5,NFI,5,0),1,0)*Data_NFI_t[[#This Row],[Complementary Kit]],0)</f>
        <v>0</v>
      </c>
      <c r="AK242" s="86">
        <f>IF(NFI_Expiration=1,IF($A242&lt;VLOOKUP(S$5,NFI,5,0),1,0)*Data_NFI_t[[#This Row],[Plastic Bucket]],0)</f>
        <v>0</v>
      </c>
      <c r="AL242" s="86">
        <f>IF(NFI_Expiration=1,IF($A242&lt;VLOOKUP(T$5,NFI,5,0),1,0)*Data_NFI_t[[#This Row],[Jerry Can]],0)</f>
        <v>0</v>
      </c>
      <c r="AM242" s="105">
        <f>IF(NFI_Expiration=1,IF($A242&lt;VLOOKUP(U$5,NFI,5,0),1,0)*Data_NFI_t[[#This Row],[Plastic Mat]],0)*IF(Data_NFI_t[[#This Row],[Distribution Date]]&gt;"01-06-2015",1,2.5)</f>
        <v>0</v>
      </c>
      <c r="AN242" s="734">
        <f>IF(NFI_Expiration=1,IF($A242&lt;VLOOKUP(V$5,NFI,5,0),1,0)*Data_NFI_t[[#This Row],[Adult Clothes]],0)</f>
        <v>0</v>
      </c>
      <c r="AO242" s="105">
        <f>IF(NFI_Expiration=1,IF($A242&lt;VLOOKUP(W$5,NFI,5,0),1,0)*Data_NFI_t[[#This Row],[Children Clothes]],0)</f>
        <v>0</v>
      </c>
      <c r="AP242" s="105">
        <f>IF(NFI_Expiration=1,IF($A242&lt;VLOOKUP(X$5,NFI,5,0),1,0)*Data_NFI_t[[#This Row],[Sewing Kit]],0)</f>
        <v>0</v>
      </c>
      <c r="AQ242" s="734">
        <f>IF(NFI_Expiration=1,IF($A242&lt;VLOOKUP(X$5,NFI,5,0),1,0)*Data_NFI_t[[#This Row],[Solar Lantern]],0)</f>
        <v>0</v>
      </c>
      <c r="AR242" s="105" t="str">
        <f ca="1">IFERROR(OFFSET(Camp_List[P_Code],MATCH(Data_NFI_t[[#This Row],[Camp Name]],Camp_List[Camp Name],0)-1,0,1,1),"")</f>
        <v>MMR012CMP024</v>
      </c>
      <c r="AS242" s="421" t="str">
        <f ca="1">IFERROR(OFFSET(Camp_List[Status],MATCH(Data_NFI_t[[#This Row],[Camp Name]],Camp_List[Camp Name],0)-1,0,1,1),"")</f>
        <v>Returned</v>
      </c>
      <c r="AT242" s="105"/>
    </row>
    <row r="243" spans="1:46" s="78" customFormat="1" ht="19.5" customHeight="1" x14ac:dyDescent="0.25">
      <c r="A243" s="208">
        <f t="shared" si="3"/>
        <v>51.166666666666664</v>
      </c>
      <c r="B243" s="208">
        <f>YEAR(Data_NFI_t[[#This Row],[Distribution Date]])</f>
        <v>2014</v>
      </c>
      <c r="C243" s="744">
        <v>41655</v>
      </c>
      <c r="D243" s="402" t="s">
        <v>270</v>
      </c>
      <c r="E243" s="401" t="s">
        <v>270</v>
      </c>
      <c r="F243" s="402" t="s">
        <v>7</v>
      </c>
      <c r="G243" s="670" t="s">
        <v>13</v>
      </c>
      <c r="H243" s="670" t="s">
        <v>41</v>
      </c>
      <c r="I243" s="670"/>
      <c r="J243" s="670"/>
      <c r="K243" s="670"/>
      <c r="L243" s="42"/>
      <c r="M243" s="42"/>
      <c r="N243" s="42"/>
      <c r="O243" s="42"/>
      <c r="P243" s="42">
        <v>20</v>
      </c>
      <c r="Q243" s="42">
        <v>700</v>
      </c>
      <c r="R243" s="42"/>
      <c r="S243" s="42"/>
      <c r="T243" s="419"/>
      <c r="U243" s="42">
        <v>120</v>
      </c>
      <c r="V243" s="42"/>
      <c r="W243" s="42"/>
      <c r="X243" s="42"/>
      <c r="Y243" s="42"/>
      <c r="Z243" s="42"/>
      <c r="AA243" s="42"/>
      <c r="AB243" s="42"/>
      <c r="AC243" s="105">
        <f>IF(NFI_Expiration=1,IF($A243&lt;VLOOKUP(I$5,NFI,5,0),1,0)*Data_NFI_t[[#This Row],[Hygiene Kit]],0)</f>
        <v>0</v>
      </c>
      <c r="AD243" s="105">
        <f>IF(NFI_Expiration=1,IF($A243&lt;VLOOKUP(L$5,NFI,5,0),1,0)*Data_NFI_t[[#This Row],[NFI Core Kit]],0)</f>
        <v>0</v>
      </c>
      <c r="AE243" s="86">
        <f>IF(NFI_Expiration=1,IF($A243&lt;VLOOKUP(M$5,NFI,5,0),1,0)*Data_NFI_t[[#This Row],[Sanitary Kit]],0)</f>
        <v>0</v>
      </c>
      <c r="AF243" s="86">
        <f>IF(NFI_Expiration=1,IF($A243&lt;VLOOKUP(N$5,NFI,5,0),1,0)*Data_NFI_t[[#This Row],[Mosquito net]],0)</f>
        <v>0</v>
      </c>
      <c r="AG243" s="86">
        <f>IF(NFI_Expiration=1,IF($A243&lt;VLOOKUP(O$5,NFI,5,0),1,0)*Data_NFI_t[[#This Row],[Tarpaulin]],0)</f>
        <v>0</v>
      </c>
      <c r="AH243" s="86">
        <f>IF(NFI_Expiration=1,IF($A243&lt;VLOOKUP(P$5,NFI,5,0),1,0)*Data_NFI_t[[#This Row],[Blanket]],0)</f>
        <v>0</v>
      </c>
      <c r="AI243" s="86">
        <f>IF(NFI_Expiration=1,IF($A243&lt;VLOOKUP(Q$5,NFI,5,0),1,0)*Data_NFI_t[[#This Row],[Kitchen Set]],0)</f>
        <v>0</v>
      </c>
      <c r="AJ243" s="86">
        <f>IF(NFI_Expiration=1,IF($A243&lt;VLOOKUP(R$5,NFI,5,0),1,0)*Data_NFI_t[[#This Row],[Complementary Kit]],0)</f>
        <v>0</v>
      </c>
      <c r="AK243" s="86">
        <f>IF(NFI_Expiration=1,IF($A243&lt;VLOOKUP(S$5,NFI,5,0),1,0)*Data_NFI_t[[#This Row],[Plastic Bucket]],0)</f>
        <v>0</v>
      </c>
      <c r="AL243" s="86">
        <f>IF(NFI_Expiration=1,IF($A243&lt;VLOOKUP(T$5,NFI,5,0),1,0)*Data_NFI_t[[#This Row],[Jerry Can]],0)</f>
        <v>0</v>
      </c>
      <c r="AM243" s="105">
        <f>IF(NFI_Expiration=1,IF($A243&lt;VLOOKUP(U$5,NFI,5,0),1,0)*Data_NFI_t[[#This Row],[Plastic Mat]],0)*IF(Data_NFI_t[[#This Row],[Distribution Date]]&gt;"01-06-2015",1,2.5)</f>
        <v>0</v>
      </c>
      <c r="AN243" s="734">
        <f>IF(NFI_Expiration=1,IF($A243&lt;VLOOKUP(V$5,NFI,5,0),1,0)*Data_NFI_t[[#This Row],[Adult Clothes]],0)</f>
        <v>0</v>
      </c>
      <c r="AO243" s="105">
        <f>IF(NFI_Expiration=1,IF($A243&lt;VLOOKUP(W$5,NFI,5,0),1,0)*Data_NFI_t[[#This Row],[Children Clothes]],0)</f>
        <v>0</v>
      </c>
      <c r="AP243" s="105">
        <f>IF(NFI_Expiration=1,IF($A243&lt;VLOOKUP(X$5,NFI,5,0),1,0)*Data_NFI_t[[#This Row],[Sewing Kit]],0)</f>
        <v>0</v>
      </c>
      <c r="AQ243" s="734">
        <f>IF(NFI_Expiration=1,IF($A243&lt;VLOOKUP(X$5,NFI,5,0),1,0)*Data_NFI_t[[#This Row],[Solar Lantern]],0)</f>
        <v>0</v>
      </c>
      <c r="AR243" s="105" t="str">
        <f ca="1">IFERROR(OFFSET(Camp_List[P_Code],MATCH(Data_NFI_t[[#This Row],[Camp Name]],Camp_List[Camp Name],0)-1,0,1,1),"")</f>
        <v>MMR012CMP019</v>
      </c>
      <c r="AS243" s="421" t="str">
        <f ca="1">IFERROR(OFFSET(Camp_List[Status],MATCH(Data_NFI_t[[#This Row],[Camp Name]],Camp_List[Camp Name],0)-1,0,1,1),"")</f>
        <v>Open</v>
      </c>
      <c r="AT243" s="105"/>
    </row>
    <row r="244" spans="1:46" s="78" customFormat="1" ht="19.5" customHeight="1" x14ac:dyDescent="0.25">
      <c r="A244" s="208">
        <f t="shared" si="3"/>
        <v>51.166666666666664</v>
      </c>
      <c r="B244" s="208">
        <f>YEAR(Data_NFI_t[[#This Row],[Distribution Date]])</f>
        <v>2014</v>
      </c>
      <c r="C244" s="744">
        <v>41655</v>
      </c>
      <c r="D244" s="402" t="s">
        <v>270</v>
      </c>
      <c r="E244" s="401" t="s">
        <v>270</v>
      </c>
      <c r="F244" s="402" t="s">
        <v>7</v>
      </c>
      <c r="G244" s="670" t="s">
        <v>13</v>
      </c>
      <c r="H244" s="670" t="s">
        <v>41</v>
      </c>
      <c r="I244" s="670"/>
      <c r="J244" s="670"/>
      <c r="K244" s="670"/>
      <c r="L244" s="42"/>
      <c r="M244" s="42"/>
      <c r="N244" s="42">
        <v>807</v>
      </c>
      <c r="O244" s="42"/>
      <c r="P244" s="42"/>
      <c r="Q244" s="42"/>
      <c r="R244" s="42">
        <v>807</v>
      </c>
      <c r="S244" s="42"/>
      <c r="T244" s="419"/>
      <c r="U244" s="42"/>
      <c r="V244" s="42"/>
      <c r="W244" s="42"/>
      <c r="X244" s="42"/>
      <c r="Y244" s="42"/>
      <c r="Z244" s="42"/>
      <c r="AA244" s="42"/>
      <c r="AB244" s="42"/>
      <c r="AC244" s="105">
        <f>IF(NFI_Expiration=1,IF($A244&lt;VLOOKUP(I$5,NFI,5,0),1,0)*Data_NFI_t[[#This Row],[Hygiene Kit]],0)</f>
        <v>0</v>
      </c>
      <c r="AD244" s="105">
        <f>IF(NFI_Expiration=1,IF($A244&lt;VLOOKUP(L$5,NFI,5,0),1,0)*Data_NFI_t[[#This Row],[NFI Core Kit]],0)</f>
        <v>0</v>
      </c>
      <c r="AE244" s="86">
        <f>IF(NFI_Expiration=1,IF($A244&lt;VLOOKUP(M$5,NFI,5,0),1,0)*Data_NFI_t[[#This Row],[Sanitary Kit]],0)</f>
        <v>0</v>
      </c>
      <c r="AF244" s="86">
        <f>IF(NFI_Expiration=1,IF($A244&lt;VLOOKUP(N$5,NFI,5,0),1,0)*Data_NFI_t[[#This Row],[Mosquito net]],0)</f>
        <v>0</v>
      </c>
      <c r="AG244" s="86">
        <f>IF(NFI_Expiration=1,IF($A244&lt;VLOOKUP(O$5,NFI,5,0),1,0)*Data_NFI_t[[#This Row],[Tarpaulin]],0)</f>
        <v>0</v>
      </c>
      <c r="AH244" s="86">
        <f>IF(NFI_Expiration=1,IF($A244&lt;VLOOKUP(P$5,NFI,5,0),1,0)*Data_NFI_t[[#This Row],[Blanket]],0)</f>
        <v>0</v>
      </c>
      <c r="AI244" s="86">
        <f>IF(NFI_Expiration=1,IF($A244&lt;VLOOKUP(Q$5,NFI,5,0),1,0)*Data_NFI_t[[#This Row],[Kitchen Set]],0)</f>
        <v>0</v>
      </c>
      <c r="AJ244" s="86">
        <f>IF(NFI_Expiration=1,IF($A244&lt;VLOOKUP(R$5,NFI,5,0),1,0)*Data_NFI_t[[#This Row],[Complementary Kit]],0)</f>
        <v>0</v>
      </c>
      <c r="AK244" s="86">
        <f>IF(NFI_Expiration=1,IF($A244&lt;VLOOKUP(S$5,NFI,5,0),1,0)*Data_NFI_t[[#This Row],[Plastic Bucket]],0)</f>
        <v>0</v>
      </c>
      <c r="AL244" s="86">
        <f>IF(NFI_Expiration=1,IF($A244&lt;VLOOKUP(T$5,NFI,5,0),1,0)*Data_NFI_t[[#This Row],[Jerry Can]],0)</f>
        <v>0</v>
      </c>
      <c r="AM244" s="105">
        <f>IF(NFI_Expiration=1,IF($A244&lt;VLOOKUP(U$5,NFI,5,0),1,0)*Data_NFI_t[[#This Row],[Plastic Mat]],0)*IF(Data_NFI_t[[#This Row],[Distribution Date]]&gt;"01-06-2015",1,2.5)</f>
        <v>0</v>
      </c>
      <c r="AN244" s="734">
        <f>IF(NFI_Expiration=1,IF($A244&lt;VLOOKUP(V$5,NFI,5,0),1,0)*Data_NFI_t[[#This Row],[Adult Clothes]],0)</f>
        <v>0</v>
      </c>
      <c r="AO244" s="105">
        <f>IF(NFI_Expiration=1,IF($A244&lt;VLOOKUP(W$5,NFI,5,0),1,0)*Data_NFI_t[[#This Row],[Children Clothes]],0)</f>
        <v>0</v>
      </c>
      <c r="AP244" s="105">
        <f>IF(NFI_Expiration=1,IF($A244&lt;VLOOKUP(X$5,NFI,5,0),1,0)*Data_NFI_t[[#This Row],[Sewing Kit]],0)</f>
        <v>0</v>
      </c>
      <c r="AQ244" s="734">
        <f>IF(NFI_Expiration=1,IF($A244&lt;VLOOKUP(X$5,NFI,5,0),1,0)*Data_NFI_t[[#This Row],[Solar Lantern]],0)</f>
        <v>0</v>
      </c>
      <c r="AR244" s="105" t="str">
        <f ca="1">IFERROR(OFFSET(Camp_List[P_Code],MATCH(Data_NFI_t[[#This Row],[Camp Name]],Camp_List[Camp Name],0)-1,0,1,1),"")</f>
        <v>MMR012CMP019</v>
      </c>
      <c r="AS244" s="421" t="str">
        <f ca="1">IFERROR(OFFSET(Camp_List[Status],MATCH(Data_NFI_t[[#This Row],[Camp Name]],Camp_List[Camp Name],0)-1,0,1,1),"")</f>
        <v>Open</v>
      </c>
      <c r="AT244" s="105"/>
    </row>
    <row r="245" spans="1:46" s="78" customFormat="1" ht="19.5" customHeight="1" x14ac:dyDescent="0.25">
      <c r="A245" s="208">
        <f t="shared" si="3"/>
        <v>51.2</v>
      </c>
      <c r="B245" s="208">
        <f>YEAR(Data_NFI_t[[#This Row],[Distribution Date]])</f>
        <v>2014</v>
      </c>
      <c r="C245" s="744">
        <v>41654</v>
      </c>
      <c r="D245" s="402" t="s">
        <v>270</v>
      </c>
      <c r="E245" s="401" t="s">
        <v>270</v>
      </c>
      <c r="F245" s="402" t="s">
        <v>7</v>
      </c>
      <c r="G245" s="670" t="s">
        <v>13</v>
      </c>
      <c r="H245" s="670" t="s">
        <v>39</v>
      </c>
      <c r="I245" s="670"/>
      <c r="J245" s="670"/>
      <c r="K245" s="670"/>
      <c r="L245" s="42"/>
      <c r="M245" s="42"/>
      <c r="N245" s="42">
        <v>588</v>
      </c>
      <c r="O245" s="42"/>
      <c r="P245" s="42">
        <v>588</v>
      </c>
      <c r="Q245" s="42">
        <v>294</v>
      </c>
      <c r="R245" s="42">
        <v>1176</v>
      </c>
      <c r="S245" s="42">
        <v>294</v>
      </c>
      <c r="T245" s="419"/>
      <c r="U245" s="42">
        <v>588</v>
      </c>
      <c r="V245" s="42"/>
      <c r="W245" s="42"/>
      <c r="X245" s="42"/>
      <c r="Y245" s="42"/>
      <c r="Z245" s="42"/>
      <c r="AA245" s="42"/>
      <c r="AB245" s="42"/>
      <c r="AC245" s="105">
        <f>IF(NFI_Expiration=1,IF($A245&lt;VLOOKUP(I$5,NFI,5,0),1,0)*Data_NFI_t[[#This Row],[Hygiene Kit]],0)</f>
        <v>0</v>
      </c>
      <c r="AD245" s="105">
        <f>IF(NFI_Expiration=1,IF($A245&lt;VLOOKUP(L$5,NFI,5,0),1,0)*Data_NFI_t[[#This Row],[NFI Core Kit]],0)</f>
        <v>0</v>
      </c>
      <c r="AE245" s="86">
        <f>IF(NFI_Expiration=1,IF($A245&lt;VLOOKUP(M$5,NFI,5,0),1,0)*Data_NFI_t[[#This Row],[Sanitary Kit]],0)</f>
        <v>0</v>
      </c>
      <c r="AF245" s="86">
        <f>IF(NFI_Expiration=1,IF($A245&lt;VLOOKUP(N$5,NFI,5,0),1,0)*Data_NFI_t[[#This Row],[Mosquito net]],0)</f>
        <v>0</v>
      </c>
      <c r="AG245" s="86">
        <f>IF(NFI_Expiration=1,IF($A245&lt;VLOOKUP(O$5,NFI,5,0),1,0)*Data_NFI_t[[#This Row],[Tarpaulin]],0)</f>
        <v>0</v>
      </c>
      <c r="AH245" s="86">
        <f>IF(NFI_Expiration=1,IF($A245&lt;VLOOKUP(P$5,NFI,5,0),1,0)*Data_NFI_t[[#This Row],[Blanket]],0)</f>
        <v>0</v>
      </c>
      <c r="AI245" s="86">
        <f>IF(NFI_Expiration=1,IF($A245&lt;VLOOKUP(Q$5,NFI,5,0),1,0)*Data_NFI_t[[#This Row],[Kitchen Set]],0)</f>
        <v>0</v>
      </c>
      <c r="AJ245" s="86">
        <f>IF(NFI_Expiration=1,IF($A245&lt;VLOOKUP(R$5,NFI,5,0),1,0)*Data_NFI_t[[#This Row],[Complementary Kit]],0)</f>
        <v>0</v>
      </c>
      <c r="AK245" s="86">
        <f>IF(NFI_Expiration=1,IF($A245&lt;VLOOKUP(S$5,NFI,5,0),1,0)*Data_NFI_t[[#This Row],[Plastic Bucket]],0)</f>
        <v>0</v>
      </c>
      <c r="AL245" s="86">
        <f>IF(NFI_Expiration=1,IF($A245&lt;VLOOKUP(T$5,NFI,5,0),1,0)*Data_NFI_t[[#This Row],[Jerry Can]],0)</f>
        <v>0</v>
      </c>
      <c r="AM245" s="105">
        <f>IF(NFI_Expiration=1,IF($A245&lt;VLOOKUP(U$5,NFI,5,0),1,0)*Data_NFI_t[[#This Row],[Plastic Mat]],0)*IF(Data_NFI_t[[#This Row],[Distribution Date]]&gt;"01-06-2015",1,2.5)</f>
        <v>0</v>
      </c>
      <c r="AN245" s="734">
        <f>IF(NFI_Expiration=1,IF($A245&lt;VLOOKUP(V$5,NFI,5,0),1,0)*Data_NFI_t[[#This Row],[Adult Clothes]],0)</f>
        <v>0</v>
      </c>
      <c r="AO245" s="105">
        <f>IF(NFI_Expiration=1,IF($A245&lt;VLOOKUP(W$5,NFI,5,0),1,0)*Data_NFI_t[[#This Row],[Children Clothes]],0)</f>
        <v>0</v>
      </c>
      <c r="AP245" s="105">
        <f>IF(NFI_Expiration=1,IF($A245&lt;VLOOKUP(X$5,NFI,5,0),1,0)*Data_NFI_t[[#This Row],[Sewing Kit]],0)</f>
        <v>0</v>
      </c>
      <c r="AQ245" s="734">
        <f>IF(NFI_Expiration=1,IF($A245&lt;VLOOKUP(X$5,NFI,5,0),1,0)*Data_NFI_t[[#This Row],[Solar Lantern]],0)</f>
        <v>0</v>
      </c>
      <c r="AR245" s="105" t="str">
        <f ca="1">IFERROR(OFFSET(Camp_List[P_Code],MATCH(Data_NFI_t[[#This Row],[Camp Name]],Camp_List[Camp Name],0)-1,0,1,1),"")</f>
        <v/>
      </c>
      <c r="AS245" s="421" t="str">
        <f ca="1">IFERROR(OFFSET(Camp_List[Status],MATCH(Data_NFI_t[[#This Row],[Camp Name]],Camp_List[Camp Name],0)-1,0,1,1),"")</f>
        <v/>
      </c>
      <c r="AT245" s="105"/>
    </row>
    <row r="246" spans="1:46" s="78" customFormat="1" ht="19.5" customHeight="1" x14ac:dyDescent="0.25">
      <c r="A246" s="208">
        <f t="shared" si="3"/>
        <v>51.2</v>
      </c>
      <c r="B246" s="208">
        <f>YEAR(Data_NFI_t[[#This Row],[Distribution Date]])</f>
        <v>2014</v>
      </c>
      <c r="C246" s="744">
        <v>41654</v>
      </c>
      <c r="D246" s="402" t="s">
        <v>270</v>
      </c>
      <c r="E246" s="401" t="s">
        <v>270</v>
      </c>
      <c r="F246" s="402" t="s">
        <v>7</v>
      </c>
      <c r="G246" s="670" t="s">
        <v>13</v>
      </c>
      <c r="H246" s="670" t="s">
        <v>41</v>
      </c>
      <c r="I246" s="670"/>
      <c r="J246" s="670"/>
      <c r="K246" s="670"/>
      <c r="L246" s="42"/>
      <c r="M246" s="42"/>
      <c r="N246" s="42">
        <v>1420</v>
      </c>
      <c r="O246" s="42"/>
      <c r="P246" s="42">
        <v>1400</v>
      </c>
      <c r="Q246" s="42"/>
      <c r="R246" s="42">
        <v>2800</v>
      </c>
      <c r="S246" s="42">
        <v>700</v>
      </c>
      <c r="T246" s="419"/>
      <c r="U246" s="42">
        <v>1400</v>
      </c>
      <c r="V246" s="42"/>
      <c r="W246" s="42"/>
      <c r="X246" s="42"/>
      <c r="Y246" s="42"/>
      <c r="Z246" s="42"/>
      <c r="AA246" s="42"/>
      <c r="AB246" s="42"/>
      <c r="AC246" s="105">
        <f>IF(NFI_Expiration=1,IF($A246&lt;VLOOKUP(I$5,NFI,5,0),1,0)*Data_NFI_t[[#This Row],[Hygiene Kit]],0)</f>
        <v>0</v>
      </c>
      <c r="AD246" s="105">
        <f>IF(NFI_Expiration=1,IF($A246&lt;VLOOKUP(L$5,NFI,5,0),1,0)*Data_NFI_t[[#This Row],[NFI Core Kit]],0)</f>
        <v>0</v>
      </c>
      <c r="AE246" s="86">
        <f>IF(NFI_Expiration=1,IF($A246&lt;VLOOKUP(M$5,NFI,5,0),1,0)*Data_NFI_t[[#This Row],[Sanitary Kit]],0)</f>
        <v>0</v>
      </c>
      <c r="AF246" s="86">
        <f>IF(NFI_Expiration=1,IF($A246&lt;VLOOKUP(N$5,NFI,5,0),1,0)*Data_NFI_t[[#This Row],[Mosquito net]],0)</f>
        <v>0</v>
      </c>
      <c r="AG246" s="86">
        <f>IF(NFI_Expiration=1,IF($A246&lt;VLOOKUP(O$5,NFI,5,0),1,0)*Data_NFI_t[[#This Row],[Tarpaulin]],0)</f>
        <v>0</v>
      </c>
      <c r="AH246" s="86">
        <f>IF(NFI_Expiration=1,IF($A246&lt;VLOOKUP(P$5,NFI,5,0),1,0)*Data_NFI_t[[#This Row],[Blanket]],0)</f>
        <v>0</v>
      </c>
      <c r="AI246" s="86">
        <f>IF(NFI_Expiration=1,IF($A246&lt;VLOOKUP(Q$5,NFI,5,0),1,0)*Data_NFI_t[[#This Row],[Kitchen Set]],0)</f>
        <v>0</v>
      </c>
      <c r="AJ246" s="86">
        <f>IF(NFI_Expiration=1,IF($A246&lt;VLOOKUP(R$5,NFI,5,0),1,0)*Data_NFI_t[[#This Row],[Complementary Kit]],0)</f>
        <v>0</v>
      </c>
      <c r="AK246" s="86">
        <f>IF(NFI_Expiration=1,IF($A246&lt;VLOOKUP(S$5,NFI,5,0),1,0)*Data_NFI_t[[#This Row],[Plastic Bucket]],0)</f>
        <v>0</v>
      </c>
      <c r="AL246" s="86">
        <f>IF(NFI_Expiration=1,IF($A246&lt;VLOOKUP(T$5,NFI,5,0),1,0)*Data_NFI_t[[#This Row],[Jerry Can]],0)</f>
        <v>0</v>
      </c>
      <c r="AM246" s="105">
        <f>IF(NFI_Expiration=1,IF($A246&lt;VLOOKUP(U$5,NFI,5,0),1,0)*Data_NFI_t[[#This Row],[Plastic Mat]],0)*IF(Data_NFI_t[[#This Row],[Distribution Date]]&gt;"01-06-2015",1,2.5)</f>
        <v>0</v>
      </c>
      <c r="AN246" s="734">
        <f>IF(NFI_Expiration=1,IF($A246&lt;VLOOKUP(V$5,NFI,5,0),1,0)*Data_NFI_t[[#This Row],[Adult Clothes]],0)</f>
        <v>0</v>
      </c>
      <c r="AO246" s="105">
        <f>IF(NFI_Expiration=1,IF($A246&lt;VLOOKUP(W$5,NFI,5,0),1,0)*Data_NFI_t[[#This Row],[Children Clothes]],0)</f>
        <v>0</v>
      </c>
      <c r="AP246" s="105">
        <f>IF(NFI_Expiration=1,IF($A246&lt;VLOOKUP(X$5,NFI,5,0),1,0)*Data_NFI_t[[#This Row],[Sewing Kit]],0)</f>
        <v>0</v>
      </c>
      <c r="AQ246" s="734">
        <f>IF(NFI_Expiration=1,IF($A246&lt;VLOOKUP(X$5,NFI,5,0),1,0)*Data_NFI_t[[#This Row],[Solar Lantern]],0)</f>
        <v>0</v>
      </c>
      <c r="AR246" s="105" t="str">
        <f ca="1">IFERROR(OFFSET(Camp_List[P_Code],MATCH(Data_NFI_t[[#This Row],[Camp Name]],Camp_List[Camp Name],0)-1,0,1,1),"")</f>
        <v>MMR012CMP019</v>
      </c>
      <c r="AS246" s="421" t="str">
        <f ca="1">IFERROR(OFFSET(Camp_List[Status],MATCH(Data_NFI_t[[#This Row],[Camp Name]],Camp_List[Camp Name],0)-1,0,1,1),"")</f>
        <v>Open</v>
      </c>
      <c r="AT246" s="105"/>
    </row>
    <row r="247" spans="1:46" s="78" customFormat="1" ht="19.5" customHeight="1" x14ac:dyDescent="0.25">
      <c r="A247" s="208">
        <f t="shared" si="3"/>
        <v>51.5</v>
      </c>
      <c r="B247" s="208">
        <f>YEAR(Data_NFI_t[[#This Row],[Distribution Date]])</f>
        <v>2014</v>
      </c>
      <c r="C247" s="744">
        <v>41645</v>
      </c>
      <c r="D247" s="402" t="s">
        <v>270</v>
      </c>
      <c r="E247" s="401" t="s">
        <v>270</v>
      </c>
      <c r="F247" s="402" t="s">
        <v>7</v>
      </c>
      <c r="G247" s="670" t="s">
        <v>17</v>
      </c>
      <c r="H247" s="670" t="s">
        <v>585</v>
      </c>
      <c r="I247" s="670"/>
      <c r="J247" s="670"/>
      <c r="K247" s="670"/>
      <c r="L247" s="42"/>
      <c r="M247" s="42"/>
      <c r="N247" s="42">
        <v>10</v>
      </c>
      <c r="O247" s="42">
        <v>5</v>
      </c>
      <c r="P247" s="42">
        <v>15</v>
      </c>
      <c r="Q247" s="42">
        <v>5</v>
      </c>
      <c r="R247" s="42"/>
      <c r="S247" s="42"/>
      <c r="T247" s="419"/>
      <c r="U247" s="42">
        <v>10</v>
      </c>
      <c r="V247" s="42"/>
      <c r="W247" s="42"/>
      <c r="X247" s="42"/>
      <c r="Y247" s="42"/>
      <c r="Z247" s="42"/>
      <c r="AA247" s="42"/>
      <c r="AB247" s="42"/>
      <c r="AC247" s="105">
        <f>IF(NFI_Expiration=1,IF($A247&lt;VLOOKUP(I$5,NFI,5,0),1,0)*Data_NFI_t[[#This Row],[Hygiene Kit]],0)</f>
        <v>0</v>
      </c>
      <c r="AD247" s="105">
        <f>IF(NFI_Expiration=1,IF($A247&lt;VLOOKUP(L$5,NFI,5,0),1,0)*Data_NFI_t[[#This Row],[NFI Core Kit]],0)</f>
        <v>0</v>
      </c>
      <c r="AE247" s="86">
        <f>IF(NFI_Expiration=1,IF($A247&lt;VLOOKUP(M$5,NFI,5,0),1,0)*Data_NFI_t[[#This Row],[Sanitary Kit]],0)</f>
        <v>0</v>
      </c>
      <c r="AF247" s="86">
        <f>IF(NFI_Expiration=1,IF($A247&lt;VLOOKUP(N$5,NFI,5,0),1,0)*Data_NFI_t[[#This Row],[Mosquito net]],0)</f>
        <v>0</v>
      </c>
      <c r="AG247" s="86">
        <f>IF(NFI_Expiration=1,IF($A247&lt;VLOOKUP(O$5,NFI,5,0),1,0)*Data_NFI_t[[#This Row],[Tarpaulin]],0)</f>
        <v>0</v>
      </c>
      <c r="AH247" s="86">
        <f>IF(NFI_Expiration=1,IF($A247&lt;VLOOKUP(P$5,NFI,5,0),1,0)*Data_NFI_t[[#This Row],[Blanket]],0)</f>
        <v>0</v>
      </c>
      <c r="AI247" s="86">
        <f>IF(NFI_Expiration=1,IF($A247&lt;VLOOKUP(Q$5,NFI,5,0),1,0)*Data_NFI_t[[#This Row],[Kitchen Set]],0)</f>
        <v>0</v>
      </c>
      <c r="AJ247" s="86">
        <f>IF(NFI_Expiration=1,IF($A247&lt;VLOOKUP(R$5,NFI,5,0),1,0)*Data_NFI_t[[#This Row],[Complementary Kit]],0)</f>
        <v>0</v>
      </c>
      <c r="AK247" s="86">
        <f>IF(NFI_Expiration=1,IF($A247&lt;VLOOKUP(S$5,NFI,5,0),1,0)*Data_NFI_t[[#This Row],[Plastic Bucket]],0)</f>
        <v>0</v>
      </c>
      <c r="AL247" s="86">
        <f>IF(NFI_Expiration=1,IF($A247&lt;VLOOKUP(T$5,NFI,5,0),1,0)*Data_NFI_t[[#This Row],[Jerry Can]],0)</f>
        <v>0</v>
      </c>
      <c r="AM247" s="105">
        <f>IF(NFI_Expiration=1,IF($A247&lt;VLOOKUP(U$5,NFI,5,0),1,0)*Data_NFI_t[[#This Row],[Plastic Mat]],0)*IF(Data_NFI_t[[#This Row],[Distribution Date]]&gt;"01-06-2015",1,2.5)</f>
        <v>0</v>
      </c>
      <c r="AN247" s="734">
        <f>IF(NFI_Expiration=1,IF($A247&lt;VLOOKUP(V$5,NFI,5,0),1,0)*Data_NFI_t[[#This Row],[Adult Clothes]],0)</f>
        <v>0</v>
      </c>
      <c r="AO247" s="105">
        <f>IF(NFI_Expiration=1,IF($A247&lt;VLOOKUP(W$5,NFI,5,0),1,0)*Data_NFI_t[[#This Row],[Children Clothes]],0)</f>
        <v>0</v>
      </c>
      <c r="AP247" s="105">
        <f>IF(NFI_Expiration=1,IF($A247&lt;VLOOKUP(X$5,NFI,5,0),1,0)*Data_NFI_t[[#This Row],[Sewing Kit]],0)</f>
        <v>0</v>
      </c>
      <c r="AQ247" s="734">
        <f>IF(NFI_Expiration=1,IF($A247&lt;VLOOKUP(X$5,NFI,5,0),1,0)*Data_NFI_t[[#This Row],[Solar Lantern]],0)</f>
        <v>0</v>
      </c>
      <c r="AR247" s="105" t="str">
        <f ca="1">IFERROR(OFFSET(Camp_List[P_Code],MATCH(Data_NFI_t[[#This Row],[Camp Name]],Camp_List[Camp Name],0)-1,0,1,1),"")</f>
        <v>MMR012CMP098</v>
      </c>
      <c r="AS247" s="421" t="str">
        <f ca="1">IFERROR(OFFSET(Camp_List[Status],MATCH(Data_NFI_t[[#This Row],[Camp Name]],Camp_List[Camp Name],0)-1,0,1,1),"")</f>
        <v>Open</v>
      </c>
      <c r="AT247" s="105"/>
    </row>
    <row r="248" spans="1:46" s="78" customFormat="1" ht="19.5" customHeight="1" x14ac:dyDescent="0.25">
      <c r="A248" s="208">
        <f t="shared" si="3"/>
        <v>51.633333333333333</v>
      </c>
      <c r="B248" s="208">
        <f>YEAR(Data_NFI_t[[#This Row],[Distribution Date]])</f>
        <v>2014</v>
      </c>
      <c r="C248" s="744">
        <v>41641</v>
      </c>
      <c r="D248" s="402" t="s">
        <v>270</v>
      </c>
      <c r="E248" s="401" t="s">
        <v>270</v>
      </c>
      <c r="F248" s="402" t="s">
        <v>7</v>
      </c>
      <c r="G248" s="670" t="s">
        <v>14</v>
      </c>
      <c r="H248" s="670" t="s">
        <v>46</v>
      </c>
      <c r="I248" s="670"/>
      <c r="J248" s="670"/>
      <c r="K248" s="670"/>
      <c r="L248" s="42"/>
      <c r="M248" s="42">
        <v>1</v>
      </c>
      <c r="N248" s="42">
        <v>2</v>
      </c>
      <c r="O248" s="42"/>
      <c r="P248" s="42">
        <v>2</v>
      </c>
      <c r="Q248" s="42">
        <v>1</v>
      </c>
      <c r="R248" s="42">
        <v>1</v>
      </c>
      <c r="S248" s="42">
        <v>1</v>
      </c>
      <c r="T248" s="419"/>
      <c r="U248" s="42">
        <v>2</v>
      </c>
      <c r="V248" s="42"/>
      <c r="W248" s="42"/>
      <c r="X248" s="42"/>
      <c r="Y248" s="42"/>
      <c r="Z248" s="42"/>
      <c r="AA248" s="42"/>
      <c r="AB248" s="42"/>
      <c r="AC248" s="105">
        <f>IF(NFI_Expiration=1,IF($A248&lt;VLOOKUP(I$5,NFI,5,0),1,0)*Data_NFI_t[[#This Row],[Hygiene Kit]],0)</f>
        <v>0</v>
      </c>
      <c r="AD248" s="105">
        <f>IF(NFI_Expiration=1,IF($A248&lt;VLOOKUP(L$5,NFI,5,0),1,0)*Data_NFI_t[[#This Row],[NFI Core Kit]],0)</f>
        <v>0</v>
      </c>
      <c r="AE248" s="86">
        <f>IF(NFI_Expiration=1,IF($A248&lt;VLOOKUP(M$5,NFI,5,0),1,0)*Data_NFI_t[[#This Row],[Sanitary Kit]],0)</f>
        <v>0</v>
      </c>
      <c r="AF248" s="86">
        <f>IF(NFI_Expiration=1,IF($A248&lt;VLOOKUP(N$5,NFI,5,0),1,0)*Data_NFI_t[[#This Row],[Mosquito net]],0)</f>
        <v>0</v>
      </c>
      <c r="AG248" s="86">
        <f>IF(NFI_Expiration=1,IF($A248&lt;VLOOKUP(O$5,NFI,5,0),1,0)*Data_NFI_t[[#This Row],[Tarpaulin]],0)</f>
        <v>0</v>
      </c>
      <c r="AH248" s="86">
        <f>IF(NFI_Expiration=1,IF($A248&lt;VLOOKUP(P$5,NFI,5,0),1,0)*Data_NFI_t[[#This Row],[Blanket]],0)</f>
        <v>0</v>
      </c>
      <c r="AI248" s="86">
        <f>IF(NFI_Expiration=1,IF($A248&lt;VLOOKUP(Q$5,NFI,5,0),1,0)*Data_NFI_t[[#This Row],[Kitchen Set]],0)</f>
        <v>0</v>
      </c>
      <c r="AJ248" s="86">
        <f>IF(NFI_Expiration=1,IF($A248&lt;VLOOKUP(R$5,NFI,5,0),1,0)*Data_NFI_t[[#This Row],[Complementary Kit]],0)</f>
        <v>0</v>
      </c>
      <c r="AK248" s="86">
        <f>IF(NFI_Expiration=1,IF($A248&lt;VLOOKUP(S$5,NFI,5,0),1,0)*Data_NFI_t[[#This Row],[Plastic Bucket]],0)</f>
        <v>0</v>
      </c>
      <c r="AL248" s="86">
        <f>IF(NFI_Expiration=1,IF($A248&lt;VLOOKUP(T$5,NFI,5,0),1,0)*Data_NFI_t[[#This Row],[Jerry Can]],0)</f>
        <v>0</v>
      </c>
      <c r="AM248" s="105">
        <f>IF(NFI_Expiration=1,IF($A248&lt;VLOOKUP(U$5,NFI,5,0),1,0)*Data_NFI_t[[#This Row],[Plastic Mat]],0)*IF(Data_NFI_t[[#This Row],[Distribution Date]]&gt;"01-06-2015",1,2.5)</f>
        <v>0</v>
      </c>
      <c r="AN248" s="734">
        <f>IF(NFI_Expiration=1,IF($A248&lt;VLOOKUP(V$5,NFI,5,0),1,0)*Data_NFI_t[[#This Row],[Adult Clothes]],0)</f>
        <v>0</v>
      </c>
      <c r="AO248" s="105">
        <f>IF(NFI_Expiration=1,IF($A248&lt;VLOOKUP(W$5,NFI,5,0),1,0)*Data_NFI_t[[#This Row],[Children Clothes]],0)</f>
        <v>0</v>
      </c>
      <c r="AP248" s="105">
        <f>IF(NFI_Expiration=1,IF($A248&lt;VLOOKUP(X$5,NFI,5,0),1,0)*Data_NFI_t[[#This Row],[Sewing Kit]],0)</f>
        <v>0</v>
      </c>
      <c r="AQ248" s="734">
        <f>IF(NFI_Expiration=1,IF($A248&lt;VLOOKUP(X$5,NFI,5,0),1,0)*Data_NFI_t[[#This Row],[Solar Lantern]],0)</f>
        <v>0</v>
      </c>
      <c r="AR248" s="105" t="str">
        <f ca="1">IFERROR(OFFSET(Camp_List[P_Code],MATCH(Data_NFI_t[[#This Row],[Camp Name]],Camp_List[Camp Name],0)-1,0,1,1),"")</f>
        <v>MMR012CMP024</v>
      </c>
      <c r="AS248" s="421" t="str">
        <f ca="1">IFERROR(OFFSET(Camp_List[Status],MATCH(Data_NFI_t[[#This Row],[Camp Name]],Camp_List[Camp Name],0)-1,0,1,1),"")</f>
        <v>Returned</v>
      </c>
      <c r="AT248" s="105"/>
    </row>
    <row r="249" spans="1:46" s="78" customFormat="1" ht="19.5" customHeight="1" x14ac:dyDescent="0.25">
      <c r="A249" s="208">
        <f t="shared" si="3"/>
        <v>51.633333333333333</v>
      </c>
      <c r="B249" s="208">
        <f>YEAR(Data_NFI_t[[#This Row],[Distribution Date]])</f>
        <v>2014</v>
      </c>
      <c r="C249" s="744">
        <v>41641</v>
      </c>
      <c r="D249" s="402" t="s">
        <v>270</v>
      </c>
      <c r="E249" s="401" t="s">
        <v>270</v>
      </c>
      <c r="F249" s="402" t="s">
        <v>7</v>
      </c>
      <c r="G249" s="670" t="s">
        <v>17</v>
      </c>
      <c r="H249" s="670" t="s">
        <v>585</v>
      </c>
      <c r="I249" s="670"/>
      <c r="J249" s="670"/>
      <c r="K249" s="670"/>
      <c r="L249" s="42">
        <v>30</v>
      </c>
      <c r="M249" s="42"/>
      <c r="N249" s="42">
        <v>50</v>
      </c>
      <c r="O249" s="42">
        <v>25</v>
      </c>
      <c r="P249" s="42">
        <v>75</v>
      </c>
      <c r="Q249" s="42">
        <v>25</v>
      </c>
      <c r="R249" s="42"/>
      <c r="S249" s="42"/>
      <c r="T249" s="419"/>
      <c r="U249" s="42">
        <v>50</v>
      </c>
      <c r="V249" s="42"/>
      <c r="W249" s="42"/>
      <c r="X249" s="42"/>
      <c r="Y249" s="42"/>
      <c r="Z249" s="42"/>
      <c r="AA249" s="42"/>
      <c r="AB249" s="42"/>
      <c r="AC249" s="105">
        <f>IF(NFI_Expiration=1,IF($A249&lt;VLOOKUP(I$5,NFI,5,0),1,0)*Data_NFI_t[[#This Row],[Hygiene Kit]],0)</f>
        <v>0</v>
      </c>
      <c r="AD249" s="105">
        <f>IF(NFI_Expiration=1,IF($A249&lt;VLOOKUP(L$5,NFI,5,0),1,0)*Data_NFI_t[[#This Row],[NFI Core Kit]],0)</f>
        <v>0</v>
      </c>
      <c r="AE249" s="86">
        <f>IF(NFI_Expiration=1,IF($A249&lt;VLOOKUP(M$5,NFI,5,0),1,0)*Data_NFI_t[[#This Row],[Sanitary Kit]],0)</f>
        <v>0</v>
      </c>
      <c r="AF249" s="86">
        <f>IF(NFI_Expiration=1,IF($A249&lt;VLOOKUP(N$5,NFI,5,0),1,0)*Data_NFI_t[[#This Row],[Mosquito net]],0)</f>
        <v>0</v>
      </c>
      <c r="AG249" s="86">
        <f>IF(NFI_Expiration=1,IF($A249&lt;VLOOKUP(O$5,NFI,5,0),1,0)*Data_NFI_t[[#This Row],[Tarpaulin]],0)</f>
        <v>0</v>
      </c>
      <c r="AH249" s="86">
        <f>IF(NFI_Expiration=1,IF($A249&lt;VLOOKUP(P$5,NFI,5,0),1,0)*Data_NFI_t[[#This Row],[Blanket]],0)</f>
        <v>0</v>
      </c>
      <c r="AI249" s="86">
        <f>IF(NFI_Expiration=1,IF($A249&lt;VLOOKUP(Q$5,NFI,5,0),1,0)*Data_NFI_t[[#This Row],[Kitchen Set]],0)</f>
        <v>0</v>
      </c>
      <c r="AJ249" s="86">
        <f>IF(NFI_Expiration=1,IF($A249&lt;VLOOKUP(R$5,NFI,5,0),1,0)*Data_NFI_t[[#This Row],[Complementary Kit]],0)</f>
        <v>0</v>
      </c>
      <c r="AK249" s="86">
        <f>IF(NFI_Expiration=1,IF($A249&lt;VLOOKUP(S$5,NFI,5,0),1,0)*Data_NFI_t[[#This Row],[Plastic Bucket]],0)</f>
        <v>0</v>
      </c>
      <c r="AL249" s="86">
        <f>IF(NFI_Expiration=1,IF($A249&lt;VLOOKUP(T$5,NFI,5,0),1,0)*Data_NFI_t[[#This Row],[Jerry Can]],0)</f>
        <v>0</v>
      </c>
      <c r="AM249" s="105">
        <f>IF(NFI_Expiration=1,IF($A249&lt;VLOOKUP(U$5,NFI,5,0),1,0)*Data_NFI_t[[#This Row],[Plastic Mat]],0)*IF(Data_NFI_t[[#This Row],[Distribution Date]]&gt;"01-06-2015",1,2.5)</f>
        <v>0</v>
      </c>
      <c r="AN249" s="734">
        <f>IF(NFI_Expiration=1,IF($A249&lt;VLOOKUP(V$5,NFI,5,0),1,0)*Data_NFI_t[[#This Row],[Adult Clothes]],0)</f>
        <v>0</v>
      </c>
      <c r="AO249" s="105">
        <f>IF(NFI_Expiration=1,IF($A249&lt;VLOOKUP(W$5,NFI,5,0),1,0)*Data_NFI_t[[#This Row],[Children Clothes]],0)</f>
        <v>0</v>
      </c>
      <c r="AP249" s="105">
        <f>IF(NFI_Expiration=1,IF($A249&lt;VLOOKUP(X$5,NFI,5,0),1,0)*Data_NFI_t[[#This Row],[Sewing Kit]],0)</f>
        <v>0</v>
      </c>
      <c r="AQ249" s="734">
        <f>IF(NFI_Expiration=1,IF($A249&lt;VLOOKUP(X$5,NFI,5,0),1,0)*Data_NFI_t[[#This Row],[Solar Lantern]],0)</f>
        <v>0</v>
      </c>
      <c r="AR249" s="105" t="str">
        <f ca="1">IFERROR(OFFSET(Camp_List[P_Code],MATCH(Data_NFI_t[[#This Row],[Camp Name]],Camp_List[Camp Name],0)-1,0,1,1),"")</f>
        <v>MMR012CMP098</v>
      </c>
      <c r="AS249" s="421" t="str">
        <f ca="1">IFERROR(OFFSET(Camp_List[Status],MATCH(Data_NFI_t[[#This Row],[Camp Name]],Camp_List[Camp Name],0)-1,0,1,1),"")</f>
        <v>Open</v>
      </c>
      <c r="AT249" s="105"/>
    </row>
    <row r="250" spans="1:46" s="78" customFormat="1" ht="19.5" customHeight="1" x14ac:dyDescent="0.25">
      <c r="A250" s="208">
        <f t="shared" si="3"/>
        <v>51.7</v>
      </c>
      <c r="B250" s="208">
        <f>YEAR(Data_NFI_t[[#This Row],[Distribution Date]])</f>
        <v>2013</v>
      </c>
      <c r="C250" s="744">
        <v>41639</v>
      </c>
      <c r="D250" s="402" t="s">
        <v>270</v>
      </c>
      <c r="E250" s="401" t="s">
        <v>270</v>
      </c>
      <c r="F250" s="402" t="s">
        <v>7</v>
      </c>
      <c r="G250" s="670" t="s">
        <v>17</v>
      </c>
      <c r="H250" s="670" t="s">
        <v>585</v>
      </c>
      <c r="I250" s="670"/>
      <c r="J250" s="670"/>
      <c r="K250" s="670"/>
      <c r="L250" s="42"/>
      <c r="M250" s="42"/>
      <c r="N250" s="42">
        <v>800</v>
      </c>
      <c r="O250" s="42"/>
      <c r="P250" s="42"/>
      <c r="Q250" s="42"/>
      <c r="R250" s="42"/>
      <c r="S250" s="42"/>
      <c r="T250" s="419"/>
      <c r="U250" s="42"/>
      <c r="V250" s="42"/>
      <c r="W250" s="42"/>
      <c r="X250" s="42"/>
      <c r="Y250" s="42"/>
      <c r="Z250" s="42"/>
      <c r="AA250" s="42"/>
      <c r="AB250" s="42"/>
      <c r="AC250" s="105">
        <f>IF(NFI_Expiration=1,IF($A250&lt;VLOOKUP(I$5,NFI,5,0),1,0)*Data_NFI_t[[#This Row],[Hygiene Kit]],0)</f>
        <v>0</v>
      </c>
      <c r="AD250" s="105">
        <f>IF(NFI_Expiration=1,IF($A250&lt;VLOOKUP(L$5,NFI,5,0),1,0)*Data_NFI_t[[#This Row],[NFI Core Kit]],0)</f>
        <v>0</v>
      </c>
      <c r="AE250" s="86">
        <f>IF(NFI_Expiration=1,IF($A250&lt;VLOOKUP(M$5,NFI,5,0),1,0)*Data_NFI_t[[#This Row],[Sanitary Kit]],0)</f>
        <v>0</v>
      </c>
      <c r="AF250" s="86">
        <f>IF(NFI_Expiration=1,IF($A250&lt;VLOOKUP(N$5,NFI,5,0),1,0)*Data_NFI_t[[#This Row],[Mosquito net]],0)</f>
        <v>0</v>
      </c>
      <c r="AG250" s="86">
        <f>IF(NFI_Expiration=1,IF($A250&lt;VLOOKUP(O$5,NFI,5,0),1,0)*Data_NFI_t[[#This Row],[Tarpaulin]],0)</f>
        <v>0</v>
      </c>
      <c r="AH250" s="86">
        <f>IF(NFI_Expiration=1,IF($A250&lt;VLOOKUP(P$5,NFI,5,0),1,0)*Data_NFI_t[[#This Row],[Blanket]],0)</f>
        <v>0</v>
      </c>
      <c r="AI250" s="86">
        <f>IF(NFI_Expiration=1,IF($A250&lt;VLOOKUP(Q$5,NFI,5,0),1,0)*Data_NFI_t[[#This Row],[Kitchen Set]],0)</f>
        <v>0</v>
      </c>
      <c r="AJ250" s="86">
        <f>IF(NFI_Expiration=1,IF($A250&lt;VLOOKUP(R$5,NFI,5,0),1,0)*Data_NFI_t[[#This Row],[Complementary Kit]],0)</f>
        <v>0</v>
      </c>
      <c r="AK250" s="86">
        <f>IF(NFI_Expiration=1,IF($A250&lt;VLOOKUP(S$5,NFI,5,0),1,0)*Data_NFI_t[[#This Row],[Plastic Bucket]],0)</f>
        <v>0</v>
      </c>
      <c r="AL250" s="86">
        <f>IF(NFI_Expiration=1,IF($A250&lt;VLOOKUP(T$5,NFI,5,0),1,0)*Data_NFI_t[[#This Row],[Jerry Can]],0)</f>
        <v>0</v>
      </c>
      <c r="AM250" s="105">
        <f>IF(NFI_Expiration=1,IF($A250&lt;VLOOKUP(U$5,NFI,5,0),1,0)*Data_NFI_t[[#This Row],[Plastic Mat]],0)*IF(Data_NFI_t[[#This Row],[Distribution Date]]&gt;"01-06-2015",1,2.5)</f>
        <v>0</v>
      </c>
      <c r="AN250" s="734">
        <f>IF(NFI_Expiration=1,IF($A250&lt;VLOOKUP(V$5,NFI,5,0),1,0)*Data_NFI_t[[#This Row],[Adult Clothes]],0)</f>
        <v>0</v>
      </c>
      <c r="AO250" s="105">
        <f>IF(NFI_Expiration=1,IF($A250&lt;VLOOKUP(W$5,NFI,5,0),1,0)*Data_NFI_t[[#This Row],[Children Clothes]],0)</f>
        <v>0</v>
      </c>
      <c r="AP250" s="105">
        <f>IF(NFI_Expiration=1,IF($A250&lt;VLOOKUP(X$5,NFI,5,0),1,0)*Data_NFI_t[[#This Row],[Sewing Kit]],0)</f>
        <v>0</v>
      </c>
      <c r="AQ250" s="734">
        <f>IF(NFI_Expiration=1,IF($A250&lt;VLOOKUP(X$5,NFI,5,0),1,0)*Data_NFI_t[[#This Row],[Solar Lantern]],0)</f>
        <v>0</v>
      </c>
      <c r="AR250" s="105" t="str">
        <f ca="1">IFERROR(OFFSET(Camp_List[P_Code],MATCH(Data_NFI_t[[#This Row],[Camp Name]],Camp_List[Camp Name],0)-1,0,1,1),"")</f>
        <v>MMR012CMP098</v>
      </c>
      <c r="AS250" s="421" t="str">
        <f ca="1">IFERROR(OFFSET(Camp_List[Status],MATCH(Data_NFI_t[[#This Row],[Camp Name]],Camp_List[Camp Name],0)-1,0,1,1),"")</f>
        <v>Open</v>
      </c>
      <c r="AT250" s="105"/>
    </row>
    <row r="251" spans="1:46" s="78" customFormat="1" ht="19.5" customHeight="1" x14ac:dyDescent="0.25">
      <c r="A251" s="208">
        <f t="shared" si="3"/>
        <v>51.7</v>
      </c>
      <c r="B251" s="208">
        <f>YEAR(Data_NFI_t[[#This Row],[Distribution Date]])</f>
        <v>2013</v>
      </c>
      <c r="C251" s="744">
        <v>41639</v>
      </c>
      <c r="D251" s="402" t="s">
        <v>270</v>
      </c>
      <c r="E251" s="401" t="s">
        <v>270</v>
      </c>
      <c r="F251" s="402" t="s">
        <v>7</v>
      </c>
      <c r="G251" s="670" t="s">
        <v>17</v>
      </c>
      <c r="H251" s="670" t="s">
        <v>585</v>
      </c>
      <c r="I251" s="670"/>
      <c r="J251" s="670"/>
      <c r="K251" s="670"/>
      <c r="L251" s="42"/>
      <c r="M251" s="42"/>
      <c r="N251" s="42"/>
      <c r="O251" s="42"/>
      <c r="P251" s="42">
        <v>800</v>
      </c>
      <c r="Q251" s="42">
        <v>400</v>
      </c>
      <c r="R251" s="42"/>
      <c r="S251" s="42">
        <v>400</v>
      </c>
      <c r="T251" s="419"/>
      <c r="U251" s="42">
        <v>800</v>
      </c>
      <c r="V251" s="42"/>
      <c r="W251" s="42"/>
      <c r="X251" s="42"/>
      <c r="Y251" s="42"/>
      <c r="Z251" s="42"/>
      <c r="AA251" s="42"/>
      <c r="AB251" s="42"/>
      <c r="AC251" s="105">
        <f>IF(NFI_Expiration=1,IF($A251&lt;VLOOKUP(I$5,NFI,5,0),1,0)*Data_NFI_t[[#This Row],[Hygiene Kit]],0)</f>
        <v>0</v>
      </c>
      <c r="AD251" s="105">
        <f>IF(NFI_Expiration=1,IF($A251&lt;VLOOKUP(L$5,NFI,5,0),1,0)*Data_NFI_t[[#This Row],[NFI Core Kit]],0)</f>
        <v>0</v>
      </c>
      <c r="AE251" s="86">
        <f>IF(NFI_Expiration=1,IF($A251&lt;VLOOKUP(M$5,NFI,5,0),1,0)*Data_NFI_t[[#This Row],[Sanitary Kit]],0)</f>
        <v>0</v>
      </c>
      <c r="AF251" s="86">
        <f>IF(NFI_Expiration=1,IF($A251&lt;VLOOKUP(N$5,NFI,5,0),1,0)*Data_NFI_t[[#This Row],[Mosquito net]],0)</f>
        <v>0</v>
      </c>
      <c r="AG251" s="86">
        <f>IF(NFI_Expiration=1,IF($A251&lt;VLOOKUP(O$5,NFI,5,0),1,0)*Data_NFI_t[[#This Row],[Tarpaulin]],0)</f>
        <v>0</v>
      </c>
      <c r="AH251" s="86">
        <f>IF(NFI_Expiration=1,IF($A251&lt;VLOOKUP(P$5,NFI,5,0),1,0)*Data_NFI_t[[#This Row],[Blanket]],0)</f>
        <v>0</v>
      </c>
      <c r="AI251" s="86">
        <f>IF(NFI_Expiration=1,IF($A251&lt;VLOOKUP(Q$5,NFI,5,0),1,0)*Data_NFI_t[[#This Row],[Kitchen Set]],0)</f>
        <v>0</v>
      </c>
      <c r="AJ251" s="86">
        <f>IF(NFI_Expiration=1,IF($A251&lt;VLOOKUP(R$5,NFI,5,0),1,0)*Data_NFI_t[[#This Row],[Complementary Kit]],0)</f>
        <v>0</v>
      </c>
      <c r="AK251" s="86">
        <f>IF(NFI_Expiration=1,IF($A251&lt;VLOOKUP(S$5,NFI,5,0),1,0)*Data_NFI_t[[#This Row],[Plastic Bucket]],0)</f>
        <v>0</v>
      </c>
      <c r="AL251" s="86">
        <f>IF(NFI_Expiration=1,IF($A251&lt;VLOOKUP(T$5,NFI,5,0),1,0)*Data_NFI_t[[#This Row],[Jerry Can]],0)</f>
        <v>0</v>
      </c>
      <c r="AM251" s="105">
        <f>IF(NFI_Expiration=1,IF($A251&lt;VLOOKUP(U$5,NFI,5,0),1,0)*Data_NFI_t[[#This Row],[Plastic Mat]],0)*IF(Data_NFI_t[[#This Row],[Distribution Date]]&gt;"01-06-2015",1,2.5)</f>
        <v>0</v>
      </c>
      <c r="AN251" s="734">
        <f>IF(NFI_Expiration=1,IF($A251&lt;VLOOKUP(V$5,NFI,5,0),1,0)*Data_NFI_t[[#This Row],[Adult Clothes]],0)</f>
        <v>0</v>
      </c>
      <c r="AO251" s="105">
        <f>IF(NFI_Expiration=1,IF($A251&lt;VLOOKUP(W$5,NFI,5,0),1,0)*Data_NFI_t[[#This Row],[Children Clothes]],0)</f>
        <v>0</v>
      </c>
      <c r="AP251" s="105">
        <f>IF(NFI_Expiration=1,IF($A251&lt;VLOOKUP(X$5,NFI,5,0),1,0)*Data_NFI_t[[#This Row],[Sewing Kit]],0)</f>
        <v>0</v>
      </c>
      <c r="AQ251" s="734">
        <f>IF(NFI_Expiration=1,IF($A251&lt;VLOOKUP(X$5,NFI,5,0),1,0)*Data_NFI_t[[#This Row],[Solar Lantern]],0)</f>
        <v>0</v>
      </c>
      <c r="AR251" s="105" t="str">
        <f ca="1">IFERROR(OFFSET(Camp_List[P_Code],MATCH(Data_NFI_t[[#This Row],[Camp Name]],Camp_List[Camp Name],0)-1,0,1,1),"")</f>
        <v>MMR012CMP098</v>
      </c>
      <c r="AS251" s="421" t="str">
        <f ca="1">IFERROR(OFFSET(Camp_List[Status],MATCH(Data_NFI_t[[#This Row],[Camp Name]],Camp_List[Camp Name],0)-1,0,1,1),"")</f>
        <v>Open</v>
      </c>
      <c r="AT251" s="105"/>
    </row>
    <row r="252" spans="1:46" s="78" customFormat="1" ht="19.5" customHeight="1" x14ac:dyDescent="0.25">
      <c r="A252" s="208">
        <f t="shared" si="3"/>
        <v>51.7</v>
      </c>
      <c r="B252" s="208">
        <f>YEAR(Data_NFI_t[[#This Row],[Distribution Date]])</f>
        <v>2013</v>
      </c>
      <c r="C252" s="744">
        <v>41639</v>
      </c>
      <c r="D252" s="402" t="s">
        <v>270</v>
      </c>
      <c r="E252" s="401" t="s">
        <v>270</v>
      </c>
      <c r="F252" s="402" t="s">
        <v>7</v>
      </c>
      <c r="G252" s="670" t="s">
        <v>17</v>
      </c>
      <c r="H252" s="670" t="s">
        <v>585</v>
      </c>
      <c r="I252" s="670"/>
      <c r="J252" s="670"/>
      <c r="K252" s="670"/>
      <c r="L252" s="42"/>
      <c r="M252" s="42"/>
      <c r="N252" s="42"/>
      <c r="O252" s="42">
        <v>309</v>
      </c>
      <c r="P252" s="42"/>
      <c r="Q252" s="42"/>
      <c r="R252" s="42"/>
      <c r="S252" s="42"/>
      <c r="T252" s="419"/>
      <c r="U252" s="42"/>
      <c r="V252" s="42"/>
      <c r="W252" s="42"/>
      <c r="X252" s="42"/>
      <c r="Y252" s="42"/>
      <c r="Z252" s="42"/>
      <c r="AA252" s="42"/>
      <c r="AB252" s="42"/>
      <c r="AC252" s="105">
        <f>IF(NFI_Expiration=1,IF($A252&lt;VLOOKUP(I$5,NFI,5,0),1,0)*Data_NFI_t[[#This Row],[Hygiene Kit]],0)</f>
        <v>0</v>
      </c>
      <c r="AD252" s="105">
        <f>IF(NFI_Expiration=1,IF($A252&lt;VLOOKUP(L$5,NFI,5,0),1,0)*Data_NFI_t[[#This Row],[NFI Core Kit]],0)</f>
        <v>0</v>
      </c>
      <c r="AE252" s="86">
        <f>IF(NFI_Expiration=1,IF($A252&lt;VLOOKUP(M$5,NFI,5,0),1,0)*Data_NFI_t[[#This Row],[Sanitary Kit]],0)</f>
        <v>0</v>
      </c>
      <c r="AF252" s="86">
        <f>IF(NFI_Expiration=1,IF($A252&lt;VLOOKUP(N$5,NFI,5,0),1,0)*Data_NFI_t[[#This Row],[Mosquito net]],0)</f>
        <v>0</v>
      </c>
      <c r="AG252" s="86">
        <f>IF(NFI_Expiration=1,IF($A252&lt;VLOOKUP(O$5,NFI,5,0),1,0)*Data_NFI_t[[#This Row],[Tarpaulin]],0)</f>
        <v>0</v>
      </c>
      <c r="AH252" s="86">
        <f>IF(NFI_Expiration=1,IF($A252&lt;VLOOKUP(P$5,NFI,5,0),1,0)*Data_NFI_t[[#This Row],[Blanket]],0)</f>
        <v>0</v>
      </c>
      <c r="AI252" s="86">
        <f>IF(NFI_Expiration=1,IF($A252&lt;VLOOKUP(Q$5,NFI,5,0),1,0)*Data_NFI_t[[#This Row],[Kitchen Set]],0)</f>
        <v>0</v>
      </c>
      <c r="AJ252" s="86">
        <f>IF(NFI_Expiration=1,IF($A252&lt;VLOOKUP(R$5,NFI,5,0),1,0)*Data_NFI_t[[#This Row],[Complementary Kit]],0)</f>
        <v>0</v>
      </c>
      <c r="AK252" s="86">
        <f>IF(NFI_Expiration=1,IF($A252&lt;VLOOKUP(S$5,NFI,5,0),1,0)*Data_NFI_t[[#This Row],[Plastic Bucket]],0)</f>
        <v>0</v>
      </c>
      <c r="AL252" s="86">
        <f>IF(NFI_Expiration=1,IF($A252&lt;VLOOKUP(T$5,NFI,5,0),1,0)*Data_NFI_t[[#This Row],[Jerry Can]],0)</f>
        <v>0</v>
      </c>
      <c r="AM252" s="105">
        <f>IF(NFI_Expiration=1,IF($A252&lt;VLOOKUP(U$5,NFI,5,0),1,0)*Data_NFI_t[[#This Row],[Plastic Mat]],0)*IF(Data_NFI_t[[#This Row],[Distribution Date]]&gt;"01-06-2015",1,2.5)</f>
        <v>0</v>
      </c>
      <c r="AN252" s="734">
        <f>IF(NFI_Expiration=1,IF($A252&lt;VLOOKUP(V$5,NFI,5,0),1,0)*Data_NFI_t[[#This Row],[Adult Clothes]],0)</f>
        <v>0</v>
      </c>
      <c r="AO252" s="105">
        <f>IF(NFI_Expiration=1,IF($A252&lt;VLOOKUP(W$5,NFI,5,0),1,0)*Data_NFI_t[[#This Row],[Children Clothes]],0)</f>
        <v>0</v>
      </c>
      <c r="AP252" s="105">
        <f>IF(NFI_Expiration=1,IF($A252&lt;VLOOKUP(X$5,NFI,5,0),1,0)*Data_NFI_t[[#This Row],[Sewing Kit]],0)</f>
        <v>0</v>
      </c>
      <c r="AQ252" s="734">
        <f>IF(NFI_Expiration=1,IF($A252&lt;VLOOKUP(X$5,NFI,5,0),1,0)*Data_NFI_t[[#This Row],[Solar Lantern]],0)</f>
        <v>0</v>
      </c>
      <c r="AR252" s="105" t="str">
        <f ca="1">IFERROR(OFFSET(Camp_List[P_Code],MATCH(Data_NFI_t[[#This Row],[Camp Name]],Camp_List[Camp Name],0)-1,0,1,1),"")</f>
        <v>MMR012CMP098</v>
      </c>
      <c r="AS252" s="421" t="str">
        <f ca="1">IFERROR(OFFSET(Camp_List[Status],MATCH(Data_NFI_t[[#This Row],[Camp Name]],Camp_List[Camp Name],0)-1,0,1,1),"")</f>
        <v>Open</v>
      </c>
      <c r="AT252" s="105"/>
    </row>
    <row r="253" spans="1:46" s="78" customFormat="1" ht="19.5" customHeight="1" x14ac:dyDescent="0.25">
      <c r="A253" s="208">
        <f t="shared" si="3"/>
        <v>52.3</v>
      </c>
      <c r="B253" s="208">
        <f>YEAR(Data_NFI_t[[#This Row],[Distribution Date]])</f>
        <v>2013</v>
      </c>
      <c r="C253" s="744">
        <v>41621</v>
      </c>
      <c r="D253" s="402" t="s">
        <v>270</v>
      </c>
      <c r="E253" s="401" t="s">
        <v>270</v>
      </c>
      <c r="F253" s="402" t="s">
        <v>7</v>
      </c>
      <c r="G253" s="670" t="s">
        <v>13</v>
      </c>
      <c r="H253" s="670" t="s">
        <v>39</v>
      </c>
      <c r="I253" s="670"/>
      <c r="J253" s="670"/>
      <c r="K253" s="670"/>
      <c r="L253" s="42"/>
      <c r="M253" s="42"/>
      <c r="N253" s="42">
        <v>1966</v>
      </c>
      <c r="O253" s="42"/>
      <c r="P253" s="42">
        <v>1966</v>
      </c>
      <c r="Q253" s="42">
        <v>983</v>
      </c>
      <c r="R253" s="42">
        <v>983</v>
      </c>
      <c r="S253" s="42">
        <v>983</v>
      </c>
      <c r="T253" s="419"/>
      <c r="U253" s="42">
        <v>1966</v>
      </c>
      <c r="V253" s="42"/>
      <c r="W253" s="42"/>
      <c r="X253" s="42"/>
      <c r="Y253" s="42"/>
      <c r="Z253" s="42"/>
      <c r="AA253" s="42"/>
      <c r="AB253" s="42"/>
      <c r="AC253" s="105">
        <f>IF(NFI_Expiration=1,IF($A253&lt;VLOOKUP(I$5,NFI,5,0),1,0)*Data_NFI_t[[#This Row],[Hygiene Kit]],0)</f>
        <v>0</v>
      </c>
      <c r="AD253" s="105">
        <f>IF(NFI_Expiration=1,IF($A253&lt;VLOOKUP(L$5,NFI,5,0),1,0)*Data_NFI_t[[#This Row],[NFI Core Kit]],0)</f>
        <v>0</v>
      </c>
      <c r="AE253" s="86">
        <f>IF(NFI_Expiration=1,IF($A253&lt;VLOOKUP(M$5,NFI,5,0),1,0)*Data_NFI_t[[#This Row],[Sanitary Kit]],0)</f>
        <v>0</v>
      </c>
      <c r="AF253" s="86">
        <f>IF(NFI_Expiration=1,IF($A253&lt;VLOOKUP(N$5,NFI,5,0),1,0)*Data_NFI_t[[#This Row],[Mosquito net]],0)</f>
        <v>0</v>
      </c>
      <c r="AG253" s="86">
        <f>IF(NFI_Expiration=1,IF($A253&lt;VLOOKUP(O$5,NFI,5,0),1,0)*Data_NFI_t[[#This Row],[Tarpaulin]],0)</f>
        <v>0</v>
      </c>
      <c r="AH253" s="86">
        <f>IF(NFI_Expiration=1,IF($A253&lt;VLOOKUP(P$5,NFI,5,0),1,0)*Data_NFI_t[[#This Row],[Blanket]],0)</f>
        <v>0</v>
      </c>
      <c r="AI253" s="86">
        <f>IF(NFI_Expiration=1,IF($A253&lt;VLOOKUP(Q$5,NFI,5,0),1,0)*Data_NFI_t[[#This Row],[Kitchen Set]],0)</f>
        <v>0</v>
      </c>
      <c r="AJ253" s="86">
        <f>IF(NFI_Expiration=1,IF($A253&lt;VLOOKUP(R$5,NFI,5,0),1,0)*Data_NFI_t[[#This Row],[Complementary Kit]],0)</f>
        <v>0</v>
      </c>
      <c r="AK253" s="86">
        <f>IF(NFI_Expiration=1,IF($A253&lt;VLOOKUP(S$5,NFI,5,0),1,0)*Data_NFI_t[[#This Row],[Plastic Bucket]],0)</f>
        <v>0</v>
      </c>
      <c r="AL253" s="86">
        <f>IF(NFI_Expiration=1,IF($A253&lt;VLOOKUP(T$5,NFI,5,0),1,0)*Data_NFI_t[[#This Row],[Jerry Can]],0)</f>
        <v>0</v>
      </c>
      <c r="AM253" s="105">
        <f>IF(NFI_Expiration=1,IF($A253&lt;VLOOKUP(U$5,NFI,5,0),1,0)*Data_NFI_t[[#This Row],[Plastic Mat]],0)*IF(Data_NFI_t[[#This Row],[Distribution Date]]&gt;"01-06-2015",1,2.5)</f>
        <v>0</v>
      </c>
      <c r="AN253" s="734">
        <f>IF(NFI_Expiration=1,IF($A253&lt;VLOOKUP(V$5,NFI,5,0),1,0)*Data_NFI_t[[#This Row],[Adult Clothes]],0)</f>
        <v>0</v>
      </c>
      <c r="AO253" s="105">
        <f>IF(NFI_Expiration=1,IF($A253&lt;VLOOKUP(W$5,NFI,5,0),1,0)*Data_NFI_t[[#This Row],[Children Clothes]],0)</f>
        <v>0</v>
      </c>
      <c r="AP253" s="105">
        <f>IF(NFI_Expiration=1,IF($A253&lt;VLOOKUP(X$5,NFI,5,0),1,0)*Data_NFI_t[[#This Row],[Sewing Kit]],0)</f>
        <v>0</v>
      </c>
      <c r="AQ253" s="734">
        <f>IF(NFI_Expiration=1,IF($A253&lt;VLOOKUP(X$5,NFI,5,0),1,0)*Data_NFI_t[[#This Row],[Solar Lantern]],0)</f>
        <v>0</v>
      </c>
      <c r="AR253" s="105" t="str">
        <f ca="1">IFERROR(OFFSET(Camp_List[P_Code],MATCH(Data_NFI_t[[#This Row],[Camp Name]],Camp_List[Camp Name],0)-1,0,1,1),"")</f>
        <v/>
      </c>
      <c r="AS253" s="421" t="str">
        <f ca="1">IFERROR(OFFSET(Camp_List[Status],MATCH(Data_NFI_t[[#This Row],[Camp Name]],Camp_List[Camp Name],0)-1,0,1,1),"")</f>
        <v/>
      </c>
      <c r="AT253" s="105"/>
    </row>
    <row r="254" spans="1:46" s="78" customFormat="1" ht="19.5" customHeight="1" x14ac:dyDescent="0.25">
      <c r="A254" s="208">
        <f t="shared" si="3"/>
        <v>52.3</v>
      </c>
      <c r="B254" s="208">
        <f>YEAR(Data_NFI_t[[#This Row],[Distribution Date]])</f>
        <v>2013</v>
      </c>
      <c r="C254" s="744">
        <v>41621</v>
      </c>
      <c r="D254" s="402" t="s">
        <v>270</v>
      </c>
      <c r="E254" s="401" t="s">
        <v>270</v>
      </c>
      <c r="F254" s="402" t="s">
        <v>7</v>
      </c>
      <c r="G254" s="670" t="s">
        <v>13</v>
      </c>
      <c r="H254" s="670" t="s">
        <v>41</v>
      </c>
      <c r="I254" s="670"/>
      <c r="J254" s="670"/>
      <c r="K254" s="670"/>
      <c r="L254" s="42"/>
      <c r="M254" s="42"/>
      <c r="N254" s="42">
        <v>807</v>
      </c>
      <c r="O254" s="42">
        <v>203</v>
      </c>
      <c r="P254" s="42"/>
      <c r="Q254" s="42"/>
      <c r="R254" s="42">
        <v>807</v>
      </c>
      <c r="S254" s="42"/>
      <c r="T254" s="419"/>
      <c r="U254" s="42"/>
      <c r="V254" s="42"/>
      <c r="W254" s="42"/>
      <c r="X254" s="42"/>
      <c r="Y254" s="42"/>
      <c r="Z254" s="42"/>
      <c r="AA254" s="42"/>
      <c r="AB254" s="42"/>
      <c r="AC254" s="105">
        <f>IF(NFI_Expiration=1,IF($A254&lt;VLOOKUP(I$5,NFI,5,0),1,0)*Data_NFI_t[[#This Row],[Hygiene Kit]],0)</f>
        <v>0</v>
      </c>
      <c r="AD254" s="105">
        <f>IF(NFI_Expiration=1,IF($A254&lt;VLOOKUP(L$5,NFI,5,0),1,0)*Data_NFI_t[[#This Row],[NFI Core Kit]],0)</f>
        <v>0</v>
      </c>
      <c r="AE254" s="86">
        <f>IF(NFI_Expiration=1,IF($A254&lt;VLOOKUP(M$5,NFI,5,0),1,0)*Data_NFI_t[[#This Row],[Sanitary Kit]],0)</f>
        <v>0</v>
      </c>
      <c r="AF254" s="86">
        <f>IF(NFI_Expiration=1,IF($A254&lt;VLOOKUP(N$5,NFI,5,0),1,0)*Data_NFI_t[[#This Row],[Mosquito net]],0)</f>
        <v>0</v>
      </c>
      <c r="AG254" s="86">
        <f>IF(NFI_Expiration=1,IF($A254&lt;VLOOKUP(O$5,NFI,5,0),1,0)*Data_NFI_t[[#This Row],[Tarpaulin]],0)</f>
        <v>0</v>
      </c>
      <c r="AH254" s="86">
        <f>IF(NFI_Expiration=1,IF($A254&lt;VLOOKUP(P$5,NFI,5,0),1,0)*Data_NFI_t[[#This Row],[Blanket]],0)</f>
        <v>0</v>
      </c>
      <c r="AI254" s="86">
        <f>IF(NFI_Expiration=1,IF($A254&lt;VLOOKUP(Q$5,NFI,5,0),1,0)*Data_NFI_t[[#This Row],[Kitchen Set]],0)</f>
        <v>0</v>
      </c>
      <c r="AJ254" s="86">
        <f>IF(NFI_Expiration=1,IF($A254&lt;VLOOKUP(R$5,NFI,5,0),1,0)*Data_NFI_t[[#This Row],[Complementary Kit]],0)</f>
        <v>0</v>
      </c>
      <c r="AK254" s="86">
        <f>IF(NFI_Expiration=1,IF($A254&lt;VLOOKUP(S$5,NFI,5,0),1,0)*Data_NFI_t[[#This Row],[Plastic Bucket]],0)</f>
        <v>0</v>
      </c>
      <c r="AL254" s="86">
        <f>IF(NFI_Expiration=1,IF($A254&lt;VLOOKUP(T$5,NFI,5,0),1,0)*Data_NFI_t[[#This Row],[Jerry Can]],0)</f>
        <v>0</v>
      </c>
      <c r="AM254" s="105">
        <f>IF(NFI_Expiration=1,IF($A254&lt;VLOOKUP(U$5,NFI,5,0),1,0)*Data_NFI_t[[#This Row],[Plastic Mat]],0)*IF(Data_NFI_t[[#This Row],[Distribution Date]]&gt;"01-06-2015",1,2.5)</f>
        <v>0</v>
      </c>
      <c r="AN254" s="734">
        <f>IF(NFI_Expiration=1,IF($A254&lt;VLOOKUP(V$5,NFI,5,0),1,0)*Data_NFI_t[[#This Row],[Adult Clothes]],0)</f>
        <v>0</v>
      </c>
      <c r="AO254" s="105">
        <f>IF(NFI_Expiration=1,IF($A254&lt;VLOOKUP(W$5,NFI,5,0),1,0)*Data_NFI_t[[#This Row],[Children Clothes]],0)</f>
        <v>0</v>
      </c>
      <c r="AP254" s="105">
        <f>IF(NFI_Expiration=1,IF($A254&lt;VLOOKUP(X$5,NFI,5,0),1,0)*Data_NFI_t[[#This Row],[Sewing Kit]],0)</f>
        <v>0</v>
      </c>
      <c r="AQ254" s="734">
        <f>IF(NFI_Expiration=1,IF($A254&lt;VLOOKUP(X$5,NFI,5,0),1,0)*Data_NFI_t[[#This Row],[Solar Lantern]],0)</f>
        <v>0</v>
      </c>
      <c r="AR254" s="105" t="str">
        <f ca="1">IFERROR(OFFSET(Camp_List[P_Code],MATCH(Data_NFI_t[[#This Row],[Camp Name]],Camp_List[Camp Name],0)-1,0,1,1),"")</f>
        <v>MMR012CMP019</v>
      </c>
      <c r="AS254" s="421" t="str">
        <f ca="1">IFERROR(OFFSET(Camp_List[Status],MATCH(Data_NFI_t[[#This Row],[Camp Name]],Camp_List[Camp Name],0)-1,0,1,1),"")</f>
        <v>Open</v>
      </c>
      <c r="AT254" s="105"/>
    </row>
    <row r="255" spans="1:46" s="78" customFormat="1" ht="19.5" customHeight="1" x14ac:dyDescent="0.25">
      <c r="A255" s="208">
        <f t="shared" si="3"/>
        <v>52.333333333333336</v>
      </c>
      <c r="B255" s="208">
        <f>YEAR(Data_NFI_t[[#This Row],[Distribution Date]])</f>
        <v>2013</v>
      </c>
      <c r="C255" s="744">
        <v>41620</v>
      </c>
      <c r="D255" s="402" t="s">
        <v>658</v>
      </c>
      <c r="E255" s="401" t="s">
        <v>658</v>
      </c>
      <c r="F255" s="402" t="s">
        <v>7</v>
      </c>
      <c r="G255" s="670" t="s">
        <v>817</v>
      </c>
      <c r="H255" s="670" t="s">
        <v>36</v>
      </c>
      <c r="I255" s="670">
        <v>743</v>
      </c>
      <c r="J255" s="670"/>
      <c r="K255" s="670"/>
      <c r="L255" s="42"/>
      <c r="M255" s="42"/>
      <c r="N255" s="42">
        <v>743</v>
      </c>
      <c r="O255" s="42"/>
      <c r="P255" s="42">
        <v>743</v>
      </c>
      <c r="Q255" s="42"/>
      <c r="R255" s="42"/>
      <c r="S255" s="42">
        <v>743</v>
      </c>
      <c r="T255" s="419"/>
      <c r="U255" s="42"/>
      <c r="V255" s="42"/>
      <c r="W255" s="42"/>
      <c r="X255" s="42"/>
      <c r="Y255" s="42"/>
      <c r="Z255" s="42"/>
      <c r="AA255" s="42"/>
      <c r="AB255" s="42"/>
      <c r="AC255" s="105">
        <f>IF(NFI_Expiration=1,IF($A255&lt;VLOOKUP(I$5,NFI,5,0),1,0)*Data_NFI_t[[#This Row],[Hygiene Kit]],0)</f>
        <v>0</v>
      </c>
      <c r="AD255" s="105">
        <f>IF(NFI_Expiration=1,IF($A255&lt;VLOOKUP(L$5,NFI,5,0),1,0)*Data_NFI_t[[#This Row],[NFI Core Kit]],0)</f>
        <v>0</v>
      </c>
      <c r="AE255" s="86">
        <f>IF(NFI_Expiration=1,IF($A255&lt;VLOOKUP(M$5,NFI,5,0),1,0)*Data_NFI_t[[#This Row],[Sanitary Kit]],0)</f>
        <v>0</v>
      </c>
      <c r="AF255" s="86">
        <f>IF(NFI_Expiration=1,IF($A255&lt;VLOOKUP(N$5,NFI,5,0),1,0)*Data_NFI_t[[#This Row],[Mosquito net]],0)</f>
        <v>0</v>
      </c>
      <c r="AG255" s="86">
        <f>IF(NFI_Expiration=1,IF($A255&lt;VLOOKUP(O$5,NFI,5,0),1,0)*Data_NFI_t[[#This Row],[Tarpaulin]],0)</f>
        <v>0</v>
      </c>
      <c r="AH255" s="86">
        <f>IF(NFI_Expiration=1,IF($A255&lt;VLOOKUP(P$5,NFI,5,0),1,0)*Data_NFI_t[[#This Row],[Blanket]],0)</f>
        <v>0</v>
      </c>
      <c r="AI255" s="86">
        <f>IF(NFI_Expiration=1,IF($A255&lt;VLOOKUP(Q$5,NFI,5,0),1,0)*Data_NFI_t[[#This Row],[Kitchen Set]],0)</f>
        <v>0</v>
      </c>
      <c r="AJ255" s="86">
        <f>IF(NFI_Expiration=1,IF($A255&lt;VLOOKUP(R$5,NFI,5,0),1,0)*Data_NFI_t[[#This Row],[Complementary Kit]],0)</f>
        <v>0</v>
      </c>
      <c r="AK255" s="86">
        <f>IF(NFI_Expiration=1,IF($A255&lt;VLOOKUP(S$5,NFI,5,0),1,0)*Data_NFI_t[[#This Row],[Plastic Bucket]],0)</f>
        <v>0</v>
      </c>
      <c r="AL255" s="86">
        <f>IF(NFI_Expiration=1,IF($A255&lt;VLOOKUP(T$5,NFI,5,0),1,0)*Data_NFI_t[[#This Row],[Jerry Can]],0)</f>
        <v>0</v>
      </c>
      <c r="AM255" s="105">
        <f>IF(NFI_Expiration=1,IF($A255&lt;VLOOKUP(U$5,NFI,5,0),1,0)*Data_NFI_t[[#This Row],[Plastic Mat]],0)*IF(Data_NFI_t[[#This Row],[Distribution Date]]&gt;"01-06-2015",1,2.5)</f>
        <v>0</v>
      </c>
      <c r="AN255" s="734">
        <f>IF(NFI_Expiration=1,IF($A255&lt;VLOOKUP(V$5,NFI,5,0),1,0)*Data_NFI_t[[#This Row],[Adult Clothes]],0)</f>
        <v>0</v>
      </c>
      <c r="AO255" s="105">
        <f>IF(NFI_Expiration=1,IF($A255&lt;VLOOKUP(W$5,NFI,5,0),1,0)*Data_NFI_t[[#This Row],[Children Clothes]],0)</f>
        <v>0</v>
      </c>
      <c r="AP255" s="105">
        <f>IF(NFI_Expiration=1,IF($A255&lt;VLOOKUP(X$5,NFI,5,0),1,0)*Data_NFI_t[[#This Row],[Sewing Kit]],0)</f>
        <v>0</v>
      </c>
      <c r="AQ255" s="734">
        <f>IF(NFI_Expiration=1,IF($A255&lt;VLOOKUP(X$5,NFI,5,0),1,0)*Data_NFI_t[[#This Row],[Solar Lantern]],0)</f>
        <v>0</v>
      </c>
      <c r="AR255" s="105" t="str">
        <f ca="1">IFERROR(OFFSET(Camp_List[P_Code],MATCH(Data_NFI_t[[#This Row],[Camp Name]],Camp_List[Camp Name],0)-1,0,1,1),"")</f>
        <v>MMR012CMP014</v>
      </c>
      <c r="AS255" s="421" t="str">
        <f ca="1">IFERROR(OFFSET(Camp_List[Status],MATCH(Data_NFI_t[[#This Row],[Camp Name]],Camp_List[Camp Name],0)-1,0,1,1),"")</f>
        <v>Open</v>
      </c>
      <c r="AT255" s="105"/>
    </row>
    <row r="256" spans="1:46" s="78" customFormat="1" ht="19.5" customHeight="1" x14ac:dyDescent="0.25">
      <c r="A256" s="208">
        <f t="shared" si="3"/>
        <v>52.56666666666667</v>
      </c>
      <c r="B256" s="208">
        <f>YEAR(Data_NFI_t[[#This Row],[Distribution Date]])</f>
        <v>2013</v>
      </c>
      <c r="C256" s="744">
        <v>41613</v>
      </c>
      <c r="D256" s="402" t="s">
        <v>270</v>
      </c>
      <c r="E256" s="401" t="s">
        <v>270</v>
      </c>
      <c r="F256" s="402" t="s">
        <v>7</v>
      </c>
      <c r="G256" s="670" t="s">
        <v>17</v>
      </c>
      <c r="H256" s="670" t="s">
        <v>586</v>
      </c>
      <c r="I256" s="670"/>
      <c r="J256" s="670"/>
      <c r="K256" s="670"/>
      <c r="L256" s="42"/>
      <c r="M256" s="42"/>
      <c r="N256" s="42">
        <v>2400</v>
      </c>
      <c r="O256" s="42"/>
      <c r="P256" s="42">
        <v>2400</v>
      </c>
      <c r="Q256" s="42">
        <v>1200</v>
      </c>
      <c r="R256" s="42"/>
      <c r="S256" s="42">
        <v>1200</v>
      </c>
      <c r="T256" s="419"/>
      <c r="U256" s="42">
        <v>6000</v>
      </c>
      <c r="V256" s="42"/>
      <c r="W256" s="42"/>
      <c r="X256" s="42"/>
      <c r="Y256" s="42"/>
      <c r="Z256" s="42"/>
      <c r="AA256" s="42"/>
      <c r="AB256" s="42"/>
      <c r="AC256" s="105">
        <f>IF(NFI_Expiration=1,IF($A256&lt;VLOOKUP(I$5,NFI,5,0),1,0)*Data_NFI_t[[#This Row],[Hygiene Kit]],0)</f>
        <v>0</v>
      </c>
      <c r="AD256" s="105">
        <f>IF(NFI_Expiration=1,IF($A256&lt;VLOOKUP(L$5,NFI,5,0),1,0)*Data_NFI_t[[#This Row],[NFI Core Kit]],0)</f>
        <v>0</v>
      </c>
      <c r="AE256" s="86">
        <f>IF(NFI_Expiration=1,IF($A256&lt;VLOOKUP(M$5,NFI,5,0),1,0)*Data_NFI_t[[#This Row],[Sanitary Kit]],0)</f>
        <v>0</v>
      </c>
      <c r="AF256" s="86">
        <f>IF(NFI_Expiration=1,IF($A256&lt;VLOOKUP(N$5,NFI,5,0),1,0)*Data_NFI_t[[#This Row],[Mosquito net]],0)</f>
        <v>0</v>
      </c>
      <c r="AG256" s="86">
        <f>IF(NFI_Expiration=1,IF($A256&lt;VLOOKUP(O$5,NFI,5,0),1,0)*Data_NFI_t[[#This Row],[Tarpaulin]],0)</f>
        <v>0</v>
      </c>
      <c r="AH256" s="86">
        <f>IF(NFI_Expiration=1,IF($A256&lt;VLOOKUP(P$5,NFI,5,0),1,0)*Data_NFI_t[[#This Row],[Blanket]],0)</f>
        <v>0</v>
      </c>
      <c r="AI256" s="86">
        <f>IF(NFI_Expiration=1,IF($A256&lt;VLOOKUP(Q$5,NFI,5,0),1,0)*Data_NFI_t[[#This Row],[Kitchen Set]],0)</f>
        <v>0</v>
      </c>
      <c r="AJ256" s="86">
        <f>IF(NFI_Expiration=1,IF($A256&lt;VLOOKUP(R$5,NFI,5,0),1,0)*Data_NFI_t[[#This Row],[Complementary Kit]],0)</f>
        <v>0</v>
      </c>
      <c r="AK256" s="86">
        <f>IF(NFI_Expiration=1,IF($A256&lt;VLOOKUP(S$5,NFI,5,0),1,0)*Data_NFI_t[[#This Row],[Plastic Bucket]],0)</f>
        <v>0</v>
      </c>
      <c r="AL256" s="86">
        <f>IF(NFI_Expiration=1,IF($A256&lt;VLOOKUP(T$5,NFI,5,0),1,0)*Data_NFI_t[[#This Row],[Jerry Can]],0)</f>
        <v>0</v>
      </c>
      <c r="AM256" s="105">
        <f>IF(NFI_Expiration=1,IF($A256&lt;VLOOKUP(U$5,NFI,5,0),1,0)*Data_NFI_t[[#This Row],[Plastic Mat]],0)*IF(Data_NFI_t[[#This Row],[Distribution Date]]&gt;"01-06-2015",1,2.5)</f>
        <v>0</v>
      </c>
      <c r="AN256" s="734">
        <f>IF(NFI_Expiration=1,IF($A256&lt;VLOOKUP(V$5,NFI,5,0),1,0)*Data_NFI_t[[#This Row],[Adult Clothes]],0)</f>
        <v>0</v>
      </c>
      <c r="AO256" s="105">
        <f>IF(NFI_Expiration=1,IF($A256&lt;VLOOKUP(W$5,NFI,5,0),1,0)*Data_NFI_t[[#This Row],[Children Clothes]],0)</f>
        <v>0</v>
      </c>
      <c r="AP256" s="105">
        <f>IF(NFI_Expiration=1,IF($A256&lt;VLOOKUP(X$5,NFI,5,0),1,0)*Data_NFI_t[[#This Row],[Sewing Kit]],0)</f>
        <v>0</v>
      </c>
      <c r="AQ256" s="734">
        <f>IF(NFI_Expiration=1,IF($A256&lt;VLOOKUP(X$5,NFI,5,0),1,0)*Data_NFI_t[[#This Row],[Solar Lantern]],0)</f>
        <v>0</v>
      </c>
      <c r="AR256" s="105" t="str">
        <f ca="1">IFERROR(OFFSET(Camp_List[P_Code],MATCH(Data_NFI_t[[#This Row],[Camp Name]],Camp_List[Camp Name],0)-1,0,1,1),"")</f>
        <v>MMR012CMP115</v>
      </c>
      <c r="AS256" s="421" t="str">
        <f ca="1">IFERROR(OFFSET(Camp_List[Status],MATCH(Data_NFI_t[[#This Row],[Camp Name]],Camp_List[Camp Name],0)-1,0,1,1),"")</f>
        <v>Open</v>
      </c>
      <c r="AT256" s="105"/>
    </row>
    <row r="257" spans="1:46" s="78" customFormat="1" ht="19.5" customHeight="1" x14ac:dyDescent="0.25">
      <c r="A257" s="208">
        <f t="shared" si="3"/>
        <v>52.56666666666667</v>
      </c>
      <c r="B257" s="208">
        <f>YEAR(Data_NFI_t[[#This Row],[Distribution Date]])</f>
        <v>2013</v>
      </c>
      <c r="C257" s="744">
        <v>41613</v>
      </c>
      <c r="D257" s="402" t="s">
        <v>270</v>
      </c>
      <c r="E257" s="401" t="s">
        <v>270</v>
      </c>
      <c r="F257" s="402" t="s">
        <v>7</v>
      </c>
      <c r="G257" s="670" t="s">
        <v>17</v>
      </c>
      <c r="H257" s="670" t="s">
        <v>586</v>
      </c>
      <c r="I257" s="670"/>
      <c r="J257" s="670"/>
      <c r="K257" s="670"/>
      <c r="L257" s="42"/>
      <c r="M257" s="42"/>
      <c r="N257" s="42"/>
      <c r="O257" s="42">
        <v>33</v>
      </c>
      <c r="P257" s="42"/>
      <c r="Q257" s="42"/>
      <c r="R257" s="42"/>
      <c r="S257" s="42"/>
      <c r="T257" s="419"/>
      <c r="U257" s="42"/>
      <c r="V257" s="42"/>
      <c r="W257" s="42"/>
      <c r="X257" s="42"/>
      <c r="Y257" s="42"/>
      <c r="Z257" s="42"/>
      <c r="AA257" s="42"/>
      <c r="AB257" s="42"/>
      <c r="AC257" s="105">
        <f>IF(NFI_Expiration=1,IF($A257&lt;VLOOKUP(I$5,NFI,5,0),1,0)*Data_NFI_t[[#This Row],[Hygiene Kit]],0)</f>
        <v>0</v>
      </c>
      <c r="AD257" s="105">
        <f>IF(NFI_Expiration=1,IF($A257&lt;VLOOKUP(L$5,NFI,5,0),1,0)*Data_NFI_t[[#This Row],[NFI Core Kit]],0)</f>
        <v>0</v>
      </c>
      <c r="AE257" s="86">
        <f>IF(NFI_Expiration=1,IF($A257&lt;VLOOKUP(M$5,NFI,5,0),1,0)*Data_NFI_t[[#This Row],[Sanitary Kit]],0)</f>
        <v>0</v>
      </c>
      <c r="AF257" s="86">
        <f>IF(NFI_Expiration=1,IF($A257&lt;VLOOKUP(N$5,NFI,5,0),1,0)*Data_NFI_t[[#This Row],[Mosquito net]],0)</f>
        <v>0</v>
      </c>
      <c r="AG257" s="86">
        <f>IF(NFI_Expiration=1,IF($A257&lt;VLOOKUP(O$5,NFI,5,0),1,0)*Data_NFI_t[[#This Row],[Tarpaulin]],0)</f>
        <v>0</v>
      </c>
      <c r="AH257" s="86">
        <f>IF(NFI_Expiration=1,IF($A257&lt;VLOOKUP(P$5,NFI,5,0),1,0)*Data_NFI_t[[#This Row],[Blanket]],0)</f>
        <v>0</v>
      </c>
      <c r="AI257" s="86">
        <f>IF(NFI_Expiration=1,IF($A257&lt;VLOOKUP(Q$5,NFI,5,0),1,0)*Data_NFI_t[[#This Row],[Kitchen Set]],0)</f>
        <v>0</v>
      </c>
      <c r="AJ257" s="86">
        <f>IF(NFI_Expiration=1,IF($A257&lt;VLOOKUP(R$5,NFI,5,0),1,0)*Data_NFI_t[[#This Row],[Complementary Kit]],0)</f>
        <v>0</v>
      </c>
      <c r="AK257" s="86">
        <f>IF(NFI_Expiration=1,IF($A257&lt;VLOOKUP(S$5,NFI,5,0),1,0)*Data_NFI_t[[#This Row],[Plastic Bucket]],0)</f>
        <v>0</v>
      </c>
      <c r="AL257" s="86">
        <f>IF(NFI_Expiration=1,IF($A257&lt;VLOOKUP(T$5,NFI,5,0),1,0)*Data_NFI_t[[#This Row],[Jerry Can]],0)</f>
        <v>0</v>
      </c>
      <c r="AM257" s="105">
        <f>IF(NFI_Expiration=1,IF($A257&lt;VLOOKUP(U$5,NFI,5,0),1,0)*Data_NFI_t[[#This Row],[Plastic Mat]],0)*IF(Data_NFI_t[[#This Row],[Distribution Date]]&gt;"01-06-2015",1,2.5)</f>
        <v>0</v>
      </c>
      <c r="AN257" s="734">
        <f>IF(NFI_Expiration=1,IF($A257&lt;VLOOKUP(V$5,NFI,5,0),1,0)*Data_NFI_t[[#This Row],[Adult Clothes]],0)</f>
        <v>0</v>
      </c>
      <c r="AO257" s="105">
        <f>IF(NFI_Expiration=1,IF($A257&lt;VLOOKUP(W$5,NFI,5,0),1,0)*Data_NFI_t[[#This Row],[Children Clothes]],0)</f>
        <v>0</v>
      </c>
      <c r="AP257" s="105">
        <f>IF(NFI_Expiration=1,IF($A257&lt;VLOOKUP(X$5,NFI,5,0),1,0)*Data_NFI_t[[#This Row],[Sewing Kit]],0)</f>
        <v>0</v>
      </c>
      <c r="AQ257" s="734">
        <f>IF(NFI_Expiration=1,IF($A257&lt;VLOOKUP(X$5,NFI,5,0),1,0)*Data_NFI_t[[#This Row],[Solar Lantern]],0)</f>
        <v>0</v>
      </c>
      <c r="AR257" s="105" t="str">
        <f ca="1">IFERROR(OFFSET(Camp_List[P_Code],MATCH(Data_NFI_t[[#This Row],[Camp Name]],Camp_List[Camp Name],0)-1,0,1,1),"")</f>
        <v>MMR012CMP115</v>
      </c>
      <c r="AS257" s="421" t="str">
        <f ca="1">IFERROR(OFFSET(Camp_List[Status],MATCH(Data_NFI_t[[#This Row],[Camp Name]],Camp_List[Camp Name],0)-1,0,1,1),"")</f>
        <v>Open</v>
      </c>
      <c r="AT257" s="105"/>
    </row>
    <row r="258" spans="1:46" s="78" customFormat="1" ht="19.5" customHeight="1" x14ac:dyDescent="0.25">
      <c r="A258" s="208">
        <f t="shared" si="3"/>
        <v>53.1</v>
      </c>
      <c r="B258" s="208">
        <f>YEAR(Data_NFI_t[[#This Row],[Distribution Date]])</f>
        <v>2013</v>
      </c>
      <c r="C258" s="744">
        <v>41597</v>
      </c>
      <c r="D258" s="402" t="s">
        <v>575</v>
      </c>
      <c r="E258" s="401" t="s">
        <v>575</v>
      </c>
      <c r="F258" s="402" t="s">
        <v>7</v>
      </c>
      <c r="G258" s="670" t="s">
        <v>17</v>
      </c>
      <c r="H258" s="670" t="s">
        <v>587</v>
      </c>
      <c r="I258" s="670"/>
      <c r="J258" s="670"/>
      <c r="K258" s="670"/>
      <c r="L258" s="42">
        <v>731</v>
      </c>
      <c r="M258" s="42"/>
      <c r="N258" s="42"/>
      <c r="O258" s="42"/>
      <c r="P258" s="42"/>
      <c r="Q258" s="42"/>
      <c r="R258" s="42"/>
      <c r="S258" s="42"/>
      <c r="T258" s="419"/>
      <c r="U258" s="42"/>
      <c r="V258" s="42"/>
      <c r="W258" s="42"/>
      <c r="X258" s="42"/>
      <c r="Y258" s="42"/>
      <c r="Z258" s="42"/>
      <c r="AA258" s="42"/>
      <c r="AB258" s="42"/>
      <c r="AC258" s="105">
        <f>IF(NFI_Expiration=1,IF($A258&lt;VLOOKUP(I$5,NFI,5,0),1,0)*Data_NFI_t[[#This Row],[Hygiene Kit]],0)</f>
        <v>0</v>
      </c>
      <c r="AD258" s="105">
        <f>IF(NFI_Expiration=1,IF($A258&lt;VLOOKUP(L$5,NFI,5,0),1,0)*Data_NFI_t[[#This Row],[NFI Core Kit]],0)</f>
        <v>0</v>
      </c>
      <c r="AE258" s="86">
        <f>IF(NFI_Expiration=1,IF($A258&lt;VLOOKUP(M$5,NFI,5,0),1,0)*Data_NFI_t[[#This Row],[Sanitary Kit]],0)</f>
        <v>0</v>
      </c>
      <c r="AF258" s="86">
        <f>IF(NFI_Expiration=1,IF($A258&lt;VLOOKUP(N$5,NFI,5,0),1,0)*Data_NFI_t[[#This Row],[Mosquito net]],0)</f>
        <v>0</v>
      </c>
      <c r="AG258" s="86">
        <f>IF(NFI_Expiration=1,IF($A258&lt;VLOOKUP(O$5,NFI,5,0),1,0)*Data_NFI_t[[#This Row],[Tarpaulin]],0)</f>
        <v>0</v>
      </c>
      <c r="AH258" s="86">
        <f>IF(NFI_Expiration=1,IF($A258&lt;VLOOKUP(P$5,NFI,5,0),1,0)*Data_NFI_t[[#This Row],[Blanket]],0)</f>
        <v>0</v>
      </c>
      <c r="AI258" s="86">
        <f>IF(NFI_Expiration=1,IF($A258&lt;VLOOKUP(Q$5,NFI,5,0),1,0)*Data_NFI_t[[#This Row],[Kitchen Set]],0)</f>
        <v>0</v>
      </c>
      <c r="AJ258" s="86">
        <f>IF(NFI_Expiration=1,IF($A258&lt;VLOOKUP(R$5,NFI,5,0),1,0)*Data_NFI_t[[#This Row],[Complementary Kit]],0)</f>
        <v>0</v>
      </c>
      <c r="AK258" s="86">
        <f>IF(NFI_Expiration=1,IF($A258&lt;VLOOKUP(S$5,NFI,5,0),1,0)*Data_NFI_t[[#This Row],[Plastic Bucket]],0)</f>
        <v>0</v>
      </c>
      <c r="AL258" s="86">
        <f>IF(NFI_Expiration=1,IF($A258&lt;VLOOKUP(T$5,NFI,5,0),1,0)*Data_NFI_t[[#This Row],[Jerry Can]],0)</f>
        <v>0</v>
      </c>
      <c r="AM258" s="105">
        <f>IF(NFI_Expiration=1,IF($A258&lt;VLOOKUP(U$5,NFI,5,0),1,0)*Data_NFI_t[[#This Row],[Plastic Mat]],0)*IF(Data_NFI_t[[#This Row],[Distribution Date]]&gt;"01-06-2015",1,2.5)</f>
        <v>0</v>
      </c>
      <c r="AN258" s="734">
        <f>IF(NFI_Expiration=1,IF($A258&lt;VLOOKUP(V$5,NFI,5,0),1,0)*Data_NFI_t[[#This Row],[Adult Clothes]],0)</f>
        <v>0</v>
      </c>
      <c r="AO258" s="105">
        <f>IF(NFI_Expiration=1,IF($A258&lt;VLOOKUP(W$5,NFI,5,0),1,0)*Data_NFI_t[[#This Row],[Children Clothes]],0)</f>
        <v>0</v>
      </c>
      <c r="AP258" s="105">
        <f>IF(NFI_Expiration=1,IF($A258&lt;VLOOKUP(X$5,NFI,5,0),1,0)*Data_NFI_t[[#This Row],[Sewing Kit]],0)</f>
        <v>0</v>
      </c>
      <c r="AQ258" s="734">
        <f>IF(NFI_Expiration=1,IF($A258&lt;VLOOKUP(X$5,NFI,5,0),1,0)*Data_NFI_t[[#This Row],[Solar Lantern]],0)</f>
        <v>0</v>
      </c>
      <c r="AR258" s="105" t="str">
        <f ca="1">IFERROR(OFFSET(Camp_List[P_Code],MATCH(Data_NFI_t[[#This Row],[Camp Name]],Camp_List[Camp Name],0)-1,0,1,1),"")</f>
        <v>MMR012CMP116</v>
      </c>
      <c r="AS258" s="421" t="str">
        <f ca="1">IFERROR(OFFSET(Camp_List[Status],MATCH(Data_NFI_t[[#This Row],[Camp Name]],Camp_List[Camp Name],0)-1,0,1,1),"")</f>
        <v>Open</v>
      </c>
      <c r="AT258" s="105"/>
    </row>
    <row r="259" spans="1:46" s="78" customFormat="1" ht="19.5" customHeight="1" x14ac:dyDescent="0.25">
      <c r="A259" s="208">
        <f t="shared" si="3"/>
        <v>53.266666666666666</v>
      </c>
      <c r="B259" s="208">
        <f>YEAR(Data_NFI_t[[#This Row],[Distribution Date]])</f>
        <v>2013</v>
      </c>
      <c r="C259" s="744">
        <v>41592</v>
      </c>
      <c r="D259" s="402" t="s">
        <v>575</v>
      </c>
      <c r="E259" s="401" t="s">
        <v>575</v>
      </c>
      <c r="F259" s="402" t="s">
        <v>7</v>
      </c>
      <c r="G259" s="670" t="s">
        <v>17</v>
      </c>
      <c r="H259" s="670" t="s">
        <v>587</v>
      </c>
      <c r="I259" s="670"/>
      <c r="J259" s="670"/>
      <c r="K259" s="670"/>
      <c r="L259" s="42">
        <v>264</v>
      </c>
      <c r="M259" s="42"/>
      <c r="N259" s="42"/>
      <c r="O259" s="42"/>
      <c r="P259" s="42"/>
      <c r="Q259" s="42"/>
      <c r="R259" s="42"/>
      <c r="S259" s="42"/>
      <c r="T259" s="419"/>
      <c r="U259" s="42"/>
      <c r="V259" s="42"/>
      <c r="W259" s="42"/>
      <c r="X259" s="42"/>
      <c r="Y259" s="42"/>
      <c r="Z259" s="42"/>
      <c r="AA259" s="42"/>
      <c r="AB259" s="42"/>
      <c r="AC259" s="105">
        <f>IF(NFI_Expiration=1,IF($A259&lt;VLOOKUP(I$5,NFI,5,0),1,0)*Data_NFI_t[[#This Row],[Hygiene Kit]],0)</f>
        <v>0</v>
      </c>
      <c r="AD259" s="105">
        <f>IF(NFI_Expiration=1,IF($A259&lt;VLOOKUP(L$5,NFI,5,0),1,0)*Data_NFI_t[[#This Row],[NFI Core Kit]],0)</f>
        <v>0</v>
      </c>
      <c r="AE259" s="86">
        <f>IF(NFI_Expiration=1,IF($A259&lt;VLOOKUP(M$5,NFI,5,0),1,0)*Data_NFI_t[[#This Row],[Sanitary Kit]],0)</f>
        <v>0</v>
      </c>
      <c r="AF259" s="86">
        <f>IF(NFI_Expiration=1,IF($A259&lt;VLOOKUP(N$5,NFI,5,0),1,0)*Data_NFI_t[[#This Row],[Mosquito net]],0)</f>
        <v>0</v>
      </c>
      <c r="AG259" s="86">
        <f>IF(NFI_Expiration=1,IF($A259&lt;VLOOKUP(O$5,NFI,5,0),1,0)*Data_NFI_t[[#This Row],[Tarpaulin]],0)</f>
        <v>0</v>
      </c>
      <c r="AH259" s="86">
        <f>IF(NFI_Expiration=1,IF($A259&lt;VLOOKUP(P$5,NFI,5,0),1,0)*Data_NFI_t[[#This Row],[Blanket]],0)</f>
        <v>0</v>
      </c>
      <c r="AI259" s="86">
        <f>IF(NFI_Expiration=1,IF($A259&lt;VLOOKUP(Q$5,NFI,5,0),1,0)*Data_NFI_t[[#This Row],[Kitchen Set]],0)</f>
        <v>0</v>
      </c>
      <c r="AJ259" s="86">
        <f>IF(NFI_Expiration=1,IF($A259&lt;VLOOKUP(R$5,NFI,5,0),1,0)*Data_NFI_t[[#This Row],[Complementary Kit]],0)</f>
        <v>0</v>
      </c>
      <c r="AK259" s="86">
        <f>IF(NFI_Expiration=1,IF($A259&lt;VLOOKUP(S$5,NFI,5,0),1,0)*Data_NFI_t[[#This Row],[Plastic Bucket]],0)</f>
        <v>0</v>
      </c>
      <c r="AL259" s="86">
        <f>IF(NFI_Expiration=1,IF($A259&lt;VLOOKUP(T$5,NFI,5,0),1,0)*Data_NFI_t[[#This Row],[Jerry Can]],0)</f>
        <v>0</v>
      </c>
      <c r="AM259" s="105">
        <f>IF(NFI_Expiration=1,IF($A259&lt;VLOOKUP(U$5,NFI,5,0),1,0)*Data_NFI_t[[#This Row],[Plastic Mat]],0)*IF(Data_NFI_t[[#This Row],[Distribution Date]]&gt;"01-06-2015",1,2.5)</f>
        <v>0</v>
      </c>
      <c r="AN259" s="734">
        <f>IF(NFI_Expiration=1,IF($A259&lt;VLOOKUP(V$5,NFI,5,0),1,0)*Data_NFI_t[[#This Row],[Adult Clothes]],0)</f>
        <v>0</v>
      </c>
      <c r="AO259" s="105">
        <f>IF(NFI_Expiration=1,IF($A259&lt;VLOOKUP(W$5,NFI,5,0),1,0)*Data_NFI_t[[#This Row],[Children Clothes]],0)</f>
        <v>0</v>
      </c>
      <c r="AP259" s="105">
        <f>IF(NFI_Expiration=1,IF($A259&lt;VLOOKUP(X$5,NFI,5,0),1,0)*Data_NFI_t[[#This Row],[Sewing Kit]],0)</f>
        <v>0</v>
      </c>
      <c r="AQ259" s="734">
        <f>IF(NFI_Expiration=1,IF($A259&lt;VLOOKUP(X$5,NFI,5,0),1,0)*Data_NFI_t[[#This Row],[Solar Lantern]],0)</f>
        <v>0</v>
      </c>
      <c r="AR259" s="105" t="str">
        <f ca="1">IFERROR(OFFSET(Camp_List[P_Code],MATCH(Data_NFI_t[[#This Row],[Camp Name]],Camp_List[Camp Name],0)-1,0,1,1),"")</f>
        <v>MMR012CMP116</v>
      </c>
      <c r="AS259" s="421" t="str">
        <f ca="1">IFERROR(OFFSET(Camp_List[Status],MATCH(Data_NFI_t[[#This Row],[Camp Name]],Camp_List[Camp Name],0)-1,0,1,1),"")</f>
        <v>Open</v>
      </c>
      <c r="AT259" s="105"/>
    </row>
    <row r="260" spans="1:46" s="78" customFormat="1" ht="19.5" customHeight="1" x14ac:dyDescent="0.25">
      <c r="A260" s="208">
        <f t="shared" si="3"/>
        <v>53.3</v>
      </c>
      <c r="B260" s="208">
        <f>YEAR(Data_NFI_t[[#This Row],[Distribution Date]])</f>
        <v>2013</v>
      </c>
      <c r="C260" s="744">
        <v>41591</v>
      </c>
      <c r="D260" s="402" t="s">
        <v>270</v>
      </c>
      <c r="E260" s="401" t="s">
        <v>270</v>
      </c>
      <c r="F260" s="402" t="s">
        <v>7</v>
      </c>
      <c r="G260" s="670" t="s">
        <v>14</v>
      </c>
      <c r="H260" s="670" t="s">
        <v>42</v>
      </c>
      <c r="I260" s="670">
        <v>48</v>
      </c>
      <c r="J260" s="670"/>
      <c r="K260" s="670"/>
      <c r="L260" s="42"/>
      <c r="M260" s="42"/>
      <c r="N260" s="42"/>
      <c r="O260" s="42"/>
      <c r="P260" s="42"/>
      <c r="Q260" s="42"/>
      <c r="R260" s="42"/>
      <c r="S260" s="42"/>
      <c r="T260" s="419"/>
      <c r="U260" s="42"/>
      <c r="V260" s="42"/>
      <c r="W260" s="42"/>
      <c r="X260" s="42"/>
      <c r="Y260" s="42"/>
      <c r="Z260" s="42"/>
      <c r="AA260" s="42"/>
      <c r="AB260" s="42"/>
      <c r="AC260" s="105">
        <f>IF(NFI_Expiration=1,IF($A260&lt;VLOOKUP(I$5,NFI,5,0),1,0)*Data_NFI_t[[#This Row],[Hygiene Kit]],0)</f>
        <v>0</v>
      </c>
      <c r="AD260" s="105">
        <f>IF(NFI_Expiration=1,IF($A260&lt;VLOOKUP(L$5,NFI,5,0),1,0)*Data_NFI_t[[#This Row],[NFI Core Kit]],0)</f>
        <v>0</v>
      </c>
      <c r="AE260" s="86">
        <f>IF(NFI_Expiration=1,IF($A260&lt;VLOOKUP(M$5,NFI,5,0),1,0)*Data_NFI_t[[#This Row],[Sanitary Kit]],0)</f>
        <v>0</v>
      </c>
      <c r="AF260" s="86">
        <f>IF(NFI_Expiration=1,IF($A260&lt;VLOOKUP(N$5,NFI,5,0),1,0)*Data_NFI_t[[#This Row],[Mosquito net]],0)</f>
        <v>0</v>
      </c>
      <c r="AG260" s="86">
        <f>IF(NFI_Expiration=1,IF($A260&lt;VLOOKUP(O$5,NFI,5,0),1,0)*Data_NFI_t[[#This Row],[Tarpaulin]],0)</f>
        <v>0</v>
      </c>
      <c r="AH260" s="86">
        <f>IF(NFI_Expiration=1,IF($A260&lt;VLOOKUP(P$5,NFI,5,0),1,0)*Data_NFI_t[[#This Row],[Blanket]],0)</f>
        <v>0</v>
      </c>
      <c r="AI260" s="86">
        <f>IF(NFI_Expiration=1,IF($A260&lt;VLOOKUP(Q$5,NFI,5,0),1,0)*Data_NFI_t[[#This Row],[Kitchen Set]],0)</f>
        <v>0</v>
      </c>
      <c r="AJ260" s="86">
        <f>IF(NFI_Expiration=1,IF($A260&lt;VLOOKUP(R$5,NFI,5,0),1,0)*Data_NFI_t[[#This Row],[Complementary Kit]],0)</f>
        <v>0</v>
      </c>
      <c r="AK260" s="86">
        <f>IF(NFI_Expiration=1,IF($A260&lt;VLOOKUP(S$5,NFI,5,0),1,0)*Data_NFI_t[[#This Row],[Plastic Bucket]],0)</f>
        <v>0</v>
      </c>
      <c r="AL260" s="86">
        <f>IF(NFI_Expiration=1,IF($A260&lt;VLOOKUP(T$5,NFI,5,0),1,0)*Data_NFI_t[[#This Row],[Jerry Can]],0)</f>
        <v>0</v>
      </c>
      <c r="AM260" s="105">
        <f>IF(NFI_Expiration=1,IF($A260&lt;VLOOKUP(U$5,NFI,5,0),1,0)*Data_NFI_t[[#This Row],[Plastic Mat]],0)*IF(Data_NFI_t[[#This Row],[Distribution Date]]&gt;"01-06-2015",1,2.5)</f>
        <v>0</v>
      </c>
      <c r="AN260" s="734">
        <f>IF(NFI_Expiration=1,IF($A260&lt;VLOOKUP(V$5,NFI,5,0),1,0)*Data_NFI_t[[#This Row],[Adult Clothes]],0)</f>
        <v>0</v>
      </c>
      <c r="AO260" s="105">
        <f>IF(NFI_Expiration=1,IF($A260&lt;VLOOKUP(W$5,NFI,5,0),1,0)*Data_NFI_t[[#This Row],[Children Clothes]],0)</f>
        <v>0</v>
      </c>
      <c r="AP260" s="105">
        <f>IF(NFI_Expiration=1,IF($A260&lt;VLOOKUP(X$5,NFI,5,0),1,0)*Data_NFI_t[[#This Row],[Sewing Kit]],0)</f>
        <v>0</v>
      </c>
      <c r="AQ260" s="734">
        <f>IF(NFI_Expiration=1,IF($A260&lt;VLOOKUP(X$5,NFI,5,0),1,0)*Data_NFI_t[[#This Row],[Solar Lantern]],0)</f>
        <v>0</v>
      </c>
      <c r="AR260" s="105" t="str">
        <f ca="1">IFERROR(OFFSET(Camp_List[P_Code],MATCH(Data_NFI_t[[#This Row],[Camp Name]],Camp_List[Camp Name],0)-1,0,1,1),"")</f>
        <v>MMR012CMP020</v>
      </c>
      <c r="AS260" s="421" t="str">
        <f ca="1">IFERROR(OFFSET(Camp_List[Status],MATCH(Data_NFI_t[[#This Row],[Camp Name]],Camp_List[Camp Name],0)-1,0,1,1),"")</f>
        <v>Returned</v>
      </c>
      <c r="AT260" s="105"/>
    </row>
    <row r="261" spans="1:46" s="78" customFormat="1" ht="19.5" customHeight="1" x14ac:dyDescent="0.25">
      <c r="A261" s="208">
        <f t="shared" si="3"/>
        <v>53.3</v>
      </c>
      <c r="B261" s="208">
        <f>YEAR(Data_NFI_t[[#This Row],[Distribution Date]])</f>
        <v>2013</v>
      </c>
      <c r="C261" s="744">
        <v>41591</v>
      </c>
      <c r="D261" s="402" t="s">
        <v>270</v>
      </c>
      <c r="E261" s="401" t="s">
        <v>270</v>
      </c>
      <c r="F261" s="402" t="s">
        <v>7</v>
      </c>
      <c r="G261" s="670" t="s">
        <v>14</v>
      </c>
      <c r="H261" s="670" t="s">
        <v>45</v>
      </c>
      <c r="I261" s="670">
        <v>187</v>
      </c>
      <c r="J261" s="670"/>
      <c r="K261" s="670"/>
      <c r="L261" s="42"/>
      <c r="M261" s="42"/>
      <c r="N261" s="42"/>
      <c r="O261" s="42"/>
      <c r="P261" s="42"/>
      <c r="Q261" s="42"/>
      <c r="R261" s="42"/>
      <c r="S261" s="42"/>
      <c r="T261" s="419"/>
      <c r="U261" s="42"/>
      <c r="V261" s="42"/>
      <c r="W261" s="42"/>
      <c r="X261" s="42"/>
      <c r="Y261" s="42"/>
      <c r="Z261" s="42"/>
      <c r="AA261" s="42"/>
      <c r="AB261" s="42"/>
      <c r="AC261" s="105">
        <f>IF(NFI_Expiration=1,IF($A261&lt;VLOOKUP(I$5,NFI,5,0),1,0)*Data_NFI_t[[#This Row],[Hygiene Kit]],0)</f>
        <v>0</v>
      </c>
      <c r="AD261" s="105">
        <f>IF(NFI_Expiration=1,IF($A261&lt;VLOOKUP(L$5,NFI,5,0),1,0)*Data_NFI_t[[#This Row],[NFI Core Kit]],0)</f>
        <v>0</v>
      </c>
      <c r="AE261" s="86">
        <f>IF(NFI_Expiration=1,IF($A261&lt;VLOOKUP(M$5,NFI,5,0),1,0)*Data_NFI_t[[#This Row],[Sanitary Kit]],0)</f>
        <v>0</v>
      </c>
      <c r="AF261" s="86">
        <f>IF(NFI_Expiration=1,IF($A261&lt;VLOOKUP(N$5,NFI,5,0),1,0)*Data_NFI_t[[#This Row],[Mosquito net]],0)</f>
        <v>0</v>
      </c>
      <c r="AG261" s="86">
        <f>IF(NFI_Expiration=1,IF($A261&lt;VLOOKUP(O$5,NFI,5,0),1,0)*Data_NFI_t[[#This Row],[Tarpaulin]],0)</f>
        <v>0</v>
      </c>
      <c r="AH261" s="86">
        <f>IF(NFI_Expiration=1,IF($A261&lt;VLOOKUP(P$5,NFI,5,0),1,0)*Data_NFI_t[[#This Row],[Blanket]],0)</f>
        <v>0</v>
      </c>
      <c r="AI261" s="86">
        <f>IF(NFI_Expiration=1,IF($A261&lt;VLOOKUP(Q$5,NFI,5,0),1,0)*Data_NFI_t[[#This Row],[Kitchen Set]],0)</f>
        <v>0</v>
      </c>
      <c r="AJ261" s="86">
        <f>IF(NFI_Expiration=1,IF($A261&lt;VLOOKUP(R$5,NFI,5,0),1,0)*Data_NFI_t[[#This Row],[Complementary Kit]],0)</f>
        <v>0</v>
      </c>
      <c r="AK261" s="86">
        <f>IF(NFI_Expiration=1,IF($A261&lt;VLOOKUP(S$5,NFI,5,0),1,0)*Data_NFI_t[[#This Row],[Plastic Bucket]],0)</f>
        <v>0</v>
      </c>
      <c r="AL261" s="86">
        <f>IF(NFI_Expiration=1,IF($A261&lt;VLOOKUP(T$5,NFI,5,0),1,0)*Data_NFI_t[[#This Row],[Jerry Can]],0)</f>
        <v>0</v>
      </c>
      <c r="AM261" s="105">
        <f>IF(NFI_Expiration=1,IF($A261&lt;VLOOKUP(U$5,NFI,5,0),1,0)*Data_NFI_t[[#This Row],[Plastic Mat]],0)*IF(Data_NFI_t[[#This Row],[Distribution Date]]&gt;"01-06-2015",1,2.5)</f>
        <v>0</v>
      </c>
      <c r="AN261" s="734">
        <f>IF(NFI_Expiration=1,IF($A261&lt;VLOOKUP(V$5,NFI,5,0),1,0)*Data_NFI_t[[#This Row],[Adult Clothes]],0)</f>
        <v>0</v>
      </c>
      <c r="AO261" s="105">
        <f>IF(NFI_Expiration=1,IF($A261&lt;VLOOKUP(W$5,NFI,5,0),1,0)*Data_NFI_t[[#This Row],[Children Clothes]],0)</f>
        <v>0</v>
      </c>
      <c r="AP261" s="105">
        <f>IF(NFI_Expiration=1,IF($A261&lt;VLOOKUP(X$5,NFI,5,0),1,0)*Data_NFI_t[[#This Row],[Sewing Kit]],0)</f>
        <v>0</v>
      </c>
      <c r="AQ261" s="734">
        <f>IF(NFI_Expiration=1,IF($A261&lt;VLOOKUP(X$5,NFI,5,0),1,0)*Data_NFI_t[[#This Row],[Solar Lantern]],0)</f>
        <v>0</v>
      </c>
      <c r="AR261" s="105" t="str">
        <f ca="1">IFERROR(OFFSET(Camp_List[P_Code],MATCH(Data_NFI_t[[#This Row],[Camp Name]],Camp_List[Camp Name],0)-1,0,1,1),"")</f>
        <v>MMR012CMP023</v>
      </c>
      <c r="AS261" s="421" t="str">
        <f ca="1">IFERROR(OFFSET(Camp_List[Status],MATCH(Data_NFI_t[[#This Row],[Camp Name]],Camp_List[Camp Name],0)-1,0,1,1),"")</f>
        <v>Open</v>
      </c>
      <c r="AT261" s="105"/>
    </row>
    <row r="262" spans="1:46" s="78" customFormat="1" ht="19.5" customHeight="1" x14ac:dyDescent="0.25">
      <c r="A262" s="208">
        <f t="shared" ref="A262:A325" si="4">IF(ISBLANK(C262),"",(Report_Date-C262)/30)</f>
        <v>53.3</v>
      </c>
      <c r="B262" s="208">
        <f>YEAR(Data_NFI_t[[#This Row],[Distribution Date]])</f>
        <v>2013</v>
      </c>
      <c r="C262" s="744">
        <v>41591</v>
      </c>
      <c r="D262" s="402" t="s">
        <v>575</v>
      </c>
      <c r="E262" s="401" t="s">
        <v>575</v>
      </c>
      <c r="F262" s="402" t="s">
        <v>7</v>
      </c>
      <c r="G262" s="670" t="s">
        <v>17</v>
      </c>
      <c r="H262" s="670" t="s">
        <v>587</v>
      </c>
      <c r="I262" s="670"/>
      <c r="J262" s="670"/>
      <c r="K262" s="670"/>
      <c r="L262" s="42">
        <v>200</v>
      </c>
      <c r="M262" s="42"/>
      <c r="N262" s="42"/>
      <c r="O262" s="42"/>
      <c r="P262" s="42"/>
      <c r="Q262" s="42"/>
      <c r="R262" s="42"/>
      <c r="S262" s="42"/>
      <c r="T262" s="419"/>
      <c r="U262" s="42"/>
      <c r="V262" s="42"/>
      <c r="W262" s="42"/>
      <c r="X262" s="42"/>
      <c r="Y262" s="42"/>
      <c r="Z262" s="42"/>
      <c r="AA262" s="42"/>
      <c r="AB262" s="42"/>
      <c r="AC262" s="105">
        <f>IF(NFI_Expiration=1,IF($A262&lt;VLOOKUP(I$5,NFI,5,0),1,0)*Data_NFI_t[[#This Row],[Hygiene Kit]],0)</f>
        <v>0</v>
      </c>
      <c r="AD262" s="105">
        <f>IF(NFI_Expiration=1,IF($A262&lt;VLOOKUP(L$5,NFI,5,0),1,0)*Data_NFI_t[[#This Row],[NFI Core Kit]],0)</f>
        <v>0</v>
      </c>
      <c r="AE262" s="86">
        <f>IF(NFI_Expiration=1,IF($A262&lt;VLOOKUP(M$5,NFI,5,0),1,0)*Data_NFI_t[[#This Row],[Sanitary Kit]],0)</f>
        <v>0</v>
      </c>
      <c r="AF262" s="86">
        <f>IF(NFI_Expiration=1,IF($A262&lt;VLOOKUP(N$5,NFI,5,0),1,0)*Data_NFI_t[[#This Row],[Mosquito net]],0)</f>
        <v>0</v>
      </c>
      <c r="AG262" s="86">
        <f>IF(NFI_Expiration=1,IF($A262&lt;VLOOKUP(O$5,NFI,5,0),1,0)*Data_NFI_t[[#This Row],[Tarpaulin]],0)</f>
        <v>0</v>
      </c>
      <c r="AH262" s="86">
        <f>IF(NFI_Expiration=1,IF($A262&lt;VLOOKUP(P$5,NFI,5,0),1,0)*Data_NFI_t[[#This Row],[Blanket]],0)</f>
        <v>0</v>
      </c>
      <c r="AI262" s="86">
        <f>IF(NFI_Expiration=1,IF($A262&lt;VLOOKUP(Q$5,NFI,5,0),1,0)*Data_NFI_t[[#This Row],[Kitchen Set]],0)</f>
        <v>0</v>
      </c>
      <c r="AJ262" s="86">
        <f>IF(NFI_Expiration=1,IF($A262&lt;VLOOKUP(R$5,NFI,5,0),1,0)*Data_NFI_t[[#This Row],[Complementary Kit]],0)</f>
        <v>0</v>
      </c>
      <c r="AK262" s="86">
        <f>IF(NFI_Expiration=1,IF($A262&lt;VLOOKUP(S$5,NFI,5,0),1,0)*Data_NFI_t[[#This Row],[Plastic Bucket]],0)</f>
        <v>0</v>
      </c>
      <c r="AL262" s="86">
        <f>IF(NFI_Expiration=1,IF($A262&lt;VLOOKUP(T$5,NFI,5,0),1,0)*Data_NFI_t[[#This Row],[Jerry Can]],0)</f>
        <v>0</v>
      </c>
      <c r="AM262" s="105">
        <f>IF(NFI_Expiration=1,IF($A262&lt;VLOOKUP(U$5,NFI,5,0),1,0)*Data_NFI_t[[#This Row],[Plastic Mat]],0)*IF(Data_NFI_t[[#This Row],[Distribution Date]]&gt;"01-06-2015",1,2.5)</f>
        <v>0</v>
      </c>
      <c r="AN262" s="734">
        <f>IF(NFI_Expiration=1,IF($A262&lt;VLOOKUP(V$5,NFI,5,0),1,0)*Data_NFI_t[[#This Row],[Adult Clothes]],0)</f>
        <v>0</v>
      </c>
      <c r="AO262" s="105">
        <f>IF(NFI_Expiration=1,IF($A262&lt;VLOOKUP(W$5,NFI,5,0),1,0)*Data_NFI_t[[#This Row],[Children Clothes]],0)</f>
        <v>0</v>
      </c>
      <c r="AP262" s="105">
        <f>IF(NFI_Expiration=1,IF($A262&lt;VLOOKUP(X$5,NFI,5,0),1,0)*Data_NFI_t[[#This Row],[Sewing Kit]],0)</f>
        <v>0</v>
      </c>
      <c r="AQ262" s="734">
        <f>IF(NFI_Expiration=1,IF($A262&lt;VLOOKUP(X$5,NFI,5,0),1,0)*Data_NFI_t[[#This Row],[Solar Lantern]],0)</f>
        <v>0</v>
      </c>
      <c r="AR262" s="105" t="str">
        <f ca="1">IFERROR(OFFSET(Camp_List[P_Code],MATCH(Data_NFI_t[[#This Row],[Camp Name]],Camp_List[Camp Name],0)-1,0,1,1),"")</f>
        <v>MMR012CMP116</v>
      </c>
      <c r="AS262" s="421" t="str">
        <f ca="1">IFERROR(OFFSET(Camp_List[Status],MATCH(Data_NFI_t[[#This Row],[Camp Name]],Camp_List[Camp Name],0)-1,0,1,1),"")</f>
        <v>Open</v>
      </c>
      <c r="AT262" s="105"/>
    </row>
    <row r="263" spans="1:46" s="78" customFormat="1" ht="19.5" customHeight="1" x14ac:dyDescent="0.25">
      <c r="A263" s="208">
        <f t="shared" si="4"/>
        <v>53.3</v>
      </c>
      <c r="B263" s="208">
        <f>YEAR(Data_NFI_t[[#This Row],[Distribution Date]])</f>
        <v>2013</v>
      </c>
      <c r="C263" s="744">
        <v>41591</v>
      </c>
      <c r="D263" s="402" t="s">
        <v>575</v>
      </c>
      <c r="E263" s="401" t="s">
        <v>575</v>
      </c>
      <c r="F263" s="402" t="s">
        <v>7</v>
      </c>
      <c r="G263" s="670" t="s">
        <v>17</v>
      </c>
      <c r="H263" s="670" t="s">
        <v>587</v>
      </c>
      <c r="I263" s="670"/>
      <c r="J263" s="670"/>
      <c r="K263" s="670"/>
      <c r="L263" s="42">
        <v>103</v>
      </c>
      <c r="M263" s="42"/>
      <c r="N263" s="42"/>
      <c r="O263" s="42"/>
      <c r="P263" s="42"/>
      <c r="Q263" s="42"/>
      <c r="R263" s="42"/>
      <c r="S263" s="42"/>
      <c r="T263" s="419"/>
      <c r="U263" s="42"/>
      <c r="V263" s="42"/>
      <c r="W263" s="42"/>
      <c r="X263" s="42"/>
      <c r="Y263" s="42"/>
      <c r="Z263" s="42"/>
      <c r="AA263" s="42"/>
      <c r="AB263" s="42"/>
      <c r="AC263" s="105">
        <f>IF(NFI_Expiration=1,IF($A263&lt;VLOOKUP(I$5,NFI,5,0),1,0)*Data_NFI_t[[#This Row],[Hygiene Kit]],0)</f>
        <v>0</v>
      </c>
      <c r="AD263" s="105">
        <f>IF(NFI_Expiration=1,IF($A263&lt;VLOOKUP(L$5,NFI,5,0),1,0)*Data_NFI_t[[#This Row],[NFI Core Kit]],0)</f>
        <v>0</v>
      </c>
      <c r="AE263" s="86">
        <f>IF(NFI_Expiration=1,IF($A263&lt;VLOOKUP(M$5,NFI,5,0),1,0)*Data_NFI_t[[#This Row],[Sanitary Kit]],0)</f>
        <v>0</v>
      </c>
      <c r="AF263" s="86">
        <f>IF(NFI_Expiration=1,IF($A263&lt;VLOOKUP(N$5,NFI,5,0),1,0)*Data_NFI_t[[#This Row],[Mosquito net]],0)</f>
        <v>0</v>
      </c>
      <c r="AG263" s="86">
        <f>IF(NFI_Expiration=1,IF($A263&lt;VLOOKUP(O$5,NFI,5,0),1,0)*Data_NFI_t[[#This Row],[Tarpaulin]],0)</f>
        <v>0</v>
      </c>
      <c r="AH263" s="86">
        <f>IF(NFI_Expiration=1,IF($A263&lt;VLOOKUP(P$5,NFI,5,0),1,0)*Data_NFI_t[[#This Row],[Blanket]],0)</f>
        <v>0</v>
      </c>
      <c r="AI263" s="86">
        <f>IF(NFI_Expiration=1,IF($A263&lt;VLOOKUP(Q$5,NFI,5,0),1,0)*Data_NFI_t[[#This Row],[Kitchen Set]],0)</f>
        <v>0</v>
      </c>
      <c r="AJ263" s="86">
        <f>IF(NFI_Expiration=1,IF($A263&lt;VLOOKUP(R$5,NFI,5,0),1,0)*Data_NFI_t[[#This Row],[Complementary Kit]],0)</f>
        <v>0</v>
      </c>
      <c r="AK263" s="86">
        <f>IF(NFI_Expiration=1,IF($A263&lt;VLOOKUP(S$5,NFI,5,0),1,0)*Data_NFI_t[[#This Row],[Plastic Bucket]],0)</f>
        <v>0</v>
      </c>
      <c r="AL263" s="86">
        <f>IF(NFI_Expiration=1,IF($A263&lt;VLOOKUP(T$5,NFI,5,0),1,0)*Data_NFI_t[[#This Row],[Jerry Can]],0)</f>
        <v>0</v>
      </c>
      <c r="AM263" s="105">
        <f>IF(NFI_Expiration=1,IF($A263&lt;VLOOKUP(U$5,NFI,5,0),1,0)*Data_NFI_t[[#This Row],[Plastic Mat]],0)*IF(Data_NFI_t[[#This Row],[Distribution Date]]&gt;"01-06-2015",1,2.5)</f>
        <v>0</v>
      </c>
      <c r="AN263" s="734">
        <f>IF(NFI_Expiration=1,IF($A263&lt;VLOOKUP(V$5,NFI,5,0),1,0)*Data_NFI_t[[#This Row],[Adult Clothes]],0)</f>
        <v>0</v>
      </c>
      <c r="AO263" s="105">
        <f>IF(NFI_Expiration=1,IF($A263&lt;VLOOKUP(W$5,NFI,5,0),1,0)*Data_NFI_t[[#This Row],[Children Clothes]],0)</f>
        <v>0</v>
      </c>
      <c r="AP263" s="105">
        <f>IF(NFI_Expiration=1,IF($A263&lt;VLOOKUP(X$5,NFI,5,0),1,0)*Data_NFI_t[[#This Row],[Sewing Kit]],0)</f>
        <v>0</v>
      </c>
      <c r="AQ263" s="734">
        <f>IF(NFI_Expiration=1,IF($A263&lt;VLOOKUP(X$5,NFI,5,0),1,0)*Data_NFI_t[[#This Row],[Solar Lantern]],0)</f>
        <v>0</v>
      </c>
      <c r="AR263" s="105" t="str">
        <f ca="1">IFERROR(OFFSET(Camp_List[P_Code],MATCH(Data_NFI_t[[#This Row],[Camp Name]],Camp_List[Camp Name],0)-1,0,1,1),"")</f>
        <v>MMR012CMP116</v>
      </c>
      <c r="AS263" s="421" t="str">
        <f ca="1">IFERROR(OFFSET(Camp_List[Status],MATCH(Data_NFI_t[[#This Row],[Camp Name]],Camp_List[Camp Name],0)-1,0,1,1),"")</f>
        <v>Open</v>
      </c>
      <c r="AT263" s="105"/>
    </row>
    <row r="264" spans="1:46" s="78" customFormat="1" ht="19.5" customHeight="1" x14ac:dyDescent="0.25">
      <c r="A264" s="208">
        <f t="shared" si="4"/>
        <v>53.3</v>
      </c>
      <c r="B264" s="208">
        <f>YEAR(Data_NFI_t[[#This Row],[Distribution Date]])</f>
        <v>2013</v>
      </c>
      <c r="C264" s="744">
        <v>41591</v>
      </c>
      <c r="D264" s="402" t="s">
        <v>270</v>
      </c>
      <c r="E264" s="401" t="s">
        <v>270</v>
      </c>
      <c r="F264" s="402" t="s">
        <v>7</v>
      </c>
      <c r="G264" s="670" t="s">
        <v>14</v>
      </c>
      <c r="H264" s="670" t="s">
        <v>51</v>
      </c>
      <c r="I264" s="670">
        <v>340</v>
      </c>
      <c r="J264" s="670"/>
      <c r="K264" s="670"/>
      <c r="L264" s="42"/>
      <c r="M264" s="42"/>
      <c r="N264" s="42"/>
      <c r="O264" s="42"/>
      <c r="P264" s="42"/>
      <c r="Q264" s="42"/>
      <c r="R264" s="42"/>
      <c r="S264" s="42"/>
      <c r="T264" s="419"/>
      <c r="U264" s="42"/>
      <c r="V264" s="42"/>
      <c r="W264" s="42"/>
      <c r="X264" s="42"/>
      <c r="Y264" s="42"/>
      <c r="Z264" s="42"/>
      <c r="AA264" s="42"/>
      <c r="AB264" s="42"/>
      <c r="AC264" s="105">
        <f>IF(NFI_Expiration=1,IF($A264&lt;VLOOKUP(I$5,NFI,5,0),1,0)*Data_NFI_t[[#This Row],[Hygiene Kit]],0)</f>
        <v>0</v>
      </c>
      <c r="AD264" s="105">
        <f>IF(NFI_Expiration=1,IF($A264&lt;VLOOKUP(L$5,NFI,5,0),1,0)*Data_NFI_t[[#This Row],[NFI Core Kit]],0)</f>
        <v>0</v>
      </c>
      <c r="AE264" s="86">
        <f>IF(NFI_Expiration=1,IF($A264&lt;VLOOKUP(M$5,NFI,5,0),1,0)*Data_NFI_t[[#This Row],[Sanitary Kit]],0)</f>
        <v>0</v>
      </c>
      <c r="AF264" s="86">
        <f>IF(NFI_Expiration=1,IF($A264&lt;VLOOKUP(N$5,NFI,5,0),1,0)*Data_NFI_t[[#This Row],[Mosquito net]],0)</f>
        <v>0</v>
      </c>
      <c r="AG264" s="86">
        <f>IF(NFI_Expiration=1,IF($A264&lt;VLOOKUP(O$5,NFI,5,0),1,0)*Data_NFI_t[[#This Row],[Tarpaulin]],0)</f>
        <v>0</v>
      </c>
      <c r="AH264" s="86">
        <f>IF(NFI_Expiration=1,IF($A264&lt;VLOOKUP(P$5,NFI,5,0),1,0)*Data_NFI_t[[#This Row],[Blanket]],0)</f>
        <v>0</v>
      </c>
      <c r="AI264" s="86">
        <f>IF(NFI_Expiration=1,IF($A264&lt;VLOOKUP(Q$5,NFI,5,0),1,0)*Data_NFI_t[[#This Row],[Kitchen Set]],0)</f>
        <v>0</v>
      </c>
      <c r="AJ264" s="86">
        <f>IF(NFI_Expiration=1,IF($A264&lt;VLOOKUP(R$5,NFI,5,0),1,0)*Data_NFI_t[[#This Row],[Complementary Kit]],0)</f>
        <v>0</v>
      </c>
      <c r="AK264" s="86">
        <f>IF(NFI_Expiration=1,IF($A264&lt;VLOOKUP(S$5,NFI,5,0),1,0)*Data_NFI_t[[#This Row],[Plastic Bucket]],0)</f>
        <v>0</v>
      </c>
      <c r="AL264" s="86">
        <f>IF(NFI_Expiration=1,IF($A264&lt;VLOOKUP(T$5,NFI,5,0),1,0)*Data_NFI_t[[#This Row],[Jerry Can]],0)</f>
        <v>0</v>
      </c>
      <c r="AM264" s="105">
        <f>IF(NFI_Expiration=1,IF($A264&lt;VLOOKUP(U$5,NFI,5,0),1,0)*Data_NFI_t[[#This Row],[Plastic Mat]],0)*IF(Data_NFI_t[[#This Row],[Distribution Date]]&gt;"01-06-2015",1,2.5)</f>
        <v>0</v>
      </c>
      <c r="AN264" s="734">
        <f>IF(NFI_Expiration=1,IF($A264&lt;VLOOKUP(V$5,NFI,5,0),1,0)*Data_NFI_t[[#This Row],[Adult Clothes]],0)</f>
        <v>0</v>
      </c>
      <c r="AO264" s="105">
        <f>IF(NFI_Expiration=1,IF($A264&lt;VLOOKUP(W$5,NFI,5,0),1,0)*Data_NFI_t[[#This Row],[Children Clothes]],0)</f>
        <v>0</v>
      </c>
      <c r="AP264" s="105">
        <f>IF(NFI_Expiration=1,IF($A264&lt;VLOOKUP(X$5,NFI,5,0),1,0)*Data_NFI_t[[#This Row],[Sewing Kit]],0)</f>
        <v>0</v>
      </c>
      <c r="AQ264" s="734">
        <f>IF(NFI_Expiration=1,IF($A264&lt;VLOOKUP(X$5,NFI,5,0),1,0)*Data_NFI_t[[#This Row],[Solar Lantern]],0)</f>
        <v>0</v>
      </c>
      <c r="AR264" s="105" t="str">
        <f ca="1">IFERROR(OFFSET(Camp_List[P_Code],MATCH(Data_NFI_t[[#This Row],[Camp Name]],Camp_List[Camp Name],0)-1,0,1,1),"")</f>
        <v>MMR012CMP029</v>
      </c>
      <c r="AS264" s="421" t="str">
        <f ca="1">IFERROR(OFFSET(Camp_List[Status],MATCH(Data_NFI_t[[#This Row],[Camp Name]],Camp_List[Camp Name],0)-1,0,1,1),"")</f>
        <v>Returned</v>
      </c>
      <c r="AT264" s="105"/>
    </row>
    <row r="265" spans="1:46" s="78" customFormat="1" ht="19.5" customHeight="1" x14ac:dyDescent="0.25">
      <c r="A265" s="208">
        <f t="shared" si="4"/>
        <v>53.333333333333336</v>
      </c>
      <c r="B265" s="208">
        <f>YEAR(Data_NFI_t[[#This Row],[Distribution Date]])</f>
        <v>2013</v>
      </c>
      <c r="C265" s="744">
        <v>41590</v>
      </c>
      <c r="D265" s="402" t="s">
        <v>270</v>
      </c>
      <c r="E265" s="401" t="s">
        <v>270</v>
      </c>
      <c r="F265" s="402" t="s">
        <v>7</v>
      </c>
      <c r="G265" s="670" t="s">
        <v>14</v>
      </c>
      <c r="H265" s="670" t="s">
        <v>47</v>
      </c>
      <c r="I265" s="670">
        <v>36</v>
      </c>
      <c r="J265" s="670"/>
      <c r="K265" s="670"/>
      <c r="L265" s="42"/>
      <c r="M265" s="42"/>
      <c r="N265" s="42">
        <v>28</v>
      </c>
      <c r="O265" s="42">
        <v>83</v>
      </c>
      <c r="P265" s="42">
        <v>28</v>
      </c>
      <c r="Q265" s="42">
        <v>14</v>
      </c>
      <c r="R265" s="42">
        <v>14</v>
      </c>
      <c r="S265" s="42">
        <v>14</v>
      </c>
      <c r="T265" s="419"/>
      <c r="U265" s="42">
        <v>28</v>
      </c>
      <c r="V265" s="42"/>
      <c r="W265" s="42"/>
      <c r="X265" s="42"/>
      <c r="Y265" s="42"/>
      <c r="Z265" s="42"/>
      <c r="AA265" s="42"/>
      <c r="AB265" s="42"/>
      <c r="AC265" s="105">
        <f>IF(NFI_Expiration=1,IF($A265&lt;VLOOKUP(I$5,NFI,5,0),1,0)*Data_NFI_t[[#This Row],[Hygiene Kit]],0)</f>
        <v>0</v>
      </c>
      <c r="AD265" s="105">
        <f>IF(NFI_Expiration=1,IF($A265&lt;VLOOKUP(L$5,NFI,5,0),1,0)*Data_NFI_t[[#This Row],[NFI Core Kit]],0)</f>
        <v>0</v>
      </c>
      <c r="AE265" s="86">
        <f>IF(NFI_Expiration=1,IF($A265&lt;VLOOKUP(M$5,NFI,5,0),1,0)*Data_NFI_t[[#This Row],[Sanitary Kit]],0)</f>
        <v>0</v>
      </c>
      <c r="AF265" s="86">
        <f>IF(NFI_Expiration=1,IF($A265&lt;VLOOKUP(N$5,NFI,5,0),1,0)*Data_NFI_t[[#This Row],[Mosquito net]],0)</f>
        <v>0</v>
      </c>
      <c r="AG265" s="86">
        <f>IF(NFI_Expiration=1,IF($A265&lt;VLOOKUP(O$5,NFI,5,0),1,0)*Data_NFI_t[[#This Row],[Tarpaulin]],0)</f>
        <v>0</v>
      </c>
      <c r="AH265" s="86">
        <f>IF(NFI_Expiration=1,IF($A265&lt;VLOOKUP(P$5,NFI,5,0),1,0)*Data_NFI_t[[#This Row],[Blanket]],0)</f>
        <v>0</v>
      </c>
      <c r="AI265" s="86">
        <f>IF(NFI_Expiration=1,IF($A265&lt;VLOOKUP(Q$5,NFI,5,0),1,0)*Data_NFI_t[[#This Row],[Kitchen Set]],0)</f>
        <v>0</v>
      </c>
      <c r="AJ265" s="86">
        <f>IF(NFI_Expiration=1,IF($A265&lt;VLOOKUP(R$5,NFI,5,0),1,0)*Data_NFI_t[[#This Row],[Complementary Kit]],0)</f>
        <v>0</v>
      </c>
      <c r="AK265" s="86">
        <f>IF(NFI_Expiration=1,IF($A265&lt;VLOOKUP(S$5,NFI,5,0),1,0)*Data_NFI_t[[#This Row],[Plastic Bucket]],0)</f>
        <v>0</v>
      </c>
      <c r="AL265" s="86">
        <f>IF(NFI_Expiration=1,IF($A265&lt;VLOOKUP(T$5,NFI,5,0),1,0)*Data_NFI_t[[#This Row],[Jerry Can]],0)</f>
        <v>0</v>
      </c>
      <c r="AM265" s="105">
        <f>IF(NFI_Expiration=1,IF($A265&lt;VLOOKUP(U$5,NFI,5,0),1,0)*Data_NFI_t[[#This Row],[Plastic Mat]],0)*IF(Data_NFI_t[[#This Row],[Distribution Date]]&gt;"01-06-2015",1,2.5)</f>
        <v>0</v>
      </c>
      <c r="AN265" s="734">
        <f>IF(NFI_Expiration=1,IF($A265&lt;VLOOKUP(V$5,NFI,5,0),1,0)*Data_NFI_t[[#This Row],[Adult Clothes]],0)</f>
        <v>0</v>
      </c>
      <c r="AO265" s="105">
        <f>IF(NFI_Expiration=1,IF($A265&lt;VLOOKUP(W$5,NFI,5,0),1,0)*Data_NFI_t[[#This Row],[Children Clothes]],0)</f>
        <v>0</v>
      </c>
      <c r="AP265" s="105">
        <f>IF(NFI_Expiration=1,IF($A265&lt;VLOOKUP(X$5,NFI,5,0),1,0)*Data_NFI_t[[#This Row],[Sewing Kit]],0)</f>
        <v>0</v>
      </c>
      <c r="AQ265" s="734">
        <f>IF(NFI_Expiration=1,IF($A265&lt;VLOOKUP(X$5,NFI,5,0),1,0)*Data_NFI_t[[#This Row],[Solar Lantern]],0)</f>
        <v>0</v>
      </c>
      <c r="AR265" s="105" t="str">
        <f ca="1">IFERROR(OFFSET(Camp_List[P_Code],MATCH(Data_NFI_t[[#This Row],[Camp Name]],Camp_List[Camp Name],0)-1,0,1,1),"")</f>
        <v>MMR012CMP025</v>
      </c>
      <c r="AS265" s="421" t="str">
        <f ca="1">IFERROR(OFFSET(Camp_List[Status],MATCH(Data_NFI_t[[#This Row],[Camp Name]],Camp_List[Camp Name],0)-1,0,1,1),"")</f>
        <v>Returned</v>
      </c>
      <c r="AT265" s="105"/>
    </row>
    <row r="266" spans="1:46" s="78" customFormat="1" ht="19.5" customHeight="1" x14ac:dyDescent="0.25">
      <c r="A266" s="208">
        <f t="shared" si="4"/>
        <v>53.333333333333336</v>
      </c>
      <c r="B266" s="208">
        <f>YEAR(Data_NFI_t[[#This Row],[Distribution Date]])</f>
        <v>2013</v>
      </c>
      <c r="C266" s="744">
        <v>41590</v>
      </c>
      <c r="D266" s="402" t="s">
        <v>575</v>
      </c>
      <c r="E266" s="401" t="s">
        <v>575</v>
      </c>
      <c r="F266" s="402" t="s">
        <v>7</v>
      </c>
      <c r="G266" s="670" t="s">
        <v>17</v>
      </c>
      <c r="H266" s="670" t="s">
        <v>59</v>
      </c>
      <c r="I266" s="670"/>
      <c r="J266" s="670"/>
      <c r="K266" s="670"/>
      <c r="L266" s="42">
        <v>395</v>
      </c>
      <c r="M266" s="42"/>
      <c r="N266" s="42"/>
      <c r="O266" s="42"/>
      <c r="P266" s="42"/>
      <c r="Q266" s="42"/>
      <c r="R266" s="42"/>
      <c r="S266" s="42"/>
      <c r="T266" s="419"/>
      <c r="U266" s="42"/>
      <c r="V266" s="42"/>
      <c r="W266" s="42"/>
      <c r="X266" s="42"/>
      <c r="Y266" s="42"/>
      <c r="Z266" s="42"/>
      <c r="AA266" s="42"/>
      <c r="AB266" s="42"/>
      <c r="AC266" s="105">
        <f>IF(NFI_Expiration=1,IF($A266&lt;VLOOKUP(I$5,NFI,5,0),1,0)*Data_NFI_t[[#This Row],[Hygiene Kit]],0)</f>
        <v>0</v>
      </c>
      <c r="AD266" s="105">
        <f>IF(NFI_Expiration=1,IF($A266&lt;VLOOKUP(L$5,NFI,5,0),1,0)*Data_NFI_t[[#This Row],[NFI Core Kit]],0)</f>
        <v>0</v>
      </c>
      <c r="AE266" s="86">
        <f>IF(NFI_Expiration=1,IF($A266&lt;VLOOKUP(M$5,NFI,5,0),1,0)*Data_NFI_t[[#This Row],[Sanitary Kit]],0)</f>
        <v>0</v>
      </c>
      <c r="AF266" s="86">
        <f>IF(NFI_Expiration=1,IF($A266&lt;VLOOKUP(N$5,NFI,5,0),1,0)*Data_NFI_t[[#This Row],[Mosquito net]],0)</f>
        <v>0</v>
      </c>
      <c r="AG266" s="86">
        <f>IF(NFI_Expiration=1,IF($A266&lt;VLOOKUP(O$5,NFI,5,0),1,0)*Data_NFI_t[[#This Row],[Tarpaulin]],0)</f>
        <v>0</v>
      </c>
      <c r="AH266" s="86">
        <f>IF(NFI_Expiration=1,IF($A266&lt;VLOOKUP(P$5,NFI,5,0),1,0)*Data_NFI_t[[#This Row],[Blanket]],0)</f>
        <v>0</v>
      </c>
      <c r="AI266" s="86">
        <f>IF(NFI_Expiration=1,IF($A266&lt;VLOOKUP(Q$5,NFI,5,0),1,0)*Data_NFI_t[[#This Row],[Kitchen Set]],0)</f>
        <v>0</v>
      </c>
      <c r="AJ266" s="86">
        <f>IF(NFI_Expiration=1,IF($A266&lt;VLOOKUP(R$5,NFI,5,0),1,0)*Data_NFI_t[[#This Row],[Complementary Kit]],0)</f>
        <v>0</v>
      </c>
      <c r="AK266" s="86">
        <f>IF(NFI_Expiration=1,IF($A266&lt;VLOOKUP(S$5,NFI,5,0),1,0)*Data_NFI_t[[#This Row],[Plastic Bucket]],0)</f>
        <v>0</v>
      </c>
      <c r="AL266" s="86">
        <f>IF(NFI_Expiration=1,IF($A266&lt;VLOOKUP(T$5,NFI,5,0),1,0)*Data_NFI_t[[#This Row],[Jerry Can]],0)</f>
        <v>0</v>
      </c>
      <c r="AM266" s="105">
        <f>IF(NFI_Expiration=1,IF($A266&lt;VLOOKUP(U$5,NFI,5,0),1,0)*Data_NFI_t[[#This Row],[Plastic Mat]],0)*IF(Data_NFI_t[[#This Row],[Distribution Date]]&gt;"01-06-2015",1,2.5)</f>
        <v>0</v>
      </c>
      <c r="AN266" s="734">
        <f>IF(NFI_Expiration=1,IF($A266&lt;VLOOKUP(V$5,NFI,5,0),1,0)*Data_NFI_t[[#This Row],[Adult Clothes]],0)</f>
        <v>0</v>
      </c>
      <c r="AO266" s="105">
        <f>IF(NFI_Expiration=1,IF($A266&lt;VLOOKUP(W$5,NFI,5,0),1,0)*Data_NFI_t[[#This Row],[Children Clothes]],0)</f>
        <v>0</v>
      </c>
      <c r="AP266" s="105">
        <f>IF(NFI_Expiration=1,IF($A266&lt;VLOOKUP(X$5,NFI,5,0),1,0)*Data_NFI_t[[#This Row],[Sewing Kit]],0)</f>
        <v>0</v>
      </c>
      <c r="AQ266" s="734">
        <f>IF(NFI_Expiration=1,IF($A266&lt;VLOOKUP(X$5,NFI,5,0),1,0)*Data_NFI_t[[#This Row],[Solar Lantern]],0)</f>
        <v>0</v>
      </c>
      <c r="AR266" s="105" t="str">
        <f ca="1">IFERROR(OFFSET(Camp_List[P_Code],MATCH(Data_NFI_t[[#This Row],[Camp Name]],Camp_List[Camp Name],0)-1,0,1,1),"")</f>
        <v>MMR012CMP039</v>
      </c>
      <c r="AS266" s="421" t="str">
        <f ca="1">IFERROR(OFFSET(Camp_List[Status],MATCH(Data_NFI_t[[#This Row],[Camp Name]],Camp_List[Camp Name],0)-1,0,1,1),"")</f>
        <v>Open</v>
      </c>
      <c r="AT266" s="105"/>
    </row>
    <row r="267" spans="1:46" s="78" customFormat="1" ht="19.5" customHeight="1" x14ac:dyDescent="0.25">
      <c r="A267" s="208">
        <f t="shared" si="4"/>
        <v>53.333333333333336</v>
      </c>
      <c r="B267" s="208">
        <f>YEAR(Data_NFI_t[[#This Row],[Distribution Date]])</f>
        <v>2013</v>
      </c>
      <c r="C267" s="744">
        <v>41590</v>
      </c>
      <c r="D267" s="402" t="s">
        <v>270</v>
      </c>
      <c r="E267" s="401" t="s">
        <v>270</v>
      </c>
      <c r="F267" s="402" t="s">
        <v>7</v>
      </c>
      <c r="G267" s="670" t="s">
        <v>14</v>
      </c>
      <c r="H267" s="670" t="s">
        <v>52</v>
      </c>
      <c r="I267" s="670">
        <v>220</v>
      </c>
      <c r="J267" s="670"/>
      <c r="K267" s="670"/>
      <c r="L267" s="42"/>
      <c r="M267" s="42"/>
      <c r="N267" s="42"/>
      <c r="O267" s="42"/>
      <c r="P267" s="42"/>
      <c r="Q267" s="42"/>
      <c r="R267" s="42"/>
      <c r="S267" s="42"/>
      <c r="T267" s="419"/>
      <c r="U267" s="42"/>
      <c r="V267" s="42"/>
      <c r="W267" s="42"/>
      <c r="X267" s="42"/>
      <c r="Y267" s="42"/>
      <c r="Z267" s="42"/>
      <c r="AA267" s="42"/>
      <c r="AB267" s="42"/>
      <c r="AC267" s="105">
        <f>IF(NFI_Expiration=1,IF($A267&lt;VLOOKUP(I$5,NFI,5,0),1,0)*Data_NFI_t[[#This Row],[Hygiene Kit]],0)</f>
        <v>0</v>
      </c>
      <c r="AD267" s="105">
        <f>IF(NFI_Expiration=1,IF($A267&lt;VLOOKUP(L$5,NFI,5,0),1,0)*Data_NFI_t[[#This Row],[NFI Core Kit]],0)</f>
        <v>0</v>
      </c>
      <c r="AE267" s="86">
        <f>IF(NFI_Expiration=1,IF($A267&lt;VLOOKUP(M$5,NFI,5,0),1,0)*Data_NFI_t[[#This Row],[Sanitary Kit]],0)</f>
        <v>0</v>
      </c>
      <c r="AF267" s="86">
        <f>IF(NFI_Expiration=1,IF($A267&lt;VLOOKUP(N$5,NFI,5,0),1,0)*Data_NFI_t[[#This Row],[Mosquito net]],0)</f>
        <v>0</v>
      </c>
      <c r="AG267" s="86">
        <f>IF(NFI_Expiration=1,IF($A267&lt;VLOOKUP(O$5,NFI,5,0),1,0)*Data_NFI_t[[#This Row],[Tarpaulin]],0)</f>
        <v>0</v>
      </c>
      <c r="AH267" s="86">
        <f>IF(NFI_Expiration=1,IF($A267&lt;VLOOKUP(P$5,NFI,5,0),1,0)*Data_NFI_t[[#This Row],[Blanket]],0)</f>
        <v>0</v>
      </c>
      <c r="AI267" s="86">
        <f>IF(NFI_Expiration=1,IF($A267&lt;VLOOKUP(Q$5,NFI,5,0),1,0)*Data_NFI_t[[#This Row],[Kitchen Set]],0)</f>
        <v>0</v>
      </c>
      <c r="AJ267" s="86">
        <f>IF(NFI_Expiration=1,IF($A267&lt;VLOOKUP(R$5,NFI,5,0),1,0)*Data_NFI_t[[#This Row],[Complementary Kit]],0)</f>
        <v>0</v>
      </c>
      <c r="AK267" s="86">
        <f>IF(NFI_Expiration=1,IF($A267&lt;VLOOKUP(S$5,NFI,5,0),1,0)*Data_NFI_t[[#This Row],[Plastic Bucket]],0)</f>
        <v>0</v>
      </c>
      <c r="AL267" s="86">
        <f>IF(NFI_Expiration=1,IF($A267&lt;VLOOKUP(T$5,NFI,5,0),1,0)*Data_NFI_t[[#This Row],[Jerry Can]],0)</f>
        <v>0</v>
      </c>
      <c r="AM267" s="105">
        <f>IF(NFI_Expiration=1,IF($A267&lt;VLOOKUP(U$5,NFI,5,0),1,0)*Data_NFI_t[[#This Row],[Plastic Mat]],0)*IF(Data_NFI_t[[#This Row],[Distribution Date]]&gt;"01-06-2015",1,2.5)</f>
        <v>0</v>
      </c>
      <c r="AN267" s="734">
        <f>IF(NFI_Expiration=1,IF($A267&lt;VLOOKUP(V$5,NFI,5,0),1,0)*Data_NFI_t[[#This Row],[Adult Clothes]],0)</f>
        <v>0</v>
      </c>
      <c r="AO267" s="105">
        <f>IF(NFI_Expiration=1,IF($A267&lt;VLOOKUP(W$5,NFI,5,0),1,0)*Data_NFI_t[[#This Row],[Children Clothes]],0)</f>
        <v>0</v>
      </c>
      <c r="AP267" s="105">
        <f>IF(NFI_Expiration=1,IF($A267&lt;VLOOKUP(X$5,NFI,5,0),1,0)*Data_NFI_t[[#This Row],[Sewing Kit]],0)</f>
        <v>0</v>
      </c>
      <c r="AQ267" s="734">
        <f>IF(NFI_Expiration=1,IF($A267&lt;VLOOKUP(X$5,NFI,5,0),1,0)*Data_NFI_t[[#This Row],[Solar Lantern]],0)</f>
        <v>0</v>
      </c>
      <c r="AR267" s="105" t="str">
        <f ca="1">IFERROR(OFFSET(Camp_List[P_Code],MATCH(Data_NFI_t[[#This Row],[Camp Name]],Camp_List[Camp Name],0)-1,0,1,1),"")</f>
        <v>MMR012CMP030</v>
      </c>
      <c r="AS267" s="421" t="str">
        <f ca="1">IFERROR(OFFSET(Camp_List[Status],MATCH(Data_NFI_t[[#This Row],[Camp Name]],Camp_List[Camp Name],0)-1,0,1,1),"")</f>
        <v>Relocated</v>
      </c>
      <c r="AT267" s="105"/>
    </row>
    <row r="268" spans="1:46" s="78" customFormat="1" ht="19.5" customHeight="1" x14ac:dyDescent="0.25">
      <c r="A268" s="208">
        <f t="shared" si="4"/>
        <v>53.333333333333336</v>
      </c>
      <c r="B268" s="208">
        <f>YEAR(Data_NFI_t[[#This Row],[Distribution Date]])</f>
        <v>2013</v>
      </c>
      <c r="C268" s="744">
        <v>41590</v>
      </c>
      <c r="D268" s="402" t="s">
        <v>270</v>
      </c>
      <c r="E268" s="401" t="s">
        <v>270</v>
      </c>
      <c r="F268" s="402" t="s">
        <v>7</v>
      </c>
      <c r="G268" s="670" t="s">
        <v>14</v>
      </c>
      <c r="H268" s="670" t="s">
        <v>43</v>
      </c>
      <c r="I268" s="670">
        <v>250</v>
      </c>
      <c r="J268" s="670"/>
      <c r="K268" s="670"/>
      <c r="L268" s="42"/>
      <c r="M268" s="42"/>
      <c r="N268" s="42"/>
      <c r="O268" s="42"/>
      <c r="P268" s="42"/>
      <c r="Q268" s="42"/>
      <c r="R268" s="42"/>
      <c r="S268" s="42"/>
      <c r="T268" s="419"/>
      <c r="U268" s="42"/>
      <c r="V268" s="42"/>
      <c r="W268" s="42"/>
      <c r="X268" s="42"/>
      <c r="Y268" s="42"/>
      <c r="Z268" s="42"/>
      <c r="AA268" s="42"/>
      <c r="AB268" s="42"/>
      <c r="AC268" s="105">
        <f>IF(NFI_Expiration=1,IF($A268&lt;VLOOKUP(I$5,NFI,5,0),1,0)*Data_NFI_t[[#This Row],[Hygiene Kit]],0)</f>
        <v>0</v>
      </c>
      <c r="AD268" s="105">
        <f>IF(NFI_Expiration=1,IF($A268&lt;VLOOKUP(L$5,NFI,5,0),1,0)*Data_NFI_t[[#This Row],[NFI Core Kit]],0)</f>
        <v>0</v>
      </c>
      <c r="AE268" s="86">
        <f>IF(NFI_Expiration=1,IF($A268&lt;VLOOKUP(M$5,NFI,5,0),1,0)*Data_NFI_t[[#This Row],[Sanitary Kit]],0)</f>
        <v>0</v>
      </c>
      <c r="AF268" s="86">
        <f>IF(NFI_Expiration=1,IF($A268&lt;VLOOKUP(N$5,NFI,5,0),1,0)*Data_NFI_t[[#This Row],[Mosquito net]],0)</f>
        <v>0</v>
      </c>
      <c r="AG268" s="86">
        <f>IF(NFI_Expiration=1,IF($A268&lt;VLOOKUP(O$5,NFI,5,0),1,0)*Data_NFI_t[[#This Row],[Tarpaulin]],0)</f>
        <v>0</v>
      </c>
      <c r="AH268" s="86">
        <f>IF(NFI_Expiration=1,IF($A268&lt;VLOOKUP(P$5,NFI,5,0),1,0)*Data_NFI_t[[#This Row],[Blanket]],0)</f>
        <v>0</v>
      </c>
      <c r="AI268" s="86">
        <f>IF(NFI_Expiration=1,IF($A268&lt;VLOOKUP(Q$5,NFI,5,0),1,0)*Data_NFI_t[[#This Row],[Kitchen Set]],0)</f>
        <v>0</v>
      </c>
      <c r="AJ268" s="86">
        <f>IF(NFI_Expiration=1,IF($A268&lt;VLOOKUP(R$5,NFI,5,0),1,0)*Data_NFI_t[[#This Row],[Complementary Kit]],0)</f>
        <v>0</v>
      </c>
      <c r="AK268" s="86">
        <f>IF(NFI_Expiration=1,IF($A268&lt;VLOOKUP(S$5,NFI,5,0),1,0)*Data_NFI_t[[#This Row],[Plastic Bucket]],0)</f>
        <v>0</v>
      </c>
      <c r="AL268" s="86">
        <f>IF(NFI_Expiration=1,IF($A268&lt;VLOOKUP(T$5,NFI,5,0),1,0)*Data_NFI_t[[#This Row],[Jerry Can]],0)</f>
        <v>0</v>
      </c>
      <c r="AM268" s="105">
        <f>IF(NFI_Expiration=1,IF($A268&lt;VLOOKUP(U$5,NFI,5,0),1,0)*Data_NFI_t[[#This Row],[Plastic Mat]],0)*IF(Data_NFI_t[[#This Row],[Distribution Date]]&gt;"01-06-2015",1,2.5)</f>
        <v>0</v>
      </c>
      <c r="AN268" s="734">
        <f>IF(NFI_Expiration=1,IF($A268&lt;VLOOKUP(V$5,NFI,5,0),1,0)*Data_NFI_t[[#This Row],[Adult Clothes]],0)</f>
        <v>0</v>
      </c>
      <c r="AO268" s="105">
        <f>IF(NFI_Expiration=1,IF($A268&lt;VLOOKUP(W$5,NFI,5,0),1,0)*Data_NFI_t[[#This Row],[Children Clothes]],0)</f>
        <v>0</v>
      </c>
      <c r="AP268" s="105">
        <f>IF(NFI_Expiration=1,IF($A268&lt;VLOOKUP(X$5,NFI,5,0),1,0)*Data_NFI_t[[#This Row],[Sewing Kit]],0)</f>
        <v>0</v>
      </c>
      <c r="AQ268" s="734">
        <f>IF(NFI_Expiration=1,IF($A268&lt;VLOOKUP(X$5,NFI,5,0),1,0)*Data_NFI_t[[#This Row],[Solar Lantern]],0)</f>
        <v>0</v>
      </c>
      <c r="AR268" s="105" t="str">
        <f ca="1">IFERROR(OFFSET(Camp_List[P_Code],MATCH(Data_NFI_t[[#This Row],[Camp Name]],Camp_List[Camp Name],0)-1,0,1,1),"")</f>
        <v>MMR012CMP021</v>
      </c>
      <c r="AS268" s="421" t="str">
        <f ca="1">IFERROR(OFFSET(Camp_List[Status],MATCH(Data_NFI_t[[#This Row],[Camp Name]],Camp_List[Camp Name],0)-1,0,1,1),"")</f>
        <v>Returned</v>
      </c>
      <c r="AT268" s="105"/>
    </row>
    <row r="269" spans="1:46" s="78" customFormat="1" ht="19.5" customHeight="1" x14ac:dyDescent="0.25">
      <c r="A269" s="208">
        <f t="shared" si="4"/>
        <v>53.733333333333334</v>
      </c>
      <c r="B269" s="208">
        <f>YEAR(Data_NFI_t[[#This Row],[Distribution Date]])</f>
        <v>2013</v>
      </c>
      <c r="C269" s="744">
        <v>41578</v>
      </c>
      <c r="D269" s="402" t="s">
        <v>270</v>
      </c>
      <c r="E269" s="401" t="s">
        <v>270</v>
      </c>
      <c r="F269" s="402" t="s">
        <v>7</v>
      </c>
      <c r="G269" s="670" t="s">
        <v>14</v>
      </c>
      <c r="H269" s="670" t="s">
        <v>49</v>
      </c>
      <c r="I269" s="670">
        <v>280</v>
      </c>
      <c r="J269" s="670"/>
      <c r="K269" s="670"/>
      <c r="L269" s="42"/>
      <c r="M269" s="42"/>
      <c r="N269" s="42"/>
      <c r="O269" s="42"/>
      <c r="P269" s="42"/>
      <c r="Q269" s="42"/>
      <c r="R269" s="42"/>
      <c r="S269" s="42"/>
      <c r="T269" s="419"/>
      <c r="U269" s="42"/>
      <c r="V269" s="42"/>
      <c r="W269" s="42"/>
      <c r="X269" s="42"/>
      <c r="Y269" s="42"/>
      <c r="Z269" s="42"/>
      <c r="AA269" s="42"/>
      <c r="AB269" s="42"/>
      <c r="AC269" s="105">
        <f>IF(NFI_Expiration=1,IF($A269&lt;VLOOKUP(I$5,NFI,5,0),1,0)*Data_NFI_t[[#This Row],[Hygiene Kit]],0)</f>
        <v>0</v>
      </c>
      <c r="AD269" s="105">
        <f>IF(NFI_Expiration=1,IF($A269&lt;VLOOKUP(L$5,NFI,5,0),1,0)*Data_NFI_t[[#This Row],[NFI Core Kit]],0)</f>
        <v>0</v>
      </c>
      <c r="AE269" s="86">
        <f>IF(NFI_Expiration=1,IF($A269&lt;VLOOKUP(M$5,NFI,5,0),1,0)*Data_NFI_t[[#This Row],[Sanitary Kit]],0)</f>
        <v>0</v>
      </c>
      <c r="AF269" s="86">
        <f>IF(NFI_Expiration=1,IF($A269&lt;VLOOKUP(N$5,NFI,5,0),1,0)*Data_NFI_t[[#This Row],[Mosquito net]],0)</f>
        <v>0</v>
      </c>
      <c r="AG269" s="86">
        <f>IF(NFI_Expiration=1,IF($A269&lt;VLOOKUP(O$5,NFI,5,0),1,0)*Data_NFI_t[[#This Row],[Tarpaulin]],0)</f>
        <v>0</v>
      </c>
      <c r="AH269" s="86">
        <f>IF(NFI_Expiration=1,IF($A269&lt;VLOOKUP(P$5,NFI,5,0),1,0)*Data_NFI_t[[#This Row],[Blanket]],0)</f>
        <v>0</v>
      </c>
      <c r="AI269" s="86">
        <f>IF(NFI_Expiration=1,IF($A269&lt;VLOOKUP(Q$5,NFI,5,0),1,0)*Data_NFI_t[[#This Row],[Kitchen Set]],0)</f>
        <v>0</v>
      </c>
      <c r="AJ269" s="86">
        <f>IF(NFI_Expiration=1,IF($A269&lt;VLOOKUP(R$5,NFI,5,0),1,0)*Data_NFI_t[[#This Row],[Complementary Kit]],0)</f>
        <v>0</v>
      </c>
      <c r="AK269" s="86">
        <f>IF(NFI_Expiration=1,IF($A269&lt;VLOOKUP(S$5,NFI,5,0),1,0)*Data_NFI_t[[#This Row],[Plastic Bucket]],0)</f>
        <v>0</v>
      </c>
      <c r="AL269" s="86">
        <f>IF(NFI_Expiration=1,IF($A269&lt;VLOOKUP(T$5,NFI,5,0),1,0)*Data_NFI_t[[#This Row],[Jerry Can]],0)</f>
        <v>0</v>
      </c>
      <c r="AM269" s="105">
        <f>IF(NFI_Expiration=1,IF($A269&lt;VLOOKUP(U$5,NFI,5,0),1,0)*Data_NFI_t[[#This Row],[Plastic Mat]],0)*IF(Data_NFI_t[[#This Row],[Distribution Date]]&gt;"01-06-2015",1,2.5)</f>
        <v>0</v>
      </c>
      <c r="AN269" s="734">
        <f>IF(NFI_Expiration=1,IF($A269&lt;VLOOKUP(V$5,NFI,5,0),1,0)*Data_NFI_t[[#This Row],[Adult Clothes]],0)</f>
        <v>0</v>
      </c>
      <c r="AO269" s="105">
        <f>IF(NFI_Expiration=1,IF($A269&lt;VLOOKUP(W$5,NFI,5,0),1,0)*Data_NFI_t[[#This Row],[Children Clothes]],0)</f>
        <v>0</v>
      </c>
      <c r="AP269" s="105">
        <f>IF(NFI_Expiration=1,IF($A269&lt;VLOOKUP(X$5,NFI,5,0),1,0)*Data_NFI_t[[#This Row],[Sewing Kit]],0)</f>
        <v>0</v>
      </c>
      <c r="AQ269" s="734">
        <f>IF(NFI_Expiration=1,IF($A269&lt;VLOOKUP(X$5,NFI,5,0),1,0)*Data_NFI_t[[#This Row],[Solar Lantern]],0)</f>
        <v>0</v>
      </c>
      <c r="AR269" s="105" t="str">
        <f ca="1">IFERROR(OFFSET(Camp_List[P_Code],MATCH(Data_NFI_t[[#This Row],[Camp Name]],Camp_List[Camp Name],0)-1,0,1,1),"")</f>
        <v>MMR012CMP027</v>
      </c>
      <c r="AS269" s="421" t="str">
        <f ca="1">IFERROR(OFFSET(Camp_List[Status],MATCH(Data_NFI_t[[#This Row],[Camp Name]],Camp_List[Camp Name],0)-1,0,1,1),"")</f>
        <v>Returned</v>
      </c>
      <c r="AT269" s="105"/>
    </row>
    <row r="270" spans="1:46" s="78" customFormat="1" ht="19.5" customHeight="1" x14ac:dyDescent="0.25">
      <c r="A270" s="208">
        <f t="shared" si="4"/>
        <v>53.733333333333334</v>
      </c>
      <c r="B270" s="208">
        <f>YEAR(Data_NFI_t[[#This Row],[Distribution Date]])</f>
        <v>2013</v>
      </c>
      <c r="C270" s="744">
        <v>41578</v>
      </c>
      <c r="D270" s="402" t="s">
        <v>270</v>
      </c>
      <c r="E270" s="401" t="s">
        <v>270</v>
      </c>
      <c r="F270" s="402" t="s">
        <v>7</v>
      </c>
      <c r="G270" s="670" t="s">
        <v>14</v>
      </c>
      <c r="H270" s="670" t="s">
        <v>48</v>
      </c>
      <c r="I270" s="670">
        <v>380</v>
      </c>
      <c r="J270" s="670"/>
      <c r="K270" s="670"/>
      <c r="L270" s="42"/>
      <c r="M270" s="42"/>
      <c r="N270" s="42"/>
      <c r="O270" s="42"/>
      <c r="P270" s="42"/>
      <c r="Q270" s="42"/>
      <c r="R270" s="42"/>
      <c r="S270" s="42"/>
      <c r="T270" s="419"/>
      <c r="U270" s="42"/>
      <c r="V270" s="42"/>
      <c r="W270" s="42"/>
      <c r="X270" s="42"/>
      <c r="Y270" s="42"/>
      <c r="Z270" s="42"/>
      <c r="AA270" s="42"/>
      <c r="AB270" s="42"/>
      <c r="AC270" s="105">
        <f>IF(NFI_Expiration=1,IF($A270&lt;VLOOKUP(I$5,NFI,5,0),1,0)*Data_NFI_t[[#This Row],[Hygiene Kit]],0)</f>
        <v>0</v>
      </c>
      <c r="AD270" s="105">
        <f>IF(NFI_Expiration=1,IF($A270&lt;VLOOKUP(L$5,NFI,5,0),1,0)*Data_NFI_t[[#This Row],[NFI Core Kit]],0)</f>
        <v>0</v>
      </c>
      <c r="AE270" s="86">
        <f>IF(NFI_Expiration=1,IF($A270&lt;VLOOKUP(M$5,NFI,5,0),1,0)*Data_NFI_t[[#This Row],[Sanitary Kit]],0)</f>
        <v>0</v>
      </c>
      <c r="AF270" s="86">
        <f>IF(NFI_Expiration=1,IF($A270&lt;VLOOKUP(N$5,NFI,5,0),1,0)*Data_NFI_t[[#This Row],[Mosquito net]],0)</f>
        <v>0</v>
      </c>
      <c r="AG270" s="86">
        <f>IF(NFI_Expiration=1,IF($A270&lt;VLOOKUP(O$5,NFI,5,0),1,0)*Data_NFI_t[[#This Row],[Tarpaulin]],0)</f>
        <v>0</v>
      </c>
      <c r="AH270" s="86">
        <f>IF(NFI_Expiration=1,IF($A270&lt;VLOOKUP(P$5,NFI,5,0),1,0)*Data_NFI_t[[#This Row],[Blanket]],0)</f>
        <v>0</v>
      </c>
      <c r="AI270" s="86">
        <f>IF(NFI_Expiration=1,IF($A270&lt;VLOOKUP(Q$5,NFI,5,0),1,0)*Data_NFI_t[[#This Row],[Kitchen Set]],0)</f>
        <v>0</v>
      </c>
      <c r="AJ270" s="86">
        <f>IF(NFI_Expiration=1,IF($A270&lt;VLOOKUP(R$5,NFI,5,0),1,0)*Data_NFI_t[[#This Row],[Complementary Kit]],0)</f>
        <v>0</v>
      </c>
      <c r="AK270" s="86">
        <f>IF(NFI_Expiration=1,IF($A270&lt;VLOOKUP(S$5,NFI,5,0),1,0)*Data_NFI_t[[#This Row],[Plastic Bucket]],0)</f>
        <v>0</v>
      </c>
      <c r="AL270" s="86">
        <f>IF(NFI_Expiration=1,IF($A270&lt;VLOOKUP(T$5,NFI,5,0),1,0)*Data_NFI_t[[#This Row],[Jerry Can]],0)</f>
        <v>0</v>
      </c>
      <c r="AM270" s="105">
        <f>IF(NFI_Expiration=1,IF($A270&lt;VLOOKUP(U$5,NFI,5,0),1,0)*Data_NFI_t[[#This Row],[Plastic Mat]],0)*IF(Data_NFI_t[[#This Row],[Distribution Date]]&gt;"01-06-2015",1,2.5)</f>
        <v>0</v>
      </c>
      <c r="AN270" s="734">
        <f>IF(NFI_Expiration=1,IF($A270&lt;VLOOKUP(V$5,NFI,5,0),1,0)*Data_NFI_t[[#This Row],[Adult Clothes]],0)</f>
        <v>0</v>
      </c>
      <c r="AO270" s="105">
        <f>IF(NFI_Expiration=1,IF($A270&lt;VLOOKUP(W$5,NFI,5,0),1,0)*Data_NFI_t[[#This Row],[Children Clothes]],0)</f>
        <v>0</v>
      </c>
      <c r="AP270" s="105">
        <f>IF(NFI_Expiration=1,IF($A270&lt;VLOOKUP(X$5,NFI,5,0),1,0)*Data_NFI_t[[#This Row],[Sewing Kit]],0)</f>
        <v>0</v>
      </c>
      <c r="AQ270" s="734">
        <f>IF(NFI_Expiration=1,IF($A270&lt;VLOOKUP(X$5,NFI,5,0),1,0)*Data_NFI_t[[#This Row],[Solar Lantern]],0)</f>
        <v>0</v>
      </c>
      <c r="AR270" s="105" t="str">
        <f ca="1">IFERROR(OFFSET(Camp_List[P_Code],MATCH(Data_NFI_t[[#This Row],[Camp Name]],Camp_List[Camp Name],0)-1,0,1,1),"")</f>
        <v>MMR012CMP026</v>
      </c>
      <c r="AS270" s="421" t="str">
        <f ca="1">IFERROR(OFFSET(Camp_List[Status],MATCH(Data_NFI_t[[#This Row],[Camp Name]],Camp_List[Camp Name],0)-1,0,1,1),"")</f>
        <v>Returned</v>
      </c>
      <c r="AT270" s="105"/>
    </row>
    <row r="271" spans="1:46" s="78" customFormat="1" ht="19.5" customHeight="1" x14ac:dyDescent="0.25">
      <c r="A271" s="208">
        <f t="shared" si="4"/>
        <v>53.833333333333336</v>
      </c>
      <c r="B271" s="208">
        <f>YEAR(Data_NFI_t[[#This Row],[Distribution Date]])</f>
        <v>2013</v>
      </c>
      <c r="C271" s="744">
        <v>41575</v>
      </c>
      <c r="D271" s="402" t="s">
        <v>270</v>
      </c>
      <c r="E271" s="401" t="s">
        <v>270</v>
      </c>
      <c r="F271" s="402" t="s">
        <v>7</v>
      </c>
      <c r="G271" s="670" t="s">
        <v>14</v>
      </c>
      <c r="H271" s="670" t="s">
        <v>46</v>
      </c>
      <c r="I271" s="670">
        <v>230</v>
      </c>
      <c r="J271" s="670"/>
      <c r="K271" s="670"/>
      <c r="L271" s="42"/>
      <c r="M271" s="42"/>
      <c r="N271" s="42"/>
      <c r="O271" s="42"/>
      <c r="P271" s="42"/>
      <c r="Q271" s="42"/>
      <c r="R271" s="42"/>
      <c r="S271" s="42"/>
      <c r="T271" s="419"/>
      <c r="U271" s="42"/>
      <c r="V271" s="42"/>
      <c r="W271" s="42"/>
      <c r="X271" s="42"/>
      <c r="Y271" s="42"/>
      <c r="Z271" s="42"/>
      <c r="AA271" s="42"/>
      <c r="AB271" s="42"/>
      <c r="AC271" s="105">
        <f>IF(NFI_Expiration=1,IF($A271&lt;VLOOKUP(I$5,NFI,5,0),1,0)*Data_NFI_t[[#This Row],[Hygiene Kit]],0)</f>
        <v>0</v>
      </c>
      <c r="AD271" s="105">
        <f>IF(NFI_Expiration=1,IF($A271&lt;VLOOKUP(L$5,NFI,5,0),1,0)*Data_NFI_t[[#This Row],[NFI Core Kit]],0)</f>
        <v>0</v>
      </c>
      <c r="AE271" s="86">
        <f>IF(NFI_Expiration=1,IF($A271&lt;VLOOKUP(M$5,NFI,5,0),1,0)*Data_NFI_t[[#This Row],[Sanitary Kit]],0)</f>
        <v>0</v>
      </c>
      <c r="AF271" s="86">
        <f>IF(NFI_Expiration=1,IF($A271&lt;VLOOKUP(N$5,NFI,5,0),1,0)*Data_NFI_t[[#This Row],[Mosquito net]],0)</f>
        <v>0</v>
      </c>
      <c r="AG271" s="86">
        <f>IF(NFI_Expiration=1,IF($A271&lt;VLOOKUP(O$5,NFI,5,0),1,0)*Data_NFI_t[[#This Row],[Tarpaulin]],0)</f>
        <v>0</v>
      </c>
      <c r="AH271" s="86">
        <f>IF(NFI_Expiration=1,IF($A271&lt;VLOOKUP(P$5,NFI,5,0),1,0)*Data_NFI_t[[#This Row],[Blanket]],0)</f>
        <v>0</v>
      </c>
      <c r="AI271" s="86">
        <f>IF(NFI_Expiration=1,IF($A271&lt;VLOOKUP(Q$5,NFI,5,0),1,0)*Data_NFI_t[[#This Row],[Kitchen Set]],0)</f>
        <v>0</v>
      </c>
      <c r="AJ271" s="86">
        <f>IF(NFI_Expiration=1,IF($A271&lt;VLOOKUP(R$5,NFI,5,0),1,0)*Data_NFI_t[[#This Row],[Complementary Kit]],0)</f>
        <v>0</v>
      </c>
      <c r="AK271" s="86">
        <f>IF(NFI_Expiration=1,IF($A271&lt;VLOOKUP(S$5,NFI,5,0),1,0)*Data_NFI_t[[#This Row],[Plastic Bucket]],0)</f>
        <v>0</v>
      </c>
      <c r="AL271" s="86">
        <f>IF(NFI_Expiration=1,IF($A271&lt;VLOOKUP(T$5,NFI,5,0),1,0)*Data_NFI_t[[#This Row],[Jerry Can]],0)</f>
        <v>0</v>
      </c>
      <c r="AM271" s="105">
        <f>IF(NFI_Expiration=1,IF($A271&lt;VLOOKUP(U$5,NFI,5,0),1,0)*Data_NFI_t[[#This Row],[Plastic Mat]],0)*IF(Data_NFI_t[[#This Row],[Distribution Date]]&gt;"01-06-2015",1,2.5)</f>
        <v>0</v>
      </c>
      <c r="AN271" s="734">
        <f>IF(NFI_Expiration=1,IF($A271&lt;VLOOKUP(V$5,NFI,5,0),1,0)*Data_NFI_t[[#This Row],[Adult Clothes]],0)</f>
        <v>0</v>
      </c>
      <c r="AO271" s="105">
        <f>IF(NFI_Expiration=1,IF($A271&lt;VLOOKUP(W$5,NFI,5,0),1,0)*Data_NFI_t[[#This Row],[Children Clothes]],0)</f>
        <v>0</v>
      </c>
      <c r="AP271" s="105">
        <f>IF(NFI_Expiration=1,IF($A271&lt;VLOOKUP(X$5,NFI,5,0),1,0)*Data_NFI_t[[#This Row],[Sewing Kit]],0)</f>
        <v>0</v>
      </c>
      <c r="AQ271" s="734">
        <f>IF(NFI_Expiration=1,IF($A271&lt;VLOOKUP(X$5,NFI,5,0),1,0)*Data_NFI_t[[#This Row],[Solar Lantern]],0)</f>
        <v>0</v>
      </c>
      <c r="AR271" s="105" t="str">
        <f ca="1">IFERROR(OFFSET(Camp_List[P_Code],MATCH(Data_NFI_t[[#This Row],[Camp Name]],Camp_List[Camp Name],0)-1,0,1,1),"")</f>
        <v>MMR012CMP024</v>
      </c>
      <c r="AS271" s="421" t="str">
        <f ca="1">IFERROR(OFFSET(Camp_List[Status],MATCH(Data_NFI_t[[#This Row],[Camp Name]],Camp_List[Camp Name],0)-1,0,1,1),"")</f>
        <v>Returned</v>
      </c>
      <c r="AT271" s="105"/>
    </row>
    <row r="272" spans="1:46" s="78" customFormat="1" ht="19.5" customHeight="1" x14ac:dyDescent="0.25">
      <c r="A272" s="208">
        <f t="shared" si="4"/>
        <v>53.833333333333336</v>
      </c>
      <c r="B272" s="208">
        <f>YEAR(Data_NFI_t[[#This Row],[Distribution Date]])</f>
        <v>2013</v>
      </c>
      <c r="C272" s="744">
        <v>41575</v>
      </c>
      <c r="D272" s="402" t="s">
        <v>270</v>
      </c>
      <c r="E272" s="401" t="s">
        <v>270</v>
      </c>
      <c r="F272" s="402" t="s">
        <v>7</v>
      </c>
      <c r="G272" s="670" t="s">
        <v>14</v>
      </c>
      <c r="H272" s="670" t="s">
        <v>50</v>
      </c>
      <c r="I272" s="670">
        <v>300</v>
      </c>
      <c r="J272" s="670"/>
      <c r="K272" s="670"/>
      <c r="L272" s="42"/>
      <c r="M272" s="42"/>
      <c r="N272" s="42"/>
      <c r="O272" s="42"/>
      <c r="P272" s="42"/>
      <c r="Q272" s="42"/>
      <c r="R272" s="42"/>
      <c r="S272" s="42"/>
      <c r="T272" s="419"/>
      <c r="U272" s="42"/>
      <c r="V272" s="42"/>
      <c r="W272" s="42"/>
      <c r="X272" s="42"/>
      <c r="Y272" s="42"/>
      <c r="Z272" s="42"/>
      <c r="AA272" s="42"/>
      <c r="AB272" s="42"/>
      <c r="AC272" s="105">
        <f>IF(NFI_Expiration=1,IF($A272&lt;VLOOKUP(I$5,NFI,5,0),1,0)*Data_NFI_t[[#This Row],[Hygiene Kit]],0)</f>
        <v>0</v>
      </c>
      <c r="AD272" s="105">
        <f>IF(NFI_Expiration=1,IF($A272&lt;VLOOKUP(L$5,NFI,5,0),1,0)*Data_NFI_t[[#This Row],[NFI Core Kit]],0)</f>
        <v>0</v>
      </c>
      <c r="AE272" s="86">
        <f>IF(NFI_Expiration=1,IF($A272&lt;VLOOKUP(M$5,NFI,5,0),1,0)*Data_NFI_t[[#This Row],[Sanitary Kit]],0)</f>
        <v>0</v>
      </c>
      <c r="AF272" s="86">
        <f>IF(NFI_Expiration=1,IF($A272&lt;VLOOKUP(N$5,NFI,5,0),1,0)*Data_NFI_t[[#This Row],[Mosquito net]],0)</f>
        <v>0</v>
      </c>
      <c r="AG272" s="86">
        <f>IF(NFI_Expiration=1,IF($A272&lt;VLOOKUP(O$5,NFI,5,0),1,0)*Data_NFI_t[[#This Row],[Tarpaulin]],0)</f>
        <v>0</v>
      </c>
      <c r="AH272" s="86">
        <f>IF(NFI_Expiration=1,IF($A272&lt;VLOOKUP(P$5,NFI,5,0),1,0)*Data_NFI_t[[#This Row],[Blanket]],0)</f>
        <v>0</v>
      </c>
      <c r="AI272" s="86">
        <f>IF(NFI_Expiration=1,IF($A272&lt;VLOOKUP(Q$5,NFI,5,0),1,0)*Data_NFI_t[[#This Row],[Kitchen Set]],0)</f>
        <v>0</v>
      </c>
      <c r="AJ272" s="86">
        <f>IF(NFI_Expiration=1,IF($A272&lt;VLOOKUP(R$5,NFI,5,0),1,0)*Data_NFI_t[[#This Row],[Complementary Kit]],0)</f>
        <v>0</v>
      </c>
      <c r="AK272" s="86">
        <f>IF(NFI_Expiration=1,IF($A272&lt;VLOOKUP(S$5,NFI,5,0),1,0)*Data_NFI_t[[#This Row],[Plastic Bucket]],0)</f>
        <v>0</v>
      </c>
      <c r="AL272" s="86">
        <f>IF(NFI_Expiration=1,IF($A272&lt;VLOOKUP(T$5,NFI,5,0),1,0)*Data_NFI_t[[#This Row],[Jerry Can]],0)</f>
        <v>0</v>
      </c>
      <c r="AM272" s="105">
        <f>IF(NFI_Expiration=1,IF($A272&lt;VLOOKUP(U$5,NFI,5,0),1,0)*Data_NFI_t[[#This Row],[Plastic Mat]],0)*IF(Data_NFI_t[[#This Row],[Distribution Date]]&gt;"01-06-2015",1,2.5)</f>
        <v>0</v>
      </c>
      <c r="AN272" s="734">
        <f>IF(NFI_Expiration=1,IF($A272&lt;VLOOKUP(V$5,NFI,5,0),1,0)*Data_NFI_t[[#This Row],[Adult Clothes]],0)</f>
        <v>0</v>
      </c>
      <c r="AO272" s="105">
        <f>IF(NFI_Expiration=1,IF($A272&lt;VLOOKUP(W$5,NFI,5,0),1,0)*Data_NFI_t[[#This Row],[Children Clothes]],0)</f>
        <v>0</v>
      </c>
      <c r="AP272" s="105">
        <f>IF(NFI_Expiration=1,IF($A272&lt;VLOOKUP(X$5,NFI,5,0),1,0)*Data_NFI_t[[#This Row],[Sewing Kit]],0)</f>
        <v>0</v>
      </c>
      <c r="AQ272" s="734">
        <f>IF(NFI_Expiration=1,IF($A272&lt;VLOOKUP(X$5,NFI,5,0),1,0)*Data_NFI_t[[#This Row],[Solar Lantern]],0)</f>
        <v>0</v>
      </c>
      <c r="AR272" s="105" t="str">
        <f ca="1">IFERROR(OFFSET(Camp_List[P_Code],MATCH(Data_NFI_t[[#This Row],[Camp Name]],Camp_List[Camp Name],0)-1,0,1,1),"")</f>
        <v>MMR012CMP028</v>
      </c>
      <c r="AS272" s="421" t="str">
        <f ca="1">IFERROR(OFFSET(Camp_List[Status],MATCH(Data_NFI_t[[#This Row],[Camp Name]],Camp_List[Camp Name],0)-1,0,1,1),"")</f>
        <v>Returned</v>
      </c>
      <c r="AT272" s="105"/>
    </row>
    <row r="273" spans="1:46" s="78" customFormat="1" ht="19.5" customHeight="1" x14ac:dyDescent="0.25">
      <c r="A273" s="208">
        <f t="shared" si="4"/>
        <v>54.033333333333331</v>
      </c>
      <c r="B273" s="208">
        <f>YEAR(Data_NFI_t[[#This Row],[Distribution Date]])</f>
        <v>2013</v>
      </c>
      <c r="C273" s="744">
        <v>41569</v>
      </c>
      <c r="D273" s="402" t="s">
        <v>270</v>
      </c>
      <c r="E273" s="401" t="s">
        <v>270</v>
      </c>
      <c r="F273" s="402" t="s">
        <v>7</v>
      </c>
      <c r="G273" s="670" t="s">
        <v>17</v>
      </c>
      <c r="H273" s="670" t="s">
        <v>76</v>
      </c>
      <c r="I273" s="670"/>
      <c r="J273" s="670"/>
      <c r="K273" s="670"/>
      <c r="L273" s="42"/>
      <c r="M273" s="42"/>
      <c r="N273" s="42"/>
      <c r="O273" s="42"/>
      <c r="P273" s="42"/>
      <c r="Q273" s="42"/>
      <c r="R273" s="42">
        <v>250</v>
      </c>
      <c r="S273" s="42"/>
      <c r="T273" s="419"/>
      <c r="U273" s="42"/>
      <c r="V273" s="42"/>
      <c r="W273" s="42"/>
      <c r="X273" s="42"/>
      <c r="Y273" s="42"/>
      <c r="Z273" s="42"/>
      <c r="AA273" s="42"/>
      <c r="AB273" s="42"/>
      <c r="AC273" s="105">
        <f>IF(NFI_Expiration=1,IF($A273&lt;VLOOKUP(I$5,NFI,5,0),1,0)*Data_NFI_t[[#This Row],[Hygiene Kit]],0)</f>
        <v>0</v>
      </c>
      <c r="AD273" s="105">
        <f>IF(NFI_Expiration=1,IF($A273&lt;VLOOKUP(L$5,NFI,5,0),1,0)*Data_NFI_t[[#This Row],[NFI Core Kit]],0)</f>
        <v>0</v>
      </c>
      <c r="AE273" s="86">
        <f>IF(NFI_Expiration=1,IF($A273&lt;VLOOKUP(M$5,NFI,5,0),1,0)*Data_NFI_t[[#This Row],[Sanitary Kit]],0)</f>
        <v>0</v>
      </c>
      <c r="AF273" s="86">
        <f>IF(NFI_Expiration=1,IF($A273&lt;VLOOKUP(N$5,NFI,5,0),1,0)*Data_NFI_t[[#This Row],[Mosquito net]],0)</f>
        <v>0</v>
      </c>
      <c r="AG273" s="86">
        <f>IF(NFI_Expiration=1,IF($A273&lt;VLOOKUP(O$5,NFI,5,0),1,0)*Data_NFI_t[[#This Row],[Tarpaulin]],0)</f>
        <v>0</v>
      </c>
      <c r="AH273" s="86">
        <f>IF(NFI_Expiration=1,IF($A273&lt;VLOOKUP(P$5,NFI,5,0),1,0)*Data_NFI_t[[#This Row],[Blanket]],0)</f>
        <v>0</v>
      </c>
      <c r="AI273" s="86">
        <f>IF(NFI_Expiration=1,IF($A273&lt;VLOOKUP(Q$5,NFI,5,0),1,0)*Data_NFI_t[[#This Row],[Kitchen Set]],0)</f>
        <v>0</v>
      </c>
      <c r="AJ273" s="86">
        <f>IF(NFI_Expiration=1,IF($A273&lt;VLOOKUP(R$5,NFI,5,0),1,0)*Data_NFI_t[[#This Row],[Complementary Kit]],0)</f>
        <v>0</v>
      </c>
      <c r="AK273" s="86">
        <f>IF(NFI_Expiration=1,IF($A273&lt;VLOOKUP(S$5,NFI,5,0),1,0)*Data_NFI_t[[#This Row],[Plastic Bucket]],0)</f>
        <v>0</v>
      </c>
      <c r="AL273" s="86">
        <f>IF(NFI_Expiration=1,IF($A273&lt;VLOOKUP(T$5,NFI,5,0),1,0)*Data_NFI_t[[#This Row],[Jerry Can]],0)</f>
        <v>0</v>
      </c>
      <c r="AM273" s="105">
        <f>IF(NFI_Expiration=1,IF($A273&lt;VLOOKUP(U$5,NFI,5,0),1,0)*Data_NFI_t[[#This Row],[Plastic Mat]],0)*IF(Data_NFI_t[[#This Row],[Distribution Date]]&gt;"01-06-2015",1,2.5)</f>
        <v>0</v>
      </c>
      <c r="AN273" s="734">
        <f>IF(NFI_Expiration=1,IF($A273&lt;VLOOKUP(V$5,NFI,5,0),1,0)*Data_NFI_t[[#This Row],[Adult Clothes]],0)</f>
        <v>0</v>
      </c>
      <c r="AO273" s="105">
        <f>IF(NFI_Expiration=1,IF($A273&lt;VLOOKUP(W$5,NFI,5,0),1,0)*Data_NFI_t[[#This Row],[Children Clothes]],0)</f>
        <v>0</v>
      </c>
      <c r="AP273" s="105">
        <f>IF(NFI_Expiration=1,IF($A273&lt;VLOOKUP(X$5,NFI,5,0),1,0)*Data_NFI_t[[#This Row],[Sewing Kit]],0)</f>
        <v>0</v>
      </c>
      <c r="AQ273" s="734">
        <f>IF(NFI_Expiration=1,IF($A273&lt;VLOOKUP(X$5,NFI,5,0),1,0)*Data_NFI_t[[#This Row],[Solar Lantern]],0)</f>
        <v>0</v>
      </c>
      <c r="AR273" s="105" t="str">
        <f ca="1">IFERROR(OFFSET(Camp_List[P_Code],MATCH(Data_NFI_t[[#This Row],[Camp Name]],Camp_List[Camp Name],0)-1,0,1,1),"")</f>
        <v>MMR012CMP056</v>
      </c>
      <c r="AS273" s="421" t="str">
        <f ca="1">IFERROR(OFFSET(Camp_List[Status],MATCH(Data_NFI_t[[#This Row],[Camp Name]],Camp_List[Camp Name],0)-1,0,1,1),"")</f>
        <v>Relocated</v>
      </c>
      <c r="AT273" s="105"/>
    </row>
    <row r="274" spans="1:46" s="78" customFormat="1" ht="19.5" customHeight="1" x14ac:dyDescent="0.25">
      <c r="A274" s="208">
        <f t="shared" si="4"/>
        <v>54.166666666666664</v>
      </c>
      <c r="B274" s="208">
        <f>YEAR(Data_NFI_t[[#This Row],[Distribution Date]])</f>
        <v>2013</v>
      </c>
      <c r="C274" s="744">
        <v>41565</v>
      </c>
      <c r="D274" s="402" t="s">
        <v>575</v>
      </c>
      <c r="E274" s="401" t="s">
        <v>575</v>
      </c>
      <c r="F274" s="402" t="s">
        <v>7</v>
      </c>
      <c r="G274" s="670" t="s">
        <v>17</v>
      </c>
      <c r="H274" s="670" t="s">
        <v>587</v>
      </c>
      <c r="I274" s="670"/>
      <c r="J274" s="670"/>
      <c r="K274" s="670"/>
      <c r="L274" s="42">
        <v>948</v>
      </c>
      <c r="M274" s="42"/>
      <c r="N274" s="42"/>
      <c r="O274" s="42"/>
      <c r="P274" s="42"/>
      <c r="Q274" s="42"/>
      <c r="R274" s="42"/>
      <c r="S274" s="42"/>
      <c r="T274" s="419"/>
      <c r="U274" s="42"/>
      <c r="V274" s="42"/>
      <c r="W274" s="42"/>
      <c r="X274" s="42"/>
      <c r="Y274" s="42"/>
      <c r="Z274" s="42"/>
      <c r="AA274" s="42"/>
      <c r="AB274" s="42"/>
      <c r="AC274" s="105">
        <f>IF(NFI_Expiration=1,IF($A274&lt;VLOOKUP(I$5,NFI,5,0),1,0)*Data_NFI_t[[#This Row],[Hygiene Kit]],0)</f>
        <v>0</v>
      </c>
      <c r="AD274" s="105">
        <f>IF(NFI_Expiration=1,IF($A274&lt;VLOOKUP(L$5,NFI,5,0),1,0)*Data_NFI_t[[#This Row],[NFI Core Kit]],0)</f>
        <v>0</v>
      </c>
      <c r="AE274" s="86">
        <f>IF(NFI_Expiration=1,IF($A274&lt;VLOOKUP(M$5,NFI,5,0),1,0)*Data_NFI_t[[#This Row],[Sanitary Kit]],0)</f>
        <v>0</v>
      </c>
      <c r="AF274" s="86">
        <f>IF(NFI_Expiration=1,IF($A274&lt;VLOOKUP(N$5,NFI,5,0),1,0)*Data_NFI_t[[#This Row],[Mosquito net]],0)</f>
        <v>0</v>
      </c>
      <c r="AG274" s="86">
        <f>IF(NFI_Expiration=1,IF($A274&lt;VLOOKUP(O$5,NFI,5,0),1,0)*Data_NFI_t[[#This Row],[Tarpaulin]],0)</f>
        <v>0</v>
      </c>
      <c r="AH274" s="86">
        <f>IF(NFI_Expiration=1,IF($A274&lt;VLOOKUP(P$5,NFI,5,0),1,0)*Data_NFI_t[[#This Row],[Blanket]],0)</f>
        <v>0</v>
      </c>
      <c r="AI274" s="86">
        <f>IF(NFI_Expiration=1,IF($A274&lt;VLOOKUP(Q$5,NFI,5,0),1,0)*Data_NFI_t[[#This Row],[Kitchen Set]],0)</f>
        <v>0</v>
      </c>
      <c r="AJ274" s="86">
        <f>IF(NFI_Expiration=1,IF($A274&lt;VLOOKUP(R$5,NFI,5,0),1,0)*Data_NFI_t[[#This Row],[Complementary Kit]],0)</f>
        <v>0</v>
      </c>
      <c r="AK274" s="86">
        <f>IF(NFI_Expiration=1,IF($A274&lt;VLOOKUP(S$5,NFI,5,0),1,0)*Data_NFI_t[[#This Row],[Plastic Bucket]],0)</f>
        <v>0</v>
      </c>
      <c r="AL274" s="86">
        <f>IF(NFI_Expiration=1,IF($A274&lt;VLOOKUP(T$5,NFI,5,0),1,0)*Data_NFI_t[[#This Row],[Jerry Can]],0)</f>
        <v>0</v>
      </c>
      <c r="AM274" s="105">
        <f>IF(NFI_Expiration=1,IF($A274&lt;VLOOKUP(U$5,NFI,5,0),1,0)*Data_NFI_t[[#This Row],[Plastic Mat]],0)*IF(Data_NFI_t[[#This Row],[Distribution Date]]&gt;"01-06-2015",1,2.5)</f>
        <v>0</v>
      </c>
      <c r="AN274" s="734">
        <f>IF(NFI_Expiration=1,IF($A274&lt;VLOOKUP(V$5,NFI,5,0),1,0)*Data_NFI_t[[#This Row],[Adult Clothes]],0)</f>
        <v>0</v>
      </c>
      <c r="AO274" s="105">
        <f>IF(NFI_Expiration=1,IF($A274&lt;VLOOKUP(W$5,NFI,5,0),1,0)*Data_NFI_t[[#This Row],[Children Clothes]],0)</f>
        <v>0</v>
      </c>
      <c r="AP274" s="105">
        <f>IF(NFI_Expiration=1,IF($A274&lt;VLOOKUP(X$5,NFI,5,0),1,0)*Data_NFI_t[[#This Row],[Sewing Kit]],0)</f>
        <v>0</v>
      </c>
      <c r="AQ274" s="734">
        <f>IF(NFI_Expiration=1,IF($A274&lt;VLOOKUP(X$5,NFI,5,0),1,0)*Data_NFI_t[[#This Row],[Solar Lantern]],0)</f>
        <v>0</v>
      </c>
      <c r="AR274" s="105" t="str">
        <f ca="1">IFERROR(OFFSET(Camp_List[P_Code],MATCH(Data_NFI_t[[#This Row],[Camp Name]],Camp_List[Camp Name],0)-1,0,1,1),"")</f>
        <v>MMR012CMP116</v>
      </c>
      <c r="AS274" s="421" t="str">
        <f ca="1">IFERROR(OFFSET(Camp_List[Status],MATCH(Data_NFI_t[[#This Row],[Camp Name]],Camp_List[Camp Name],0)-1,0,1,1),"")</f>
        <v>Open</v>
      </c>
      <c r="AT274" s="105"/>
    </row>
    <row r="275" spans="1:46" s="78" customFormat="1" ht="19.5" customHeight="1" x14ac:dyDescent="0.25">
      <c r="A275" s="208">
        <f t="shared" si="4"/>
        <v>54.2</v>
      </c>
      <c r="B275" s="208">
        <f>YEAR(Data_NFI_t[[#This Row],[Distribution Date]])</f>
        <v>2013</v>
      </c>
      <c r="C275" s="744">
        <v>41564</v>
      </c>
      <c r="D275" s="402" t="s">
        <v>270</v>
      </c>
      <c r="E275" s="401" t="s">
        <v>270</v>
      </c>
      <c r="F275" s="402" t="s">
        <v>7</v>
      </c>
      <c r="G275" s="670" t="s">
        <v>17</v>
      </c>
      <c r="H275" s="670" t="s">
        <v>590</v>
      </c>
      <c r="I275" s="670"/>
      <c r="J275" s="670"/>
      <c r="K275" s="670"/>
      <c r="L275" s="42"/>
      <c r="M275" s="42"/>
      <c r="N275" s="42"/>
      <c r="O275" s="42"/>
      <c r="P275" s="42"/>
      <c r="Q275" s="42"/>
      <c r="R275" s="42">
        <v>631</v>
      </c>
      <c r="S275" s="42"/>
      <c r="T275" s="419"/>
      <c r="U275" s="42"/>
      <c r="V275" s="42"/>
      <c r="W275" s="42"/>
      <c r="X275" s="42"/>
      <c r="Y275" s="42"/>
      <c r="Z275" s="42"/>
      <c r="AA275" s="42"/>
      <c r="AB275" s="42"/>
      <c r="AC275" s="105">
        <f>IF(NFI_Expiration=1,IF($A275&lt;VLOOKUP(I$5,NFI,5,0),1,0)*Data_NFI_t[[#This Row],[Hygiene Kit]],0)</f>
        <v>0</v>
      </c>
      <c r="AD275" s="105">
        <f>IF(NFI_Expiration=1,IF($A275&lt;VLOOKUP(L$5,NFI,5,0),1,0)*Data_NFI_t[[#This Row],[NFI Core Kit]],0)</f>
        <v>0</v>
      </c>
      <c r="AE275" s="86">
        <f>IF(NFI_Expiration=1,IF($A275&lt;VLOOKUP(M$5,NFI,5,0),1,0)*Data_NFI_t[[#This Row],[Sanitary Kit]],0)</f>
        <v>0</v>
      </c>
      <c r="AF275" s="86">
        <f>IF(NFI_Expiration=1,IF($A275&lt;VLOOKUP(N$5,NFI,5,0),1,0)*Data_NFI_t[[#This Row],[Mosquito net]],0)</f>
        <v>0</v>
      </c>
      <c r="AG275" s="86">
        <f>IF(NFI_Expiration=1,IF($A275&lt;VLOOKUP(O$5,NFI,5,0),1,0)*Data_NFI_t[[#This Row],[Tarpaulin]],0)</f>
        <v>0</v>
      </c>
      <c r="AH275" s="86">
        <f>IF(NFI_Expiration=1,IF($A275&lt;VLOOKUP(P$5,NFI,5,0),1,0)*Data_NFI_t[[#This Row],[Blanket]],0)</f>
        <v>0</v>
      </c>
      <c r="AI275" s="86">
        <f>IF(NFI_Expiration=1,IF($A275&lt;VLOOKUP(Q$5,NFI,5,0),1,0)*Data_NFI_t[[#This Row],[Kitchen Set]],0)</f>
        <v>0</v>
      </c>
      <c r="AJ275" s="86">
        <f>IF(NFI_Expiration=1,IF($A275&lt;VLOOKUP(R$5,NFI,5,0),1,0)*Data_NFI_t[[#This Row],[Complementary Kit]],0)</f>
        <v>0</v>
      </c>
      <c r="AK275" s="86">
        <f>IF(NFI_Expiration=1,IF($A275&lt;VLOOKUP(S$5,NFI,5,0),1,0)*Data_NFI_t[[#This Row],[Plastic Bucket]],0)</f>
        <v>0</v>
      </c>
      <c r="AL275" s="86">
        <f>IF(NFI_Expiration=1,IF($A275&lt;VLOOKUP(T$5,NFI,5,0),1,0)*Data_NFI_t[[#This Row],[Jerry Can]],0)</f>
        <v>0</v>
      </c>
      <c r="AM275" s="105">
        <f>IF(NFI_Expiration=1,IF($A275&lt;VLOOKUP(U$5,NFI,5,0),1,0)*Data_NFI_t[[#This Row],[Plastic Mat]],0)*IF(Data_NFI_t[[#This Row],[Distribution Date]]&gt;"01-06-2015",1,2.5)</f>
        <v>0</v>
      </c>
      <c r="AN275" s="734">
        <f>IF(NFI_Expiration=1,IF($A275&lt;VLOOKUP(V$5,NFI,5,0),1,0)*Data_NFI_t[[#This Row],[Adult Clothes]],0)</f>
        <v>0</v>
      </c>
      <c r="AO275" s="105">
        <f>IF(NFI_Expiration=1,IF($A275&lt;VLOOKUP(W$5,NFI,5,0),1,0)*Data_NFI_t[[#This Row],[Children Clothes]],0)</f>
        <v>0</v>
      </c>
      <c r="AP275" s="105">
        <f>IF(NFI_Expiration=1,IF($A275&lt;VLOOKUP(X$5,NFI,5,0),1,0)*Data_NFI_t[[#This Row],[Sewing Kit]],0)</f>
        <v>0</v>
      </c>
      <c r="AQ275" s="734">
        <f>IF(NFI_Expiration=1,IF($A275&lt;VLOOKUP(X$5,NFI,5,0),1,0)*Data_NFI_t[[#This Row],[Solar Lantern]],0)</f>
        <v>0</v>
      </c>
      <c r="AR275" s="105" t="str">
        <f ca="1">IFERROR(OFFSET(Camp_List[P_Code],MATCH(Data_NFI_t[[#This Row],[Camp Name]],Camp_List[Camp Name],0)-1,0,1,1),"")</f>
        <v>MMR012CMP111</v>
      </c>
      <c r="AS275" s="421" t="str">
        <f ca="1">IFERROR(OFFSET(Camp_List[Status],MATCH(Data_NFI_t[[#This Row],[Camp Name]],Camp_List[Camp Name],0)-1,0,1,1),"")</f>
        <v>Relocated</v>
      </c>
      <c r="AT275" s="105"/>
    </row>
    <row r="276" spans="1:46" s="78" customFormat="1" ht="19.5" customHeight="1" x14ac:dyDescent="0.25">
      <c r="A276" s="208">
        <f t="shared" si="4"/>
        <v>55.133333333333333</v>
      </c>
      <c r="B276" s="208">
        <f>YEAR(Data_NFI_t[[#This Row],[Distribution Date]])</f>
        <v>2013</v>
      </c>
      <c r="C276" s="744">
        <v>41536</v>
      </c>
      <c r="D276" s="402" t="s">
        <v>270</v>
      </c>
      <c r="E276" s="401" t="s">
        <v>270</v>
      </c>
      <c r="F276" s="402" t="s">
        <v>7</v>
      </c>
      <c r="G276" s="670" t="s">
        <v>13</v>
      </c>
      <c r="H276" s="670" t="s">
        <v>37</v>
      </c>
      <c r="I276" s="670"/>
      <c r="J276" s="670"/>
      <c r="K276" s="670"/>
      <c r="L276" s="42"/>
      <c r="M276" s="42"/>
      <c r="N276" s="42">
        <v>42</v>
      </c>
      <c r="O276" s="42"/>
      <c r="P276" s="42">
        <v>42</v>
      </c>
      <c r="Q276" s="42">
        <v>21</v>
      </c>
      <c r="R276" s="42">
        <v>21</v>
      </c>
      <c r="S276" s="42">
        <v>21</v>
      </c>
      <c r="T276" s="419"/>
      <c r="U276" s="42">
        <v>42</v>
      </c>
      <c r="V276" s="42"/>
      <c r="W276" s="42"/>
      <c r="X276" s="42"/>
      <c r="Y276" s="42"/>
      <c r="Z276" s="42"/>
      <c r="AA276" s="42"/>
      <c r="AB276" s="42"/>
      <c r="AC276" s="105">
        <f>IF(NFI_Expiration=1,IF($A276&lt;VLOOKUP(I$5,NFI,5,0),1,0)*Data_NFI_t[[#This Row],[Hygiene Kit]],0)</f>
        <v>0</v>
      </c>
      <c r="AD276" s="105">
        <f>IF(NFI_Expiration=1,IF($A276&lt;VLOOKUP(L$5,NFI,5,0),1,0)*Data_NFI_t[[#This Row],[NFI Core Kit]],0)</f>
        <v>0</v>
      </c>
      <c r="AE276" s="86">
        <f>IF(NFI_Expiration=1,IF($A276&lt;VLOOKUP(M$5,NFI,5,0),1,0)*Data_NFI_t[[#This Row],[Sanitary Kit]],0)</f>
        <v>0</v>
      </c>
      <c r="AF276" s="86">
        <f>IF(NFI_Expiration=1,IF($A276&lt;VLOOKUP(N$5,NFI,5,0),1,0)*Data_NFI_t[[#This Row],[Mosquito net]],0)</f>
        <v>0</v>
      </c>
      <c r="AG276" s="86">
        <f>IF(NFI_Expiration=1,IF($A276&lt;VLOOKUP(O$5,NFI,5,0),1,0)*Data_NFI_t[[#This Row],[Tarpaulin]],0)</f>
        <v>0</v>
      </c>
      <c r="AH276" s="86">
        <f>IF(NFI_Expiration=1,IF($A276&lt;VLOOKUP(P$5,NFI,5,0),1,0)*Data_NFI_t[[#This Row],[Blanket]],0)</f>
        <v>0</v>
      </c>
      <c r="AI276" s="86">
        <f>IF(NFI_Expiration=1,IF($A276&lt;VLOOKUP(Q$5,NFI,5,0),1,0)*Data_NFI_t[[#This Row],[Kitchen Set]],0)</f>
        <v>0</v>
      </c>
      <c r="AJ276" s="86">
        <f>IF(NFI_Expiration=1,IF($A276&lt;VLOOKUP(R$5,NFI,5,0),1,0)*Data_NFI_t[[#This Row],[Complementary Kit]],0)</f>
        <v>0</v>
      </c>
      <c r="AK276" s="86">
        <f>IF(NFI_Expiration=1,IF($A276&lt;VLOOKUP(S$5,NFI,5,0),1,0)*Data_NFI_t[[#This Row],[Plastic Bucket]],0)</f>
        <v>0</v>
      </c>
      <c r="AL276" s="86">
        <f>IF(NFI_Expiration=1,IF($A276&lt;VLOOKUP(T$5,NFI,5,0),1,0)*Data_NFI_t[[#This Row],[Jerry Can]],0)</f>
        <v>0</v>
      </c>
      <c r="AM276" s="105">
        <f>IF(NFI_Expiration=1,IF($A276&lt;VLOOKUP(U$5,NFI,5,0),1,0)*Data_NFI_t[[#This Row],[Plastic Mat]],0)*IF(Data_NFI_t[[#This Row],[Distribution Date]]&gt;"01-06-2015",1,2.5)</f>
        <v>0</v>
      </c>
      <c r="AN276" s="734">
        <f>IF(NFI_Expiration=1,IF($A276&lt;VLOOKUP(V$5,NFI,5,0),1,0)*Data_NFI_t[[#This Row],[Adult Clothes]],0)</f>
        <v>0</v>
      </c>
      <c r="AO276" s="105">
        <f>IF(NFI_Expiration=1,IF($A276&lt;VLOOKUP(W$5,NFI,5,0),1,0)*Data_NFI_t[[#This Row],[Children Clothes]],0)</f>
        <v>0</v>
      </c>
      <c r="AP276" s="105">
        <f>IF(NFI_Expiration=1,IF($A276&lt;VLOOKUP(X$5,NFI,5,0),1,0)*Data_NFI_t[[#This Row],[Sewing Kit]],0)</f>
        <v>0</v>
      </c>
      <c r="AQ276" s="734">
        <f>IF(NFI_Expiration=1,IF($A276&lt;VLOOKUP(X$5,NFI,5,0),1,0)*Data_NFI_t[[#This Row],[Solar Lantern]],0)</f>
        <v>0</v>
      </c>
      <c r="AR276" s="105" t="str">
        <f ca="1">IFERROR(OFFSET(Camp_List[P_Code],MATCH(Data_NFI_t[[#This Row],[Camp Name]],Camp_List[Camp Name],0)-1,0,1,1),"")</f>
        <v>MMR012CMP015</v>
      </c>
      <c r="AS276" s="421" t="str">
        <f ca="1">IFERROR(OFFSET(Camp_List[Status],MATCH(Data_NFI_t[[#This Row],[Camp Name]],Camp_List[Camp Name],0)-1,0,1,1),"")</f>
        <v>Relocated</v>
      </c>
      <c r="AT276" s="105"/>
    </row>
    <row r="277" spans="1:46" s="78" customFormat="1" ht="19.5" customHeight="1" x14ac:dyDescent="0.25">
      <c r="A277" s="208">
        <f t="shared" si="4"/>
        <v>55.166666666666664</v>
      </c>
      <c r="B277" s="208">
        <f>YEAR(Data_NFI_t[[#This Row],[Distribution Date]])</f>
        <v>2013</v>
      </c>
      <c r="C277" s="744">
        <v>41535</v>
      </c>
      <c r="D277" s="402" t="s">
        <v>270</v>
      </c>
      <c r="E277" s="401" t="s">
        <v>270</v>
      </c>
      <c r="F277" s="402" t="s">
        <v>7</v>
      </c>
      <c r="G277" s="670" t="s">
        <v>13</v>
      </c>
      <c r="H277" s="670" t="s">
        <v>40</v>
      </c>
      <c r="I277" s="670"/>
      <c r="J277" s="670"/>
      <c r="K277" s="670"/>
      <c r="L277" s="42"/>
      <c r="M277" s="42"/>
      <c r="N277" s="42">
        <v>2658</v>
      </c>
      <c r="O277" s="42">
        <v>940</v>
      </c>
      <c r="P277" s="42">
        <v>1880</v>
      </c>
      <c r="Q277" s="42">
        <v>940</v>
      </c>
      <c r="R277" s="42">
        <v>1718</v>
      </c>
      <c r="S277" s="42">
        <v>940</v>
      </c>
      <c r="T277" s="419"/>
      <c r="U277" s="42">
        <v>1880</v>
      </c>
      <c r="V277" s="42"/>
      <c r="W277" s="42"/>
      <c r="X277" s="42"/>
      <c r="Y277" s="42"/>
      <c r="Z277" s="42"/>
      <c r="AA277" s="42"/>
      <c r="AB277" s="42"/>
      <c r="AC277" s="105">
        <f>IF(NFI_Expiration=1,IF($A277&lt;VLOOKUP(I$5,NFI,5,0),1,0)*Data_NFI_t[[#This Row],[Hygiene Kit]],0)</f>
        <v>0</v>
      </c>
      <c r="AD277" s="105">
        <f>IF(NFI_Expiration=1,IF($A277&lt;VLOOKUP(L$5,NFI,5,0),1,0)*Data_NFI_t[[#This Row],[NFI Core Kit]],0)</f>
        <v>0</v>
      </c>
      <c r="AE277" s="86">
        <f>IF(NFI_Expiration=1,IF($A277&lt;VLOOKUP(M$5,NFI,5,0),1,0)*Data_NFI_t[[#This Row],[Sanitary Kit]],0)</f>
        <v>0</v>
      </c>
      <c r="AF277" s="86">
        <f>IF(NFI_Expiration=1,IF($A277&lt;VLOOKUP(N$5,NFI,5,0),1,0)*Data_NFI_t[[#This Row],[Mosquito net]],0)</f>
        <v>0</v>
      </c>
      <c r="AG277" s="86">
        <f>IF(NFI_Expiration=1,IF($A277&lt;VLOOKUP(O$5,NFI,5,0),1,0)*Data_NFI_t[[#This Row],[Tarpaulin]],0)</f>
        <v>0</v>
      </c>
      <c r="AH277" s="86">
        <f>IF(NFI_Expiration=1,IF($A277&lt;VLOOKUP(P$5,NFI,5,0),1,0)*Data_NFI_t[[#This Row],[Blanket]],0)</f>
        <v>0</v>
      </c>
      <c r="AI277" s="86">
        <f>IF(NFI_Expiration=1,IF($A277&lt;VLOOKUP(Q$5,NFI,5,0),1,0)*Data_NFI_t[[#This Row],[Kitchen Set]],0)</f>
        <v>0</v>
      </c>
      <c r="AJ277" s="86">
        <f>IF(NFI_Expiration=1,IF($A277&lt;VLOOKUP(R$5,NFI,5,0),1,0)*Data_NFI_t[[#This Row],[Complementary Kit]],0)</f>
        <v>0</v>
      </c>
      <c r="AK277" s="86">
        <f>IF(NFI_Expiration=1,IF($A277&lt;VLOOKUP(S$5,NFI,5,0),1,0)*Data_NFI_t[[#This Row],[Plastic Bucket]],0)</f>
        <v>0</v>
      </c>
      <c r="AL277" s="86">
        <f>IF(NFI_Expiration=1,IF($A277&lt;VLOOKUP(T$5,NFI,5,0),1,0)*Data_NFI_t[[#This Row],[Jerry Can]],0)</f>
        <v>0</v>
      </c>
      <c r="AM277" s="105">
        <f>IF(NFI_Expiration=1,IF($A277&lt;VLOOKUP(U$5,NFI,5,0),1,0)*Data_NFI_t[[#This Row],[Plastic Mat]],0)*IF(Data_NFI_t[[#This Row],[Distribution Date]]&gt;"01-06-2015",1,2.5)</f>
        <v>0</v>
      </c>
      <c r="AN277" s="734">
        <f>IF(NFI_Expiration=1,IF($A277&lt;VLOOKUP(V$5,NFI,5,0),1,0)*Data_NFI_t[[#This Row],[Adult Clothes]],0)</f>
        <v>0</v>
      </c>
      <c r="AO277" s="105">
        <f>IF(NFI_Expiration=1,IF($A277&lt;VLOOKUP(W$5,NFI,5,0),1,0)*Data_NFI_t[[#This Row],[Children Clothes]],0)</f>
        <v>0</v>
      </c>
      <c r="AP277" s="105">
        <f>IF(NFI_Expiration=1,IF($A277&lt;VLOOKUP(X$5,NFI,5,0),1,0)*Data_NFI_t[[#This Row],[Sewing Kit]],0)</f>
        <v>0</v>
      </c>
      <c r="AQ277" s="734">
        <f>IF(NFI_Expiration=1,IF($A277&lt;VLOOKUP(X$5,NFI,5,0),1,0)*Data_NFI_t[[#This Row],[Solar Lantern]],0)</f>
        <v>0</v>
      </c>
      <c r="AR277" s="105" t="str">
        <f ca="1">IFERROR(OFFSET(Camp_List[P_Code],MATCH(Data_NFI_t[[#This Row],[Camp Name]],Camp_List[Camp Name],0)-1,0,1,1),"")</f>
        <v>MMR012CMP018</v>
      </c>
      <c r="AS277" s="421" t="str">
        <f ca="1">IFERROR(OFFSET(Camp_List[Status],MATCH(Data_NFI_t[[#This Row],[Camp Name]],Camp_List[Camp Name],0)-1,0,1,1),"")</f>
        <v>Open</v>
      </c>
      <c r="AT277" s="105"/>
    </row>
    <row r="278" spans="1:46" s="78" customFormat="1" ht="19.5" customHeight="1" x14ac:dyDescent="0.25">
      <c r="A278" s="208">
        <f t="shared" si="4"/>
        <v>55.366666666666667</v>
      </c>
      <c r="B278" s="208">
        <f>YEAR(Data_NFI_t[[#This Row],[Distribution Date]])</f>
        <v>2013</v>
      </c>
      <c r="C278" s="744">
        <v>41529</v>
      </c>
      <c r="D278" s="402" t="s">
        <v>270</v>
      </c>
      <c r="E278" s="401" t="s">
        <v>270</v>
      </c>
      <c r="F278" s="402" t="s">
        <v>7</v>
      </c>
      <c r="G278" s="670" t="s">
        <v>941</v>
      </c>
      <c r="H278" s="670" t="s">
        <v>578</v>
      </c>
      <c r="I278" s="670"/>
      <c r="J278" s="670"/>
      <c r="K278" s="670"/>
      <c r="L278" s="42"/>
      <c r="M278" s="42"/>
      <c r="N278" s="42">
        <v>62</v>
      </c>
      <c r="O278" s="42"/>
      <c r="P278" s="42">
        <v>62</v>
      </c>
      <c r="Q278" s="42">
        <v>31</v>
      </c>
      <c r="R278" s="42">
        <v>31</v>
      </c>
      <c r="S278" s="42">
        <v>31</v>
      </c>
      <c r="T278" s="419"/>
      <c r="U278" s="42">
        <v>62</v>
      </c>
      <c r="V278" s="42"/>
      <c r="W278" s="42"/>
      <c r="X278" s="42"/>
      <c r="Y278" s="42"/>
      <c r="Z278" s="42"/>
      <c r="AA278" s="42"/>
      <c r="AB278" s="42"/>
      <c r="AC278" s="105">
        <f>IF(NFI_Expiration=1,IF($A278&lt;VLOOKUP(I$5,NFI,5,0),1,0)*Data_NFI_t[[#This Row],[Hygiene Kit]],0)</f>
        <v>0</v>
      </c>
      <c r="AD278" s="105">
        <f>IF(NFI_Expiration=1,IF($A278&lt;VLOOKUP(L$5,NFI,5,0),1,0)*Data_NFI_t[[#This Row],[NFI Core Kit]],0)</f>
        <v>0</v>
      </c>
      <c r="AE278" s="86">
        <f>IF(NFI_Expiration=1,IF($A278&lt;VLOOKUP(M$5,NFI,5,0),1,0)*Data_NFI_t[[#This Row],[Sanitary Kit]],0)</f>
        <v>0</v>
      </c>
      <c r="AF278" s="86">
        <f>IF(NFI_Expiration=1,IF($A278&lt;VLOOKUP(N$5,NFI,5,0),1,0)*Data_NFI_t[[#This Row],[Mosquito net]],0)</f>
        <v>0</v>
      </c>
      <c r="AG278" s="86">
        <f>IF(NFI_Expiration=1,IF($A278&lt;VLOOKUP(O$5,NFI,5,0),1,0)*Data_NFI_t[[#This Row],[Tarpaulin]],0)</f>
        <v>0</v>
      </c>
      <c r="AH278" s="86">
        <f>IF(NFI_Expiration=1,IF($A278&lt;VLOOKUP(P$5,NFI,5,0),1,0)*Data_NFI_t[[#This Row],[Blanket]],0)</f>
        <v>0</v>
      </c>
      <c r="AI278" s="86">
        <f>IF(NFI_Expiration=1,IF($A278&lt;VLOOKUP(Q$5,NFI,5,0),1,0)*Data_NFI_t[[#This Row],[Kitchen Set]],0)</f>
        <v>0</v>
      </c>
      <c r="AJ278" s="86">
        <f>IF(NFI_Expiration=1,IF($A278&lt;VLOOKUP(R$5,NFI,5,0),1,0)*Data_NFI_t[[#This Row],[Complementary Kit]],0)</f>
        <v>0</v>
      </c>
      <c r="AK278" s="86">
        <f>IF(NFI_Expiration=1,IF($A278&lt;VLOOKUP(S$5,NFI,5,0),1,0)*Data_NFI_t[[#This Row],[Plastic Bucket]],0)</f>
        <v>0</v>
      </c>
      <c r="AL278" s="86">
        <f>IF(NFI_Expiration=1,IF($A278&lt;VLOOKUP(T$5,NFI,5,0),1,0)*Data_NFI_t[[#This Row],[Jerry Can]],0)</f>
        <v>0</v>
      </c>
      <c r="AM278" s="105">
        <f>IF(NFI_Expiration=1,IF($A278&lt;VLOOKUP(U$5,NFI,5,0),1,0)*Data_NFI_t[[#This Row],[Plastic Mat]],0)*IF(Data_NFI_t[[#This Row],[Distribution Date]]&gt;"01-06-2015",1,2.5)</f>
        <v>0</v>
      </c>
      <c r="AN278" s="734">
        <f>IF(NFI_Expiration=1,IF($A278&lt;VLOOKUP(V$5,NFI,5,0),1,0)*Data_NFI_t[[#This Row],[Adult Clothes]],0)</f>
        <v>0</v>
      </c>
      <c r="AO278" s="105">
        <f>IF(NFI_Expiration=1,IF($A278&lt;VLOOKUP(W$5,NFI,5,0),1,0)*Data_NFI_t[[#This Row],[Children Clothes]],0)</f>
        <v>0</v>
      </c>
      <c r="AP278" s="105">
        <f>IF(NFI_Expiration=1,IF($A278&lt;VLOOKUP(X$5,NFI,5,0),1,0)*Data_NFI_t[[#This Row],[Sewing Kit]],0)</f>
        <v>0</v>
      </c>
      <c r="AQ278" s="734">
        <f>IF(NFI_Expiration=1,IF($A278&lt;VLOOKUP(X$5,NFI,5,0),1,0)*Data_NFI_t[[#This Row],[Solar Lantern]],0)</f>
        <v>0</v>
      </c>
      <c r="AR278" s="105" t="str">
        <f ca="1">IFERROR(OFFSET(Camp_List[P_Code],MATCH(Data_NFI_t[[#This Row],[Camp Name]],Camp_List[Camp Name],0)-1,0,1,1),"")</f>
        <v>MMR012CMP117</v>
      </c>
      <c r="AS278" s="421" t="str">
        <f ca="1">IFERROR(OFFSET(Camp_List[Status],MATCH(Data_NFI_t[[#This Row],[Camp Name]],Camp_List[Camp Name],0)-1,0,1,1),"")</f>
        <v>Relocated</v>
      </c>
      <c r="AT278" s="105"/>
    </row>
    <row r="279" spans="1:46" s="78" customFormat="1" ht="19.5" customHeight="1" x14ac:dyDescent="0.25">
      <c r="A279" s="208">
        <f t="shared" si="4"/>
        <v>55.9</v>
      </c>
      <c r="B279" s="208">
        <f>YEAR(Data_NFI_t[[#This Row],[Distribution Date]])</f>
        <v>2013</v>
      </c>
      <c r="C279" s="744">
        <v>41513</v>
      </c>
      <c r="D279" s="402" t="s">
        <v>270</v>
      </c>
      <c r="E279" s="401" t="s">
        <v>270</v>
      </c>
      <c r="F279" s="402" t="s">
        <v>7</v>
      </c>
      <c r="G279" s="670" t="s">
        <v>13</v>
      </c>
      <c r="H279" s="670" t="s">
        <v>38</v>
      </c>
      <c r="I279" s="670"/>
      <c r="J279" s="670"/>
      <c r="K279" s="670"/>
      <c r="L279" s="42"/>
      <c r="M279" s="42"/>
      <c r="N279" s="42">
        <v>1652</v>
      </c>
      <c r="O279" s="42">
        <v>99</v>
      </c>
      <c r="P279" s="42">
        <v>1652</v>
      </c>
      <c r="Q279" s="42">
        <v>826</v>
      </c>
      <c r="R279" s="42">
        <v>826</v>
      </c>
      <c r="S279" s="42">
        <v>826</v>
      </c>
      <c r="T279" s="419"/>
      <c r="U279" s="42">
        <v>1652</v>
      </c>
      <c r="V279" s="42"/>
      <c r="W279" s="42"/>
      <c r="X279" s="42"/>
      <c r="Y279" s="42"/>
      <c r="Z279" s="42"/>
      <c r="AA279" s="42"/>
      <c r="AB279" s="42"/>
      <c r="AC279" s="105">
        <f>IF(NFI_Expiration=1,IF($A279&lt;VLOOKUP(I$5,NFI,5,0),1,0)*Data_NFI_t[[#This Row],[Hygiene Kit]],0)</f>
        <v>0</v>
      </c>
      <c r="AD279" s="105">
        <f>IF(NFI_Expiration=1,IF($A279&lt;VLOOKUP(L$5,NFI,5,0),1,0)*Data_NFI_t[[#This Row],[NFI Core Kit]],0)</f>
        <v>0</v>
      </c>
      <c r="AE279" s="86">
        <f>IF(NFI_Expiration=1,IF($A279&lt;VLOOKUP(M$5,NFI,5,0),1,0)*Data_NFI_t[[#This Row],[Sanitary Kit]],0)</f>
        <v>0</v>
      </c>
      <c r="AF279" s="86">
        <f>IF(NFI_Expiration=1,IF($A279&lt;VLOOKUP(N$5,NFI,5,0),1,0)*Data_NFI_t[[#This Row],[Mosquito net]],0)</f>
        <v>0</v>
      </c>
      <c r="AG279" s="86">
        <f>IF(NFI_Expiration=1,IF($A279&lt;VLOOKUP(O$5,NFI,5,0),1,0)*Data_NFI_t[[#This Row],[Tarpaulin]],0)</f>
        <v>0</v>
      </c>
      <c r="AH279" s="86">
        <f>IF(NFI_Expiration=1,IF($A279&lt;VLOOKUP(P$5,NFI,5,0),1,0)*Data_NFI_t[[#This Row],[Blanket]],0)</f>
        <v>0</v>
      </c>
      <c r="AI279" s="86">
        <f>IF(NFI_Expiration=1,IF($A279&lt;VLOOKUP(Q$5,NFI,5,0),1,0)*Data_NFI_t[[#This Row],[Kitchen Set]],0)</f>
        <v>0</v>
      </c>
      <c r="AJ279" s="86">
        <f>IF(NFI_Expiration=1,IF($A279&lt;VLOOKUP(R$5,NFI,5,0),1,0)*Data_NFI_t[[#This Row],[Complementary Kit]],0)</f>
        <v>0</v>
      </c>
      <c r="AK279" s="86">
        <f>IF(NFI_Expiration=1,IF($A279&lt;VLOOKUP(S$5,NFI,5,0),1,0)*Data_NFI_t[[#This Row],[Plastic Bucket]],0)</f>
        <v>0</v>
      </c>
      <c r="AL279" s="86">
        <f>IF(NFI_Expiration=1,IF($A279&lt;VLOOKUP(T$5,NFI,5,0),1,0)*Data_NFI_t[[#This Row],[Jerry Can]],0)</f>
        <v>0</v>
      </c>
      <c r="AM279" s="105">
        <f>IF(NFI_Expiration=1,IF($A279&lt;VLOOKUP(U$5,NFI,5,0),1,0)*Data_NFI_t[[#This Row],[Plastic Mat]],0)*IF(Data_NFI_t[[#This Row],[Distribution Date]]&gt;"01-06-2015",1,2.5)</f>
        <v>0</v>
      </c>
      <c r="AN279" s="734">
        <f>IF(NFI_Expiration=1,IF($A279&lt;VLOOKUP(V$5,NFI,5,0),1,0)*Data_NFI_t[[#This Row],[Adult Clothes]],0)</f>
        <v>0</v>
      </c>
      <c r="AO279" s="105">
        <f>IF(NFI_Expiration=1,IF($A279&lt;VLOOKUP(W$5,NFI,5,0),1,0)*Data_NFI_t[[#This Row],[Children Clothes]],0)</f>
        <v>0</v>
      </c>
      <c r="AP279" s="105">
        <f>IF(NFI_Expiration=1,IF($A279&lt;VLOOKUP(X$5,NFI,5,0),1,0)*Data_NFI_t[[#This Row],[Sewing Kit]],0)</f>
        <v>0</v>
      </c>
      <c r="AQ279" s="734">
        <f>IF(NFI_Expiration=1,IF($A279&lt;VLOOKUP(X$5,NFI,5,0),1,0)*Data_NFI_t[[#This Row],[Solar Lantern]],0)</f>
        <v>0</v>
      </c>
      <c r="AR279" s="105" t="str">
        <f ca="1">IFERROR(OFFSET(Camp_List[P_Code],MATCH(Data_NFI_t[[#This Row],[Camp Name]],Camp_List[Camp Name],0)-1,0,1,1),"")</f>
        <v>MMR012CMP016</v>
      </c>
      <c r="AS279" s="421" t="str">
        <f ca="1">IFERROR(OFFSET(Camp_List[Status],MATCH(Data_NFI_t[[#This Row],[Camp Name]],Camp_List[Camp Name],0)-1,0,1,1),"")</f>
        <v>Open</v>
      </c>
      <c r="AT279" s="105"/>
    </row>
    <row r="280" spans="1:46" s="78" customFormat="1" ht="19.5" customHeight="1" x14ac:dyDescent="0.25">
      <c r="A280" s="208">
        <f t="shared" si="4"/>
        <v>56.366666666666667</v>
      </c>
      <c r="B280" s="208">
        <f>YEAR(Data_NFI_t[[#This Row],[Distribution Date]])</f>
        <v>2013</v>
      </c>
      <c r="C280" s="744">
        <v>41499</v>
      </c>
      <c r="D280" s="402" t="s">
        <v>270</v>
      </c>
      <c r="E280" s="401" t="s">
        <v>270</v>
      </c>
      <c r="F280" s="402" t="s">
        <v>7</v>
      </c>
      <c r="G280" s="670" t="s">
        <v>13</v>
      </c>
      <c r="H280" s="670" t="s">
        <v>39</v>
      </c>
      <c r="I280" s="670"/>
      <c r="J280" s="670"/>
      <c r="K280" s="670"/>
      <c r="L280" s="42"/>
      <c r="M280" s="42"/>
      <c r="N280" s="42">
        <v>0</v>
      </c>
      <c r="O280" s="42">
        <v>203</v>
      </c>
      <c r="P280" s="42">
        <v>0</v>
      </c>
      <c r="Q280" s="42"/>
      <c r="R280" s="42"/>
      <c r="S280" s="42"/>
      <c r="T280" s="419"/>
      <c r="U280" s="42">
        <v>448</v>
      </c>
      <c r="V280" s="42"/>
      <c r="W280" s="42"/>
      <c r="X280" s="42"/>
      <c r="Y280" s="42"/>
      <c r="Z280" s="42"/>
      <c r="AA280" s="42"/>
      <c r="AB280" s="42"/>
      <c r="AC280" s="105">
        <f>IF(NFI_Expiration=1,IF($A280&lt;VLOOKUP(I$5,NFI,5,0),1,0)*Data_NFI_t[[#This Row],[Hygiene Kit]],0)</f>
        <v>0</v>
      </c>
      <c r="AD280" s="105">
        <f>IF(NFI_Expiration=1,IF($A280&lt;VLOOKUP(L$5,NFI,5,0),1,0)*Data_NFI_t[[#This Row],[NFI Core Kit]],0)</f>
        <v>0</v>
      </c>
      <c r="AE280" s="86">
        <f>IF(NFI_Expiration=1,IF($A280&lt;VLOOKUP(M$5,NFI,5,0),1,0)*Data_NFI_t[[#This Row],[Sanitary Kit]],0)</f>
        <v>0</v>
      </c>
      <c r="AF280" s="86">
        <f>IF(NFI_Expiration=1,IF($A280&lt;VLOOKUP(N$5,NFI,5,0),1,0)*Data_NFI_t[[#This Row],[Mosquito net]],0)</f>
        <v>0</v>
      </c>
      <c r="AG280" s="86">
        <f>IF(NFI_Expiration=1,IF($A280&lt;VLOOKUP(O$5,NFI,5,0),1,0)*Data_NFI_t[[#This Row],[Tarpaulin]],0)</f>
        <v>0</v>
      </c>
      <c r="AH280" s="86">
        <f>IF(NFI_Expiration=1,IF($A280&lt;VLOOKUP(P$5,NFI,5,0),1,0)*Data_NFI_t[[#This Row],[Blanket]],0)</f>
        <v>0</v>
      </c>
      <c r="AI280" s="86">
        <f>IF(NFI_Expiration=1,IF($A280&lt;VLOOKUP(Q$5,NFI,5,0),1,0)*Data_NFI_t[[#This Row],[Kitchen Set]],0)</f>
        <v>0</v>
      </c>
      <c r="AJ280" s="86">
        <f>IF(NFI_Expiration=1,IF($A280&lt;VLOOKUP(R$5,NFI,5,0),1,0)*Data_NFI_t[[#This Row],[Complementary Kit]],0)</f>
        <v>0</v>
      </c>
      <c r="AK280" s="86">
        <f>IF(NFI_Expiration=1,IF($A280&lt;VLOOKUP(S$5,NFI,5,0),1,0)*Data_NFI_t[[#This Row],[Plastic Bucket]],0)</f>
        <v>0</v>
      </c>
      <c r="AL280" s="86">
        <f>IF(NFI_Expiration=1,IF($A280&lt;VLOOKUP(T$5,NFI,5,0),1,0)*Data_NFI_t[[#This Row],[Jerry Can]],0)</f>
        <v>0</v>
      </c>
      <c r="AM280" s="105">
        <f>IF(NFI_Expiration=1,IF($A280&lt;VLOOKUP(U$5,NFI,5,0),1,0)*Data_NFI_t[[#This Row],[Plastic Mat]],0)*IF(Data_NFI_t[[#This Row],[Distribution Date]]&gt;"01-06-2015",1,2.5)</f>
        <v>0</v>
      </c>
      <c r="AN280" s="734">
        <f>IF(NFI_Expiration=1,IF($A280&lt;VLOOKUP(V$5,NFI,5,0),1,0)*Data_NFI_t[[#This Row],[Adult Clothes]],0)</f>
        <v>0</v>
      </c>
      <c r="AO280" s="105">
        <f>IF(NFI_Expiration=1,IF($A280&lt;VLOOKUP(W$5,NFI,5,0),1,0)*Data_NFI_t[[#This Row],[Children Clothes]],0)</f>
        <v>0</v>
      </c>
      <c r="AP280" s="105">
        <f>IF(NFI_Expiration=1,IF($A280&lt;VLOOKUP(X$5,NFI,5,0),1,0)*Data_NFI_t[[#This Row],[Sewing Kit]],0)</f>
        <v>0</v>
      </c>
      <c r="AQ280" s="734">
        <f>IF(NFI_Expiration=1,IF($A280&lt;VLOOKUP(X$5,NFI,5,0),1,0)*Data_NFI_t[[#This Row],[Solar Lantern]],0)</f>
        <v>0</v>
      </c>
      <c r="AR280" s="105" t="str">
        <f ca="1">IFERROR(OFFSET(Camp_List[P_Code],MATCH(Data_NFI_t[[#This Row],[Camp Name]],Camp_List[Camp Name],0)-1,0,1,1),"")</f>
        <v/>
      </c>
      <c r="AS280" s="421" t="str">
        <f ca="1">IFERROR(OFFSET(Camp_List[Status],MATCH(Data_NFI_t[[#This Row],[Camp Name]],Camp_List[Camp Name],0)-1,0,1,1),"")</f>
        <v/>
      </c>
      <c r="AT280" s="105"/>
    </row>
    <row r="281" spans="1:46" s="78" customFormat="1" ht="19.5" customHeight="1" x14ac:dyDescent="0.25">
      <c r="A281" s="208">
        <f t="shared" si="4"/>
        <v>56.533333333333331</v>
      </c>
      <c r="B281" s="208">
        <f>YEAR(Data_NFI_t[[#This Row],[Distribution Date]])</f>
        <v>2013</v>
      </c>
      <c r="C281" s="744">
        <v>41494</v>
      </c>
      <c r="D281" s="402" t="s">
        <v>270</v>
      </c>
      <c r="E281" s="401" t="s">
        <v>270</v>
      </c>
      <c r="F281" s="402" t="s">
        <v>7</v>
      </c>
      <c r="G281" s="670" t="s">
        <v>817</v>
      </c>
      <c r="H281" s="670" t="s">
        <v>35</v>
      </c>
      <c r="I281" s="670"/>
      <c r="J281" s="670"/>
      <c r="K281" s="670"/>
      <c r="L281" s="42">
        <v>44</v>
      </c>
      <c r="M281" s="42"/>
      <c r="N281" s="42">
        <v>88</v>
      </c>
      <c r="O281" s="42">
        <v>44</v>
      </c>
      <c r="P281" s="42">
        <v>88</v>
      </c>
      <c r="Q281" s="42">
        <v>44</v>
      </c>
      <c r="R281" s="42">
        <v>44</v>
      </c>
      <c r="S281" s="42">
        <v>44</v>
      </c>
      <c r="T281" s="419"/>
      <c r="U281" s="42">
        <v>88</v>
      </c>
      <c r="V281" s="42"/>
      <c r="W281" s="42"/>
      <c r="X281" s="42"/>
      <c r="Y281" s="42"/>
      <c r="Z281" s="42"/>
      <c r="AA281" s="42"/>
      <c r="AB281" s="42"/>
      <c r="AC281" s="105">
        <f>IF(NFI_Expiration=1,IF($A281&lt;VLOOKUP(I$5,NFI,5,0),1,0)*Data_NFI_t[[#This Row],[Hygiene Kit]],0)</f>
        <v>0</v>
      </c>
      <c r="AD281" s="105">
        <f>IF(NFI_Expiration=1,IF($A281&lt;VLOOKUP(L$5,NFI,5,0),1,0)*Data_NFI_t[[#This Row],[NFI Core Kit]],0)</f>
        <v>0</v>
      </c>
      <c r="AE281" s="86">
        <f>IF(NFI_Expiration=1,IF($A281&lt;VLOOKUP(M$5,NFI,5,0),1,0)*Data_NFI_t[[#This Row],[Sanitary Kit]],0)</f>
        <v>0</v>
      </c>
      <c r="AF281" s="86">
        <f>IF(NFI_Expiration=1,IF($A281&lt;VLOOKUP(N$5,NFI,5,0),1,0)*Data_NFI_t[[#This Row],[Mosquito net]],0)</f>
        <v>0</v>
      </c>
      <c r="AG281" s="86">
        <f>IF(NFI_Expiration=1,IF($A281&lt;VLOOKUP(O$5,NFI,5,0),1,0)*Data_NFI_t[[#This Row],[Tarpaulin]],0)</f>
        <v>0</v>
      </c>
      <c r="AH281" s="86">
        <f>IF(NFI_Expiration=1,IF($A281&lt;VLOOKUP(P$5,NFI,5,0),1,0)*Data_NFI_t[[#This Row],[Blanket]],0)</f>
        <v>0</v>
      </c>
      <c r="AI281" s="86">
        <f>IF(NFI_Expiration=1,IF($A281&lt;VLOOKUP(Q$5,NFI,5,0),1,0)*Data_NFI_t[[#This Row],[Kitchen Set]],0)</f>
        <v>0</v>
      </c>
      <c r="AJ281" s="86">
        <f>IF(NFI_Expiration=1,IF($A281&lt;VLOOKUP(R$5,NFI,5,0),1,0)*Data_NFI_t[[#This Row],[Complementary Kit]],0)</f>
        <v>0</v>
      </c>
      <c r="AK281" s="86">
        <f>IF(NFI_Expiration=1,IF($A281&lt;VLOOKUP(S$5,NFI,5,0),1,0)*Data_NFI_t[[#This Row],[Plastic Bucket]],0)</f>
        <v>0</v>
      </c>
      <c r="AL281" s="86">
        <f>IF(NFI_Expiration=1,IF($A281&lt;VLOOKUP(T$5,NFI,5,0),1,0)*Data_NFI_t[[#This Row],[Jerry Can]],0)</f>
        <v>0</v>
      </c>
      <c r="AM281" s="105">
        <f>IF(NFI_Expiration=1,IF($A281&lt;VLOOKUP(U$5,NFI,5,0),1,0)*Data_NFI_t[[#This Row],[Plastic Mat]],0)*IF(Data_NFI_t[[#This Row],[Distribution Date]]&gt;"01-06-2015",1,2.5)</f>
        <v>0</v>
      </c>
      <c r="AN281" s="734">
        <f>IF(NFI_Expiration=1,IF($A281&lt;VLOOKUP(V$5,NFI,5,0),1,0)*Data_NFI_t[[#This Row],[Adult Clothes]],0)</f>
        <v>0</v>
      </c>
      <c r="AO281" s="105">
        <f>IF(NFI_Expiration=1,IF($A281&lt;VLOOKUP(W$5,NFI,5,0),1,0)*Data_NFI_t[[#This Row],[Children Clothes]],0)</f>
        <v>0</v>
      </c>
      <c r="AP281" s="105">
        <f>IF(NFI_Expiration=1,IF($A281&lt;VLOOKUP(X$5,NFI,5,0),1,0)*Data_NFI_t[[#This Row],[Sewing Kit]],0)</f>
        <v>0</v>
      </c>
      <c r="AQ281" s="734">
        <f>IF(NFI_Expiration=1,IF($A281&lt;VLOOKUP(X$5,NFI,5,0),1,0)*Data_NFI_t[[#This Row],[Solar Lantern]],0)</f>
        <v>0</v>
      </c>
      <c r="AR281" s="105" t="str">
        <f ca="1">IFERROR(OFFSET(Camp_List[P_Code],MATCH(Data_NFI_t[[#This Row],[Camp Name]],Camp_List[Camp Name],0)-1,0,1,1),"")</f>
        <v>MMR012CMP013</v>
      </c>
      <c r="AS281" s="421" t="str">
        <f ca="1">IFERROR(OFFSET(Camp_List[Status],MATCH(Data_NFI_t[[#This Row],[Camp Name]],Camp_List[Camp Name],0)-1,0,1,1),"")</f>
        <v>Relocated</v>
      </c>
      <c r="AT281" s="105"/>
    </row>
    <row r="282" spans="1:46" s="78" customFormat="1" ht="19.5" customHeight="1" x14ac:dyDescent="0.25">
      <c r="A282" s="208">
        <f t="shared" si="4"/>
        <v>56.533333333333331</v>
      </c>
      <c r="B282" s="208">
        <f>YEAR(Data_NFI_t[[#This Row],[Distribution Date]])</f>
        <v>2013</v>
      </c>
      <c r="C282" s="744">
        <v>41494</v>
      </c>
      <c r="D282" s="402" t="s">
        <v>270</v>
      </c>
      <c r="E282" s="401" t="s">
        <v>270</v>
      </c>
      <c r="F282" s="402" t="s">
        <v>7</v>
      </c>
      <c r="G282" s="670" t="s">
        <v>817</v>
      </c>
      <c r="H282" s="670" t="s">
        <v>36</v>
      </c>
      <c r="I282" s="670"/>
      <c r="J282" s="670"/>
      <c r="K282" s="670"/>
      <c r="L282" s="42">
        <v>755</v>
      </c>
      <c r="M282" s="42"/>
      <c r="N282" s="42">
        <v>1510</v>
      </c>
      <c r="O282" s="42">
        <v>755</v>
      </c>
      <c r="P282" s="42">
        <v>1510</v>
      </c>
      <c r="Q282" s="42">
        <v>755</v>
      </c>
      <c r="R282" s="42">
        <v>755</v>
      </c>
      <c r="S282" s="42">
        <v>755</v>
      </c>
      <c r="T282" s="419"/>
      <c r="U282" s="42">
        <v>1510</v>
      </c>
      <c r="V282" s="42"/>
      <c r="W282" s="42"/>
      <c r="X282" s="42"/>
      <c r="Y282" s="42"/>
      <c r="Z282" s="42"/>
      <c r="AA282" s="42"/>
      <c r="AB282" s="42"/>
      <c r="AC282" s="105">
        <f>IF(NFI_Expiration=1,IF($A282&lt;VLOOKUP(I$5,NFI,5,0),1,0)*Data_NFI_t[[#This Row],[Hygiene Kit]],0)</f>
        <v>0</v>
      </c>
      <c r="AD282" s="105">
        <f>IF(NFI_Expiration=1,IF($A282&lt;VLOOKUP(L$5,NFI,5,0),1,0)*Data_NFI_t[[#This Row],[NFI Core Kit]],0)</f>
        <v>0</v>
      </c>
      <c r="AE282" s="86">
        <f>IF(NFI_Expiration=1,IF($A282&lt;VLOOKUP(M$5,NFI,5,0),1,0)*Data_NFI_t[[#This Row],[Sanitary Kit]],0)</f>
        <v>0</v>
      </c>
      <c r="AF282" s="86">
        <f>IF(NFI_Expiration=1,IF($A282&lt;VLOOKUP(N$5,NFI,5,0),1,0)*Data_NFI_t[[#This Row],[Mosquito net]],0)</f>
        <v>0</v>
      </c>
      <c r="AG282" s="86">
        <f>IF(NFI_Expiration=1,IF($A282&lt;VLOOKUP(O$5,NFI,5,0),1,0)*Data_NFI_t[[#This Row],[Tarpaulin]],0)</f>
        <v>0</v>
      </c>
      <c r="AH282" s="86">
        <f>IF(NFI_Expiration=1,IF($A282&lt;VLOOKUP(P$5,NFI,5,0),1,0)*Data_NFI_t[[#This Row],[Blanket]],0)</f>
        <v>0</v>
      </c>
      <c r="AI282" s="86">
        <f>IF(NFI_Expiration=1,IF($A282&lt;VLOOKUP(Q$5,NFI,5,0),1,0)*Data_NFI_t[[#This Row],[Kitchen Set]],0)</f>
        <v>0</v>
      </c>
      <c r="AJ282" s="86">
        <f>IF(NFI_Expiration=1,IF($A282&lt;VLOOKUP(R$5,NFI,5,0),1,0)*Data_NFI_t[[#This Row],[Complementary Kit]],0)</f>
        <v>0</v>
      </c>
      <c r="AK282" s="86">
        <f>IF(NFI_Expiration=1,IF($A282&lt;VLOOKUP(S$5,NFI,5,0),1,0)*Data_NFI_t[[#This Row],[Plastic Bucket]],0)</f>
        <v>0</v>
      </c>
      <c r="AL282" s="86">
        <f>IF(NFI_Expiration=1,IF($A282&lt;VLOOKUP(T$5,NFI,5,0),1,0)*Data_NFI_t[[#This Row],[Jerry Can]],0)</f>
        <v>0</v>
      </c>
      <c r="AM282" s="105">
        <f>IF(NFI_Expiration=1,IF($A282&lt;VLOOKUP(U$5,NFI,5,0),1,0)*Data_NFI_t[[#This Row],[Plastic Mat]],0)*IF(Data_NFI_t[[#This Row],[Distribution Date]]&gt;"01-06-2015",1,2.5)</f>
        <v>0</v>
      </c>
      <c r="AN282" s="734">
        <f>IF(NFI_Expiration=1,IF($A282&lt;VLOOKUP(V$5,NFI,5,0),1,0)*Data_NFI_t[[#This Row],[Adult Clothes]],0)</f>
        <v>0</v>
      </c>
      <c r="AO282" s="105">
        <f>IF(NFI_Expiration=1,IF($A282&lt;VLOOKUP(W$5,NFI,5,0),1,0)*Data_NFI_t[[#This Row],[Children Clothes]],0)</f>
        <v>0</v>
      </c>
      <c r="AP282" s="105">
        <f>IF(NFI_Expiration=1,IF($A282&lt;VLOOKUP(X$5,NFI,5,0),1,0)*Data_NFI_t[[#This Row],[Sewing Kit]],0)</f>
        <v>0</v>
      </c>
      <c r="AQ282" s="734">
        <f>IF(NFI_Expiration=1,IF($A282&lt;VLOOKUP(X$5,NFI,5,0),1,0)*Data_NFI_t[[#This Row],[Solar Lantern]],0)</f>
        <v>0</v>
      </c>
      <c r="AR282" s="105" t="str">
        <f ca="1">IFERROR(OFFSET(Camp_List[P_Code],MATCH(Data_NFI_t[[#This Row],[Camp Name]],Camp_List[Camp Name],0)-1,0,1,1),"")</f>
        <v>MMR012CMP014</v>
      </c>
      <c r="AS282" s="421" t="str">
        <f ca="1">IFERROR(OFFSET(Camp_List[Status],MATCH(Data_NFI_t[[#This Row],[Camp Name]],Camp_List[Camp Name],0)-1,0,1,1),"")</f>
        <v>Open</v>
      </c>
      <c r="AT282" s="105"/>
    </row>
    <row r="283" spans="1:46" s="78" customFormat="1" ht="19.5" customHeight="1" x14ac:dyDescent="0.25">
      <c r="A283" s="208">
        <f t="shared" si="4"/>
        <v>57.5</v>
      </c>
      <c r="B283" s="208">
        <f>YEAR(Data_NFI_t[[#This Row],[Distribution Date]])</f>
        <v>2013</v>
      </c>
      <c r="C283" s="744">
        <v>41465</v>
      </c>
      <c r="D283" s="402" t="s">
        <v>270</v>
      </c>
      <c r="E283" s="401" t="s">
        <v>270</v>
      </c>
      <c r="F283" s="402" t="s">
        <v>7</v>
      </c>
      <c r="G283" s="670" t="s">
        <v>11</v>
      </c>
      <c r="H283" s="670" t="s">
        <v>25</v>
      </c>
      <c r="I283" s="670"/>
      <c r="J283" s="670"/>
      <c r="K283" s="670"/>
      <c r="L283" s="42"/>
      <c r="M283" s="42"/>
      <c r="N283" s="42">
        <v>240</v>
      </c>
      <c r="O283" s="42"/>
      <c r="P283" s="42">
        <v>240</v>
      </c>
      <c r="Q283" s="42">
        <v>120</v>
      </c>
      <c r="R283" s="42">
        <v>120</v>
      </c>
      <c r="S283" s="42">
        <v>120</v>
      </c>
      <c r="T283" s="419"/>
      <c r="U283" s="42">
        <v>240</v>
      </c>
      <c r="V283" s="42"/>
      <c r="W283" s="42"/>
      <c r="X283" s="42"/>
      <c r="Y283" s="42"/>
      <c r="Z283" s="42"/>
      <c r="AA283" s="42"/>
      <c r="AB283" s="42"/>
      <c r="AC283" s="105">
        <f>IF(NFI_Expiration=1,IF($A283&lt;VLOOKUP(I$5,NFI,5,0),1,0)*Data_NFI_t[[#This Row],[Hygiene Kit]],0)</f>
        <v>0</v>
      </c>
      <c r="AD283" s="105">
        <f>IF(NFI_Expiration=1,IF($A283&lt;VLOOKUP(L$5,NFI,5,0),1,0)*Data_NFI_t[[#This Row],[NFI Core Kit]],0)</f>
        <v>0</v>
      </c>
      <c r="AE283" s="86">
        <f>IF(NFI_Expiration=1,IF($A283&lt;VLOOKUP(M$5,NFI,5,0),1,0)*Data_NFI_t[[#This Row],[Sanitary Kit]],0)</f>
        <v>0</v>
      </c>
      <c r="AF283" s="86">
        <f>IF(NFI_Expiration=1,IF($A283&lt;VLOOKUP(N$5,NFI,5,0),1,0)*Data_NFI_t[[#This Row],[Mosquito net]],0)</f>
        <v>0</v>
      </c>
      <c r="AG283" s="86">
        <f>IF(NFI_Expiration=1,IF($A283&lt;VLOOKUP(O$5,NFI,5,0),1,0)*Data_NFI_t[[#This Row],[Tarpaulin]],0)</f>
        <v>0</v>
      </c>
      <c r="AH283" s="86">
        <f>IF(NFI_Expiration=1,IF($A283&lt;VLOOKUP(P$5,NFI,5,0),1,0)*Data_NFI_t[[#This Row],[Blanket]],0)</f>
        <v>0</v>
      </c>
      <c r="AI283" s="86">
        <f>IF(NFI_Expiration=1,IF($A283&lt;VLOOKUP(Q$5,NFI,5,0),1,0)*Data_NFI_t[[#This Row],[Kitchen Set]],0)</f>
        <v>0</v>
      </c>
      <c r="AJ283" s="86">
        <f>IF(NFI_Expiration=1,IF($A283&lt;VLOOKUP(R$5,NFI,5,0),1,0)*Data_NFI_t[[#This Row],[Complementary Kit]],0)</f>
        <v>0</v>
      </c>
      <c r="AK283" s="86">
        <f>IF(NFI_Expiration=1,IF($A283&lt;VLOOKUP(S$5,NFI,5,0),1,0)*Data_NFI_t[[#This Row],[Plastic Bucket]],0)</f>
        <v>0</v>
      </c>
      <c r="AL283" s="86">
        <f>IF(NFI_Expiration=1,IF($A283&lt;VLOOKUP(T$5,NFI,5,0),1,0)*Data_NFI_t[[#This Row],[Jerry Can]],0)</f>
        <v>0</v>
      </c>
      <c r="AM283" s="105">
        <f>IF(NFI_Expiration=1,IF($A283&lt;VLOOKUP(U$5,NFI,5,0),1,0)*Data_NFI_t[[#This Row],[Plastic Mat]],0)*IF(Data_NFI_t[[#This Row],[Distribution Date]]&gt;"01-06-2015",1,2.5)</f>
        <v>0</v>
      </c>
      <c r="AN283" s="734">
        <f>IF(NFI_Expiration=1,IF($A283&lt;VLOOKUP(V$5,NFI,5,0),1,0)*Data_NFI_t[[#This Row],[Adult Clothes]],0)</f>
        <v>0</v>
      </c>
      <c r="AO283" s="105">
        <f>IF(NFI_Expiration=1,IF($A283&lt;VLOOKUP(W$5,NFI,5,0),1,0)*Data_NFI_t[[#This Row],[Children Clothes]],0)</f>
        <v>0</v>
      </c>
      <c r="AP283" s="105">
        <f>IF(NFI_Expiration=1,IF($A283&lt;VLOOKUP(X$5,NFI,5,0),1,0)*Data_NFI_t[[#This Row],[Sewing Kit]],0)</f>
        <v>0</v>
      </c>
      <c r="AQ283" s="734">
        <f>IF(NFI_Expiration=1,IF($A283&lt;VLOOKUP(X$5,NFI,5,0),1,0)*Data_NFI_t[[#This Row],[Solar Lantern]],0)</f>
        <v>0</v>
      </c>
      <c r="AR283" s="105" t="str">
        <f ca="1">IFERROR(OFFSET(Camp_List[P_Code],MATCH(Data_NFI_t[[#This Row],[Camp Name]],Camp_List[Camp Name],0)-1,0,1,1),"")</f>
        <v>MMR012CMP003</v>
      </c>
      <c r="AS283" s="421" t="str">
        <f ca="1">IFERROR(OFFSET(Camp_List[Status],MATCH(Data_NFI_t[[#This Row],[Camp Name]],Camp_List[Camp Name],0)-1,0,1,1),"")</f>
        <v>Returned</v>
      </c>
      <c r="AT283" s="105"/>
    </row>
    <row r="284" spans="1:46" s="78" customFormat="1" ht="19.5" customHeight="1" x14ac:dyDescent="0.25">
      <c r="A284" s="208">
        <f t="shared" si="4"/>
        <v>57.5</v>
      </c>
      <c r="B284" s="208">
        <f>YEAR(Data_NFI_t[[#This Row],[Distribution Date]])</f>
        <v>2013</v>
      </c>
      <c r="C284" s="744">
        <v>41465</v>
      </c>
      <c r="D284" s="402" t="s">
        <v>270</v>
      </c>
      <c r="E284" s="401" t="s">
        <v>270</v>
      </c>
      <c r="F284" s="402" t="s">
        <v>7</v>
      </c>
      <c r="G284" s="670" t="s">
        <v>11</v>
      </c>
      <c r="H284" s="670" t="s">
        <v>24</v>
      </c>
      <c r="I284" s="670"/>
      <c r="J284" s="670"/>
      <c r="K284" s="670"/>
      <c r="L284" s="42"/>
      <c r="M284" s="42"/>
      <c r="N284" s="42">
        <v>428</v>
      </c>
      <c r="O284" s="42"/>
      <c r="P284" s="42">
        <v>428</v>
      </c>
      <c r="Q284" s="42">
        <v>214</v>
      </c>
      <c r="R284" s="42">
        <v>214</v>
      </c>
      <c r="S284" s="42">
        <v>214</v>
      </c>
      <c r="T284" s="419"/>
      <c r="U284" s="42">
        <v>428</v>
      </c>
      <c r="V284" s="42"/>
      <c r="W284" s="42"/>
      <c r="X284" s="42"/>
      <c r="Y284" s="42"/>
      <c r="Z284" s="42"/>
      <c r="AA284" s="42"/>
      <c r="AB284" s="42"/>
      <c r="AC284" s="105">
        <f>IF(NFI_Expiration=1,IF($A284&lt;VLOOKUP(I$5,NFI,5,0),1,0)*Data_NFI_t[[#This Row],[Hygiene Kit]],0)</f>
        <v>0</v>
      </c>
      <c r="AD284" s="105">
        <f>IF(NFI_Expiration=1,IF($A284&lt;VLOOKUP(L$5,NFI,5,0),1,0)*Data_NFI_t[[#This Row],[NFI Core Kit]],0)</f>
        <v>0</v>
      </c>
      <c r="AE284" s="86">
        <f>IF(NFI_Expiration=1,IF($A284&lt;VLOOKUP(M$5,NFI,5,0),1,0)*Data_NFI_t[[#This Row],[Sanitary Kit]],0)</f>
        <v>0</v>
      </c>
      <c r="AF284" s="86">
        <f>IF(NFI_Expiration=1,IF($A284&lt;VLOOKUP(N$5,NFI,5,0),1,0)*Data_NFI_t[[#This Row],[Mosquito net]],0)</f>
        <v>0</v>
      </c>
      <c r="AG284" s="86">
        <f>IF(NFI_Expiration=1,IF($A284&lt;VLOOKUP(O$5,NFI,5,0),1,0)*Data_NFI_t[[#This Row],[Tarpaulin]],0)</f>
        <v>0</v>
      </c>
      <c r="AH284" s="86">
        <f>IF(NFI_Expiration=1,IF($A284&lt;VLOOKUP(P$5,NFI,5,0),1,0)*Data_NFI_t[[#This Row],[Blanket]],0)</f>
        <v>0</v>
      </c>
      <c r="AI284" s="86">
        <f>IF(NFI_Expiration=1,IF($A284&lt;VLOOKUP(Q$5,NFI,5,0),1,0)*Data_NFI_t[[#This Row],[Kitchen Set]],0)</f>
        <v>0</v>
      </c>
      <c r="AJ284" s="86">
        <f>IF(NFI_Expiration=1,IF($A284&lt;VLOOKUP(R$5,NFI,5,0),1,0)*Data_NFI_t[[#This Row],[Complementary Kit]],0)</f>
        <v>0</v>
      </c>
      <c r="AK284" s="86">
        <f>IF(NFI_Expiration=1,IF($A284&lt;VLOOKUP(S$5,NFI,5,0),1,0)*Data_NFI_t[[#This Row],[Plastic Bucket]],0)</f>
        <v>0</v>
      </c>
      <c r="AL284" s="86">
        <f>IF(NFI_Expiration=1,IF($A284&lt;VLOOKUP(T$5,NFI,5,0),1,0)*Data_NFI_t[[#This Row],[Jerry Can]],0)</f>
        <v>0</v>
      </c>
      <c r="AM284" s="105">
        <f>IF(NFI_Expiration=1,IF($A284&lt;VLOOKUP(U$5,NFI,5,0),1,0)*Data_NFI_t[[#This Row],[Plastic Mat]],0)*IF(Data_NFI_t[[#This Row],[Distribution Date]]&gt;"01-06-2015",1,2.5)</f>
        <v>0</v>
      </c>
      <c r="AN284" s="734">
        <f>IF(NFI_Expiration=1,IF($A284&lt;VLOOKUP(V$5,NFI,5,0),1,0)*Data_NFI_t[[#This Row],[Adult Clothes]],0)</f>
        <v>0</v>
      </c>
      <c r="AO284" s="105">
        <f>IF(NFI_Expiration=1,IF($A284&lt;VLOOKUP(W$5,NFI,5,0),1,0)*Data_NFI_t[[#This Row],[Children Clothes]],0)</f>
        <v>0</v>
      </c>
      <c r="AP284" s="105">
        <f>IF(NFI_Expiration=1,IF($A284&lt;VLOOKUP(X$5,NFI,5,0),1,0)*Data_NFI_t[[#This Row],[Sewing Kit]],0)</f>
        <v>0</v>
      </c>
      <c r="AQ284" s="734">
        <f>IF(NFI_Expiration=1,IF($A284&lt;VLOOKUP(X$5,NFI,5,0),1,0)*Data_NFI_t[[#This Row],[Solar Lantern]],0)</f>
        <v>0</v>
      </c>
      <c r="AR284" s="105" t="str">
        <f ca="1">IFERROR(OFFSET(Camp_List[P_Code],MATCH(Data_NFI_t[[#This Row],[Camp Name]],Camp_List[Camp Name],0)-1,0,1,1),"")</f>
        <v>MMR012CMP002</v>
      </c>
      <c r="AS284" s="421" t="str">
        <f ca="1">IFERROR(OFFSET(Camp_List[Status],MATCH(Data_NFI_t[[#This Row],[Camp Name]],Camp_List[Camp Name],0)-1,0,1,1),"")</f>
        <v>Returned</v>
      </c>
      <c r="AT284" s="105"/>
    </row>
    <row r="285" spans="1:46" s="78" customFormat="1" ht="19.5" customHeight="1" x14ac:dyDescent="0.25">
      <c r="A285" s="208">
        <f t="shared" si="4"/>
        <v>57.533333333333331</v>
      </c>
      <c r="B285" s="208">
        <f>YEAR(Data_NFI_t[[#This Row],[Distribution Date]])</f>
        <v>2013</v>
      </c>
      <c r="C285" s="744">
        <v>41464</v>
      </c>
      <c r="D285" s="402" t="s">
        <v>270</v>
      </c>
      <c r="E285" s="401" t="s">
        <v>270</v>
      </c>
      <c r="F285" s="402" t="s">
        <v>7</v>
      </c>
      <c r="G285" s="670" t="s">
        <v>11</v>
      </c>
      <c r="H285" s="670" t="s">
        <v>28</v>
      </c>
      <c r="I285" s="670"/>
      <c r="J285" s="670"/>
      <c r="K285" s="670"/>
      <c r="L285" s="42"/>
      <c r="M285" s="42"/>
      <c r="N285" s="42">
        <v>290</v>
      </c>
      <c r="O285" s="42">
        <v>1312</v>
      </c>
      <c r="P285" s="42">
        <v>290</v>
      </c>
      <c r="Q285" s="42">
        <v>145</v>
      </c>
      <c r="R285" s="42">
        <v>145</v>
      </c>
      <c r="S285" s="42">
        <v>145</v>
      </c>
      <c r="T285" s="419"/>
      <c r="U285" s="42">
        <v>290</v>
      </c>
      <c r="V285" s="42"/>
      <c r="W285" s="42"/>
      <c r="X285" s="42"/>
      <c r="Y285" s="42"/>
      <c r="Z285" s="42"/>
      <c r="AA285" s="42"/>
      <c r="AB285" s="42"/>
      <c r="AC285" s="105">
        <f>IF(NFI_Expiration=1,IF($A285&lt;VLOOKUP(I$5,NFI,5,0),1,0)*Data_NFI_t[[#This Row],[Hygiene Kit]],0)</f>
        <v>0</v>
      </c>
      <c r="AD285" s="105">
        <f>IF(NFI_Expiration=1,IF($A285&lt;VLOOKUP(L$5,NFI,5,0),1,0)*Data_NFI_t[[#This Row],[NFI Core Kit]],0)</f>
        <v>0</v>
      </c>
      <c r="AE285" s="86">
        <f>IF(NFI_Expiration=1,IF($A285&lt;VLOOKUP(M$5,NFI,5,0),1,0)*Data_NFI_t[[#This Row],[Sanitary Kit]],0)</f>
        <v>0</v>
      </c>
      <c r="AF285" s="86">
        <f>IF(NFI_Expiration=1,IF($A285&lt;VLOOKUP(N$5,NFI,5,0),1,0)*Data_NFI_t[[#This Row],[Mosquito net]],0)</f>
        <v>0</v>
      </c>
      <c r="AG285" s="86">
        <f>IF(NFI_Expiration=1,IF($A285&lt;VLOOKUP(O$5,NFI,5,0),1,0)*Data_NFI_t[[#This Row],[Tarpaulin]],0)</f>
        <v>0</v>
      </c>
      <c r="AH285" s="86">
        <f>IF(NFI_Expiration=1,IF($A285&lt;VLOOKUP(P$5,NFI,5,0),1,0)*Data_NFI_t[[#This Row],[Blanket]],0)</f>
        <v>0</v>
      </c>
      <c r="AI285" s="86">
        <f>IF(NFI_Expiration=1,IF($A285&lt;VLOOKUP(Q$5,NFI,5,0),1,0)*Data_NFI_t[[#This Row],[Kitchen Set]],0)</f>
        <v>0</v>
      </c>
      <c r="AJ285" s="86">
        <f>IF(NFI_Expiration=1,IF($A285&lt;VLOOKUP(R$5,NFI,5,0),1,0)*Data_NFI_t[[#This Row],[Complementary Kit]],0)</f>
        <v>0</v>
      </c>
      <c r="AK285" s="86">
        <f>IF(NFI_Expiration=1,IF($A285&lt;VLOOKUP(S$5,NFI,5,0),1,0)*Data_NFI_t[[#This Row],[Plastic Bucket]],0)</f>
        <v>0</v>
      </c>
      <c r="AL285" s="86">
        <f>IF(NFI_Expiration=1,IF($A285&lt;VLOOKUP(T$5,NFI,5,0),1,0)*Data_NFI_t[[#This Row],[Jerry Can]],0)</f>
        <v>0</v>
      </c>
      <c r="AM285" s="105">
        <f>IF(NFI_Expiration=1,IF($A285&lt;VLOOKUP(U$5,NFI,5,0),1,0)*Data_NFI_t[[#This Row],[Plastic Mat]],0)*IF(Data_NFI_t[[#This Row],[Distribution Date]]&gt;"01-06-2015",1,2.5)</f>
        <v>0</v>
      </c>
      <c r="AN285" s="734">
        <f>IF(NFI_Expiration=1,IF($A285&lt;VLOOKUP(V$5,NFI,5,0),1,0)*Data_NFI_t[[#This Row],[Adult Clothes]],0)</f>
        <v>0</v>
      </c>
      <c r="AO285" s="105">
        <f>IF(NFI_Expiration=1,IF($A285&lt;VLOOKUP(W$5,NFI,5,0),1,0)*Data_NFI_t[[#This Row],[Children Clothes]],0)</f>
        <v>0</v>
      </c>
      <c r="AP285" s="105">
        <f>IF(NFI_Expiration=1,IF($A285&lt;VLOOKUP(X$5,NFI,5,0),1,0)*Data_NFI_t[[#This Row],[Sewing Kit]],0)</f>
        <v>0</v>
      </c>
      <c r="AQ285" s="734">
        <f>IF(NFI_Expiration=1,IF($A285&lt;VLOOKUP(X$5,NFI,5,0),1,0)*Data_NFI_t[[#This Row],[Solar Lantern]],0)</f>
        <v>0</v>
      </c>
      <c r="AR285" s="105" t="str">
        <f ca="1">IFERROR(OFFSET(Camp_List[P_Code],MATCH(Data_NFI_t[[#This Row],[Camp Name]],Camp_List[Camp Name],0)-1,0,1,1),"")</f>
        <v>MMR012CMP006</v>
      </c>
      <c r="AS285" s="421" t="str">
        <f ca="1">IFERROR(OFFSET(Camp_List[Status],MATCH(Data_NFI_t[[#This Row],[Camp Name]],Camp_List[Camp Name],0)-1,0,1,1),"")</f>
        <v>Returned</v>
      </c>
      <c r="AT285" s="105"/>
    </row>
    <row r="286" spans="1:46" s="78" customFormat="1" ht="19.5" customHeight="1" x14ac:dyDescent="0.25">
      <c r="A286" s="208">
        <f t="shared" si="4"/>
        <v>57.533333333333331</v>
      </c>
      <c r="B286" s="208">
        <f>YEAR(Data_NFI_t[[#This Row],[Distribution Date]])</f>
        <v>2013</v>
      </c>
      <c r="C286" s="744">
        <v>41464</v>
      </c>
      <c r="D286" s="402" t="s">
        <v>270</v>
      </c>
      <c r="E286" s="401" t="s">
        <v>270</v>
      </c>
      <c r="F286" s="402" t="s">
        <v>7</v>
      </c>
      <c r="G286" s="670" t="s">
        <v>11</v>
      </c>
      <c r="H286" s="670" t="s">
        <v>23</v>
      </c>
      <c r="I286" s="670"/>
      <c r="J286" s="670"/>
      <c r="K286" s="670"/>
      <c r="L286" s="42"/>
      <c r="M286" s="42"/>
      <c r="N286" s="42">
        <v>130</v>
      </c>
      <c r="O286" s="42">
        <v>108</v>
      </c>
      <c r="P286" s="42">
        <v>130</v>
      </c>
      <c r="Q286" s="42">
        <v>65</v>
      </c>
      <c r="R286" s="42">
        <v>65</v>
      </c>
      <c r="S286" s="42">
        <v>65</v>
      </c>
      <c r="T286" s="419"/>
      <c r="U286" s="42">
        <v>130</v>
      </c>
      <c r="V286" s="42"/>
      <c r="W286" s="42"/>
      <c r="X286" s="42"/>
      <c r="Y286" s="42"/>
      <c r="Z286" s="42"/>
      <c r="AA286" s="42"/>
      <c r="AB286" s="42"/>
      <c r="AC286" s="105">
        <f>IF(NFI_Expiration=1,IF($A286&lt;VLOOKUP(I$5,NFI,5,0),1,0)*Data_NFI_t[[#This Row],[Hygiene Kit]],0)</f>
        <v>0</v>
      </c>
      <c r="AD286" s="105">
        <f>IF(NFI_Expiration=1,IF($A286&lt;VLOOKUP(L$5,NFI,5,0),1,0)*Data_NFI_t[[#This Row],[NFI Core Kit]],0)</f>
        <v>0</v>
      </c>
      <c r="AE286" s="86">
        <f>IF(NFI_Expiration=1,IF($A286&lt;VLOOKUP(M$5,NFI,5,0),1,0)*Data_NFI_t[[#This Row],[Sanitary Kit]],0)</f>
        <v>0</v>
      </c>
      <c r="AF286" s="86">
        <f>IF(NFI_Expiration=1,IF($A286&lt;VLOOKUP(N$5,NFI,5,0),1,0)*Data_NFI_t[[#This Row],[Mosquito net]],0)</f>
        <v>0</v>
      </c>
      <c r="AG286" s="86">
        <f>IF(NFI_Expiration=1,IF($A286&lt;VLOOKUP(O$5,NFI,5,0),1,0)*Data_NFI_t[[#This Row],[Tarpaulin]],0)</f>
        <v>0</v>
      </c>
      <c r="AH286" s="86">
        <f>IF(NFI_Expiration=1,IF($A286&lt;VLOOKUP(P$5,NFI,5,0),1,0)*Data_NFI_t[[#This Row],[Blanket]],0)</f>
        <v>0</v>
      </c>
      <c r="AI286" s="86">
        <f>IF(NFI_Expiration=1,IF($A286&lt;VLOOKUP(Q$5,NFI,5,0),1,0)*Data_NFI_t[[#This Row],[Kitchen Set]],0)</f>
        <v>0</v>
      </c>
      <c r="AJ286" s="86">
        <f>IF(NFI_Expiration=1,IF($A286&lt;VLOOKUP(R$5,NFI,5,0),1,0)*Data_NFI_t[[#This Row],[Complementary Kit]],0)</f>
        <v>0</v>
      </c>
      <c r="AK286" s="86">
        <f>IF(NFI_Expiration=1,IF($A286&lt;VLOOKUP(S$5,NFI,5,0),1,0)*Data_NFI_t[[#This Row],[Plastic Bucket]],0)</f>
        <v>0</v>
      </c>
      <c r="AL286" s="86">
        <f>IF(NFI_Expiration=1,IF($A286&lt;VLOOKUP(T$5,NFI,5,0),1,0)*Data_NFI_t[[#This Row],[Jerry Can]],0)</f>
        <v>0</v>
      </c>
      <c r="AM286" s="105">
        <f>IF(NFI_Expiration=1,IF($A286&lt;VLOOKUP(U$5,NFI,5,0),1,0)*Data_NFI_t[[#This Row],[Plastic Mat]],0)*IF(Data_NFI_t[[#This Row],[Distribution Date]]&gt;"01-06-2015",1,2.5)</f>
        <v>0</v>
      </c>
      <c r="AN286" s="734">
        <f>IF(NFI_Expiration=1,IF($A286&lt;VLOOKUP(V$5,NFI,5,0),1,0)*Data_NFI_t[[#This Row],[Adult Clothes]],0)</f>
        <v>0</v>
      </c>
      <c r="AO286" s="105">
        <f>IF(NFI_Expiration=1,IF($A286&lt;VLOOKUP(W$5,NFI,5,0),1,0)*Data_NFI_t[[#This Row],[Children Clothes]],0)</f>
        <v>0</v>
      </c>
      <c r="AP286" s="105">
        <f>IF(NFI_Expiration=1,IF($A286&lt;VLOOKUP(X$5,NFI,5,0),1,0)*Data_NFI_t[[#This Row],[Sewing Kit]],0)</f>
        <v>0</v>
      </c>
      <c r="AQ286" s="734">
        <f>IF(NFI_Expiration=1,IF($A286&lt;VLOOKUP(X$5,NFI,5,0),1,0)*Data_NFI_t[[#This Row],[Solar Lantern]],0)</f>
        <v>0</v>
      </c>
      <c r="AR286" s="105" t="str">
        <f ca="1">IFERROR(OFFSET(Camp_List[P_Code],MATCH(Data_NFI_t[[#This Row],[Camp Name]],Camp_List[Camp Name],0)-1,0,1,1),"")</f>
        <v>MMR012CMP001</v>
      </c>
      <c r="AS286" s="421" t="str">
        <f ca="1">IFERROR(OFFSET(Camp_List[Status],MATCH(Data_NFI_t[[#This Row],[Camp Name]],Camp_List[Camp Name],0)-1,0,1,1),"")</f>
        <v>Returned</v>
      </c>
      <c r="AT286" s="105"/>
    </row>
    <row r="287" spans="1:46" s="78" customFormat="1" ht="19.5" customHeight="1" x14ac:dyDescent="0.25">
      <c r="A287" s="208">
        <f t="shared" si="4"/>
        <v>57.533333333333331</v>
      </c>
      <c r="B287" s="208">
        <f>YEAR(Data_NFI_t[[#This Row],[Distribution Date]])</f>
        <v>2013</v>
      </c>
      <c r="C287" s="744">
        <v>41464</v>
      </c>
      <c r="D287" s="402" t="s">
        <v>270</v>
      </c>
      <c r="E287" s="401" t="s">
        <v>270</v>
      </c>
      <c r="F287" s="402" t="s">
        <v>7</v>
      </c>
      <c r="G287" s="670" t="s">
        <v>11</v>
      </c>
      <c r="H287" s="670" t="s">
        <v>30</v>
      </c>
      <c r="I287" s="670"/>
      <c r="J287" s="670"/>
      <c r="K287" s="670"/>
      <c r="L287" s="42"/>
      <c r="M287" s="42"/>
      <c r="N287" s="42">
        <v>490</v>
      </c>
      <c r="O287" s="42"/>
      <c r="P287" s="42">
        <v>490</v>
      </c>
      <c r="Q287" s="42">
        <v>245</v>
      </c>
      <c r="R287" s="42">
        <v>245</v>
      </c>
      <c r="S287" s="42">
        <v>245</v>
      </c>
      <c r="T287" s="419"/>
      <c r="U287" s="42">
        <v>490</v>
      </c>
      <c r="V287" s="42"/>
      <c r="W287" s="42"/>
      <c r="X287" s="42"/>
      <c r="Y287" s="42"/>
      <c r="Z287" s="42"/>
      <c r="AA287" s="42"/>
      <c r="AB287" s="42"/>
      <c r="AC287" s="105">
        <f>IF(NFI_Expiration=1,IF($A287&lt;VLOOKUP(I$5,NFI,5,0),1,0)*Data_NFI_t[[#This Row],[Hygiene Kit]],0)</f>
        <v>0</v>
      </c>
      <c r="AD287" s="105">
        <f>IF(NFI_Expiration=1,IF($A287&lt;VLOOKUP(L$5,NFI,5,0),1,0)*Data_NFI_t[[#This Row],[NFI Core Kit]],0)</f>
        <v>0</v>
      </c>
      <c r="AE287" s="86">
        <f>IF(NFI_Expiration=1,IF($A287&lt;VLOOKUP(M$5,NFI,5,0),1,0)*Data_NFI_t[[#This Row],[Sanitary Kit]],0)</f>
        <v>0</v>
      </c>
      <c r="AF287" s="86">
        <f>IF(NFI_Expiration=1,IF($A287&lt;VLOOKUP(N$5,NFI,5,0),1,0)*Data_NFI_t[[#This Row],[Mosquito net]],0)</f>
        <v>0</v>
      </c>
      <c r="AG287" s="86">
        <f>IF(NFI_Expiration=1,IF($A287&lt;VLOOKUP(O$5,NFI,5,0),1,0)*Data_NFI_t[[#This Row],[Tarpaulin]],0)</f>
        <v>0</v>
      </c>
      <c r="AH287" s="86">
        <f>IF(NFI_Expiration=1,IF($A287&lt;VLOOKUP(P$5,NFI,5,0),1,0)*Data_NFI_t[[#This Row],[Blanket]],0)</f>
        <v>0</v>
      </c>
      <c r="AI287" s="86">
        <f>IF(NFI_Expiration=1,IF($A287&lt;VLOOKUP(Q$5,NFI,5,0),1,0)*Data_NFI_t[[#This Row],[Kitchen Set]],0)</f>
        <v>0</v>
      </c>
      <c r="AJ287" s="86">
        <f>IF(NFI_Expiration=1,IF($A287&lt;VLOOKUP(R$5,NFI,5,0),1,0)*Data_NFI_t[[#This Row],[Complementary Kit]],0)</f>
        <v>0</v>
      </c>
      <c r="AK287" s="86">
        <f>IF(NFI_Expiration=1,IF($A287&lt;VLOOKUP(S$5,NFI,5,0),1,0)*Data_NFI_t[[#This Row],[Plastic Bucket]],0)</f>
        <v>0</v>
      </c>
      <c r="AL287" s="86">
        <f>IF(NFI_Expiration=1,IF($A287&lt;VLOOKUP(T$5,NFI,5,0),1,0)*Data_NFI_t[[#This Row],[Jerry Can]],0)</f>
        <v>0</v>
      </c>
      <c r="AM287" s="105">
        <f>IF(NFI_Expiration=1,IF($A287&lt;VLOOKUP(U$5,NFI,5,0),1,0)*Data_NFI_t[[#This Row],[Plastic Mat]],0)*IF(Data_NFI_t[[#This Row],[Distribution Date]]&gt;"01-06-2015",1,2.5)</f>
        <v>0</v>
      </c>
      <c r="AN287" s="734">
        <f>IF(NFI_Expiration=1,IF($A287&lt;VLOOKUP(V$5,NFI,5,0),1,0)*Data_NFI_t[[#This Row],[Adult Clothes]],0)</f>
        <v>0</v>
      </c>
      <c r="AO287" s="105">
        <f>IF(NFI_Expiration=1,IF($A287&lt;VLOOKUP(W$5,NFI,5,0),1,0)*Data_NFI_t[[#This Row],[Children Clothes]],0)</f>
        <v>0</v>
      </c>
      <c r="AP287" s="105">
        <f>IF(NFI_Expiration=1,IF($A287&lt;VLOOKUP(X$5,NFI,5,0),1,0)*Data_NFI_t[[#This Row],[Sewing Kit]],0)</f>
        <v>0</v>
      </c>
      <c r="AQ287" s="734">
        <f>IF(NFI_Expiration=1,IF($A287&lt;VLOOKUP(X$5,NFI,5,0),1,0)*Data_NFI_t[[#This Row],[Solar Lantern]],0)</f>
        <v>0</v>
      </c>
      <c r="AR287" s="105" t="str">
        <f ca="1">IFERROR(OFFSET(Camp_List[P_Code],MATCH(Data_NFI_t[[#This Row],[Camp Name]],Camp_List[Camp Name],0)-1,0,1,1),"")</f>
        <v>MMR012CMP008</v>
      </c>
      <c r="AS287" s="421" t="str">
        <f ca="1">IFERROR(OFFSET(Camp_List[Status],MATCH(Data_NFI_t[[#This Row],[Camp Name]],Camp_List[Camp Name],0)-1,0,1,1),"")</f>
        <v>Returned</v>
      </c>
      <c r="AT287" s="105"/>
    </row>
    <row r="288" spans="1:46" s="78" customFormat="1" ht="19.5" customHeight="1" x14ac:dyDescent="0.25">
      <c r="A288" s="208">
        <f t="shared" si="4"/>
        <v>57.533333333333331</v>
      </c>
      <c r="B288" s="208">
        <f>YEAR(Data_NFI_t[[#This Row],[Distribution Date]])</f>
        <v>2013</v>
      </c>
      <c r="C288" s="744">
        <v>41464</v>
      </c>
      <c r="D288" s="402" t="s">
        <v>270</v>
      </c>
      <c r="E288" s="401" t="s">
        <v>270</v>
      </c>
      <c r="F288" s="402" t="s">
        <v>7</v>
      </c>
      <c r="G288" s="670" t="s">
        <v>11</v>
      </c>
      <c r="H288" s="670" t="s">
        <v>29</v>
      </c>
      <c r="I288" s="670"/>
      <c r="J288" s="670"/>
      <c r="K288" s="670"/>
      <c r="L288" s="42">
        <v>33</v>
      </c>
      <c r="M288" s="42"/>
      <c r="N288" s="42">
        <v>66</v>
      </c>
      <c r="O288" s="42">
        <v>33</v>
      </c>
      <c r="P288" s="42">
        <v>66</v>
      </c>
      <c r="Q288" s="42">
        <v>33</v>
      </c>
      <c r="R288" s="42">
        <v>33</v>
      </c>
      <c r="S288" s="42">
        <v>33</v>
      </c>
      <c r="T288" s="419"/>
      <c r="U288" s="42">
        <v>66</v>
      </c>
      <c r="V288" s="42"/>
      <c r="W288" s="42"/>
      <c r="X288" s="42"/>
      <c r="Y288" s="42"/>
      <c r="Z288" s="42"/>
      <c r="AA288" s="42"/>
      <c r="AB288" s="42"/>
      <c r="AC288" s="105">
        <f>IF(NFI_Expiration=1,IF($A288&lt;VLOOKUP(I$5,NFI,5,0),1,0)*Data_NFI_t[[#This Row],[Hygiene Kit]],0)</f>
        <v>0</v>
      </c>
      <c r="AD288" s="105">
        <f>IF(NFI_Expiration=1,IF($A288&lt;VLOOKUP(L$5,NFI,5,0),1,0)*Data_NFI_t[[#This Row],[NFI Core Kit]],0)</f>
        <v>0</v>
      </c>
      <c r="AE288" s="86">
        <f>IF(NFI_Expiration=1,IF($A288&lt;VLOOKUP(M$5,NFI,5,0),1,0)*Data_NFI_t[[#This Row],[Sanitary Kit]],0)</f>
        <v>0</v>
      </c>
      <c r="AF288" s="86">
        <f>IF(NFI_Expiration=1,IF($A288&lt;VLOOKUP(N$5,NFI,5,0),1,0)*Data_NFI_t[[#This Row],[Mosquito net]],0)</f>
        <v>0</v>
      </c>
      <c r="AG288" s="86">
        <f>IF(NFI_Expiration=1,IF($A288&lt;VLOOKUP(O$5,NFI,5,0),1,0)*Data_NFI_t[[#This Row],[Tarpaulin]],0)</f>
        <v>0</v>
      </c>
      <c r="AH288" s="86">
        <f>IF(NFI_Expiration=1,IF($A288&lt;VLOOKUP(P$5,NFI,5,0),1,0)*Data_NFI_t[[#This Row],[Blanket]],0)</f>
        <v>0</v>
      </c>
      <c r="AI288" s="86">
        <f>IF(NFI_Expiration=1,IF($A288&lt;VLOOKUP(Q$5,NFI,5,0),1,0)*Data_NFI_t[[#This Row],[Kitchen Set]],0)</f>
        <v>0</v>
      </c>
      <c r="AJ288" s="86">
        <f>IF(NFI_Expiration=1,IF($A288&lt;VLOOKUP(R$5,NFI,5,0),1,0)*Data_NFI_t[[#This Row],[Complementary Kit]],0)</f>
        <v>0</v>
      </c>
      <c r="AK288" s="86">
        <f>IF(NFI_Expiration=1,IF($A288&lt;VLOOKUP(S$5,NFI,5,0),1,0)*Data_NFI_t[[#This Row],[Plastic Bucket]],0)</f>
        <v>0</v>
      </c>
      <c r="AL288" s="86">
        <f>IF(NFI_Expiration=1,IF($A288&lt;VLOOKUP(T$5,NFI,5,0),1,0)*Data_NFI_t[[#This Row],[Jerry Can]],0)</f>
        <v>0</v>
      </c>
      <c r="AM288" s="105">
        <f>IF(NFI_Expiration=1,IF($A288&lt;VLOOKUP(U$5,NFI,5,0),1,0)*Data_NFI_t[[#This Row],[Plastic Mat]],0)*IF(Data_NFI_t[[#This Row],[Distribution Date]]&gt;"01-06-2015",1,2.5)</f>
        <v>0</v>
      </c>
      <c r="AN288" s="734">
        <f>IF(NFI_Expiration=1,IF($A288&lt;VLOOKUP(V$5,NFI,5,0),1,0)*Data_NFI_t[[#This Row],[Adult Clothes]],0)</f>
        <v>0</v>
      </c>
      <c r="AO288" s="105">
        <f>IF(NFI_Expiration=1,IF($A288&lt;VLOOKUP(W$5,NFI,5,0),1,0)*Data_NFI_t[[#This Row],[Children Clothes]],0)</f>
        <v>0</v>
      </c>
      <c r="AP288" s="105">
        <f>IF(NFI_Expiration=1,IF($A288&lt;VLOOKUP(X$5,NFI,5,0),1,0)*Data_NFI_t[[#This Row],[Sewing Kit]],0)</f>
        <v>0</v>
      </c>
      <c r="AQ288" s="734">
        <f>IF(NFI_Expiration=1,IF($A288&lt;VLOOKUP(X$5,NFI,5,0),1,0)*Data_NFI_t[[#This Row],[Solar Lantern]],0)</f>
        <v>0</v>
      </c>
      <c r="AR288" s="105" t="str">
        <f ca="1">IFERROR(OFFSET(Camp_List[P_Code],MATCH(Data_NFI_t[[#This Row],[Camp Name]],Camp_List[Camp Name],0)-1,0,1,1),"")</f>
        <v>MMR012CMP007</v>
      </c>
      <c r="AS288" s="421" t="str">
        <f ca="1">IFERROR(OFFSET(Camp_List[Status],MATCH(Data_NFI_t[[#This Row],[Camp Name]],Camp_List[Camp Name],0)-1,0,1,1),"")</f>
        <v>Close</v>
      </c>
      <c r="AT288" s="105"/>
    </row>
    <row r="289" spans="1:46" s="78" customFormat="1" ht="19.5" customHeight="1" x14ac:dyDescent="0.25">
      <c r="A289" s="208">
        <f t="shared" si="4"/>
        <v>57.533333333333331</v>
      </c>
      <c r="B289" s="208">
        <f>YEAR(Data_NFI_t[[#This Row],[Distribution Date]])</f>
        <v>2013</v>
      </c>
      <c r="C289" s="744">
        <v>41464</v>
      </c>
      <c r="D289" s="402" t="s">
        <v>270</v>
      </c>
      <c r="E289" s="401" t="s">
        <v>270</v>
      </c>
      <c r="F289" s="402" t="s">
        <v>7</v>
      </c>
      <c r="G289" s="670" t="s">
        <v>11</v>
      </c>
      <c r="H289" s="670" t="s">
        <v>29</v>
      </c>
      <c r="I289" s="670"/>
      <c r="J289" s="670"/>
      <c r="K289" s="670"/>
      <c r="L289" s="42"/>
      <c r="M289" s="42"/>
      <c r="N289" s="42"/>
      <c r="O289" s="42"/>
      <c r="P289" s="42"/>
      <c r="Q289" s="42"/>
      <c r="R289" s="42"/>
      <c r="S289" s="42"/>
      <c r="T289" s="419"/>
      <c r="U289" s="42"/>
      <c r="V289" s="42"/>
      <c r="W289" s="42"/>
      <c r="X289" s="42"/>
      <c r="Y289" s="42"/>
      <c r="Z289" s="42"/>
      <c r="AA289" s="42"/>
      <c r="AB289" s="42"/>
      <c r="AC289" s="105">
        <f>IF(NFI_Expiration=1,IF($A289&lt;VLOOKUP(I$5,NFI,5,0),1,0)*Data_NFI_t[[#This Row],[Hygiene Kit]],0)</f>
        <v>0</v>
      </c>
      <c r="AD289" s="105">
        <f>IF(NFI_Expiration=1,IF($A289&lt;VLOOKUP(L$5,NFI,5,0),1,0)*Data_NFI_t[[#This Row],[NFI Core Kit]],0)</f>
        <v>0</v>
      </c>
      <c r="AE289" s="86">
        <f>IF(NFI_Expiration=1,IF($A289&lt;VLOOKUP(M$5,NFI,5,0),1,0)*Data_NFI_t[[#This Row],[Sanitary Kit]],0)</f>
        <v>0</v>
      </c>
      <c r="AF289" s="86">
        <f>IF(NFI_Expiration=1,IF($A289&lt;VLOOKUP(N$5,NFI,5,0),1,0)*Data_NFI_t[[#This Row],[Mosquito net]],0)</f>
        <v>0</v>
      </c>
      <c r="AG289" s="86">
        <f>IF(NFI_Expiration=1,IF($A289&lt;VLOOKUP(O$5,NFI,5,0),1,0)*Data_NFI_t[[#This Row],[Tarpaulin]],0)</f>
        <v>0</v>
      </c>
      <c r="AH289" s="86">
        <f>IF(NFI_Expiration=1,IF($A289&lt;VLOOKUP(P$5,NFI,5,0),1,0)*Data_NFI_t[[#This Row],[Blanket]],0)</f>
        <v>0</v>
      </c>
      <c r="AI289" s="86">
        <f>IF(NFI_Expiration=1,IF($A289&lt;VLOOKUP(Q$5,NFI,5,0),1,0)*Data_NFI_t[[#This Row],[Kitchen Set]],0)</f>
        <v>0</v>
      </c>
      <c r="AJ289" s="86">
        <f>IF(NFI_Expiration=1,IF($A289&lt;VLOOKUP(R$5,NFI,5,0),1,0)*Data_NFI_t[[#This Row],[Complementary Kit]],0)</f>
        <v>0</v>
      </c>
      <c r="AK289" s="86">
        <f>IF(NFI_Expiration=1,IF($A289&lt;VLOOKUP(S$5,NFI,5,0),1,0)*Data_NFI_t[[#This Row],[Plastic Bucket]],0)</f>
        <v>0</v>
      </c>
      <c r="AL289" s="86">
        <f>IF(NFI_Expiration=1,IF($A289&lt;VLOOKUP(T$5,NFI,5,0),1,0)*Data_NFI_t[[#This Row],[Jerry Can]],0)</f>
        <v>0</v>
      </c>
      <c r="AM289" s="105">
        <f>IF(NFI_Expiration=1,IF($A289&lt;VLOOKUP(U$5,NFI,5,0),1,0)*Data_NFI_t[[#This Row],[Plastic Mat]],0)*IF(Data_NFI_t[[#This Row],[Distribution Date]]&gt;"01-06-2015",1,2.5)</f>
        <v>0</v>
      </c>
      <c r="AN289" s="734">
        <f>IF(NFI_Expiration=1,IF($A289&lt;VLOOKUP(V$5,NFI,5,0),1,0)*Data_NFI_t[[#This Row],[Adult Clothes]],0)</f>
        <v>0</v>
      </c>
      <c r="AO289" s="105">
        <f>IF(NFI_Expiration=1,IF($A289&lt;VLOOKUP(W$5,NFI,5,0),1,0)*Data_NFI_t[[#This Row],[Children Clothes]],0)</f>
        <v>0</v>
      </c>
      <c r="AP289" s="105">
        <f>IF(NFI_Expiration=1,IF($A289&lt;VLOOKUP(X$5,NFI,5,0),1,0)*Data_NFI_t[[#This Row],[Sewing Kit]],0)</f>
        <v>0</v>
      </c>
      <c r="AQ289" s="734">
        <f>IF(NFI_Expiration=1,IF($A289&lt;VLOOKUP(X$5,NFI,5,0),1,0)*Data_NFI_t[[#This Row],[Solar Lantern]],0)</f>
        <v>0</v>
      </c>
      <c r="AR289" s="105" t="str">
        <f ca="1">IFERROR(OFFSET(Camp_List[P_Code],MATCH(Data_NFI_t[[#This Row],[Camp Name]],Camp_List[Camp Name],0)-1,0,1,1),"")</f>
        <v>MMR012CMP007</v>
      </c>
      <c r="AS289" s="421" t="str">
        <f ca="1">IFERROR(OFFSET(Camp_List[Status],MATCH(Data_NFI_t[[#This Row],[Camp Name]],Camp_List[Camp Name],0)-1,0,1,1),"")</f>
        <v>Close</v>
      </c>
      <c r="AT289" s="105"/>
    </row>
    <row r="290" spans="1:46" s="78" customFormat="1" ht="19.5" customHeight="1" x14ac:dyDescent="0.25">
      <c r="A290" s="208">
        <f t="shared" si="4"/>
        <v>57.633333333333333</v>
      </c>
      <c r="B290" s="208">
        <f>YEAR(Data_NFI_t[[#This Row],[Distribution Date]])</f>
        <v>2013</v>
      </c>
      <c r="C290" s="744">
        <v>41461</v>
      </c>
      <c r="D290" s="402" t="s">
        <v>270</v>
      </c>
      <c r="E290" s="401" t="s">
        <v>270</v>
      </c>
      <c r="F290" s="402" t="s">
        <v>7</v>
      </c>
      <c r="G290" s="670" t="s">
        <v>941</v>
      </c>
      <c r="H290" s="670" t="s">
        <v>31</v>
      </c>
      <c r="I290" s="670"/>
      <c r="J290" s="670"/>
      <c r="K290" s="670"/>
      <c r="L290" s="42"/>
      <c r="M290" s="42"/>
      <c r="N290" s="42">
        <v>600</v>
      </c>
      <c r="O290" s="42">
        <v>5</v>
      </c>
      <c r="P290" s="42">
        <v>600</v>
      </c>
      <c r="Q290" s="42">
        <v>300</v>
      </c>
      <c r="R290" s="42">
        <v>300</v>
      </c>
      <c r="S290" s="42">
        <v>300</v>
      </c>
      <c r="T290" s="419"/>
      <c r="U290" s="42">
        <v>600</v>
      </c>
      <c r="V290" s="42"/>
      <c r="W290" s="42"/>
      <c r="X290" s="42"/>
      <c r="Y290" s="42"/>
      <c r="Z290" s="42"/>
      <c r="AA290" s="42"/>
      <c r="AB290" s="42"/>
      <c r="AC290" s="105">
        <f>IF(NFI_Expiration=1,IF($A290&lt;VLOOKUP(I$5,NFI,5,0),1,0)*Data_NFI_t[[#This Row],[Hygiene Kit]],0)</f>
        <v>0</v>
      </c>
      <c r="AD290" s="105">
        <f>IF(NFI_Expiration=1,IF($A290&lt;VLOOKUP(L$5,NFI,5,0),1,0)*Data_NFI_t[[#This Row],[NFI Core Kit]],0)</f>
        <v>0</v>
      </c>
      <c r="AE290" s="86">
        <f>IF(NFI_Expiration=1,IF($A290&lt;VLOOKUP(M$5,NFI,5,0),1,0)*Data_NFI_t[[#This Row],[Sanitary Kit]],0)</f>
        <v>0</v>
      </c>
      <c r="AF290" s="86">
        <f>IF(NFI_Expiration=1,IF($A290&lt;VLOOKUP(N$5,NFI,5,0),1,0)*Data_NFI_t[[#This Row],[Mosquito net]],0)</f>
        <v>0</v>
      </c>
      <c r="AG290" s="86">
        <f>IF(NFI_Expiration=1,IF($A290&lt;VLOOKUP(O$5,NFI,5,0),1,0)*Data_NFI_t[[#This Row],[Tarpaulin]],0)</f>
        <v>0</v>
      </c>
      <c r="AH290" s="86">
        <f>IF(NFI_Expiration=1,IF($A290&lt;VLOOKUP(P$5,NFI,5,0),1,0)*Data_NFI_t[[#This Row],[Blanket]],0)</f>
        <v>0</v>
      </c>
      <c r="AI290" s="86">
        <f>IF(NFI_Expiration=1,IF($A290&lt;VLOOKUP(Q$5,NFI,5,0),1,0)*Data_NFI_t[[#This Row],[Kitchen Set]],0)</f>
        <v>0</v>
      </c>
      <c r="AJ290" s="86">
        <f>IF(NFI_Expiration=1,IF($A290&lt;VLOOKUP(R$5,NFI,5,0),1,0)*Data_NFI_t[[#This Row],[Complementary Kit]],0)</f>
        <v>0</v>
      </c>
      <c r="AK290" s="86">
        <f>IF(NFI_Expiration=1,IF($A290&lt;VLOOKUP(S$5,NFI,5,0),1,0)*Data_NFI_t[[#This Row],[Plastic Bucket]],0)</f>
        <v>0</v>
      </c>
      <c r="AL290" s="86">
        <f>IF(NFI_Expiration=1,IF($A290&lt;VLOOKUP(T$5,NFI,5,0),1,0)*Data_NFI_t[[#This Row],[Jerry Can]],0)</f>
        <v>0</v>
      </c>
      <c r="AM290" s="105">
        <f>IF(NFI_Expiration=1,IF($A290&lt;VLOOKUP(U$5,NFI,5,0),1,0)*Data_NFI_t[[#This Row],[Plastic Mat]],0)*IF(Data_NFI_t[[#This Row],[Distribution Date]]&gt;"01-06-2015",1,2.5)</f>
        <v>0</v>
      </c>
      <c r="AN290" s="734">
        <f>IF(NFI_Expiration=1,IF($A290&lt;VLOOKUP(V$5,NFI,5,0),1,0)*Data_NFI_t[[#This Row],[Adult Clothes]],0)</f>
        <v>0</v>
      </c>
      <c r="AO290" s="105">
        <f>IF(NFI_Expiration=1,IF($A290&lt;VLOOKUP(W$5,NFI,5,0),1,0)*Data_NFI_t[[#This Row],[Children Clothes]],0)</f>
        <v>0</v>
      </c>
      <c r="AP290" s="105">
        <f>IF(NFI_Expiration=1,IF($A290&lt;VLOOKUP(X$5,NFI,5,0),1,0)*Data_NFI_t[[#This Row],[Sewing Kit]],0)</f>
        <v>0</v>
      </c>
      <c r="AQ290" s="734">
        <f>IF(NFI_Expiration=1,IF($A290&lt;VLOOKUP(X$5,NFI,5,0),1,0)*Data_NFI_t[[#This Row],[Solar Lantern]],0)</f>
        <v>0</v>
      </c>
      <c r="AR290" s="105" t="str">
        <f ca="1">IFERROR(OFFSET(Camp_List[P_Code],MATCH(Data_NFI_t[[#This Row],[Camp Name]],Camp_List[Camp Name],0)-1,0,1,1),"")</f>
        <v>MMR012CMP009</v>
      </c>
      <c r="AS290" s="421" t="str">
        <f ca="1">IFERROR(OFFSET(Camp_List[Status],MATCH(Data_NFI_t[[#This Row],[Camp Name]],Camp_List[Camp Name],0)-1,0,1,1),"")</f>
        <v>Returned</v>
      </c>
      <c r="AT290" s="105"/>
    </row>
    <row r="291" spans="1:46" s="78" customFormat="1" ht="19.5" customHeight="1" x14ac:dyDescent="0.25">
      <c r="A291" s="208">
        <f t="shared" si="4"/>
        <v>57.633333333333333</v>
      </c>
      <c r="B291" s="208">
        <f>YEAR(Data_NFI_t[[#This Row],[Distribution Date]])</f>
        <v>2013</v>
      </c>
      <c r="C291" s="744">
        <v>41461</v>
      </c>
      <c r="D291" s="402" t="s">
        <v>270</v>
      </c>
      <c r="E291" s="401" t="s">
        <v>270</v>
      </c>
      <c r="F291" s="402" t="s">
        <v>7</v>
      </c>
      <c r="G291" s="670" t="s">
        <v>11</v>
      </c>
      <c r="H291" s="670" t="s">
        <v>27</v>
      </c>
      <c r="I291" s="670"/>
      <c r="J291" s="670"/>
      <c r="K291" s="670"/>
      <c r="L291" s="42"/>
      <c r="M291" s="42"/>
      <c r="N291" s="42">
        <v>458</v>
      </c>
      <c r="O291" s="42"/>
      <c r="P291" s="42">
        <v>458</v>
      </c>
      <c r="Q291" s="42">
        <v>229</v>
      </c>
      <c r="R291" s="42">
        <v>229</v>
      </c>
      <c r="S291" s="42">
        <v>229</v>
      </c>
      <c r="T291" s="419"/>
      <c r="U291" s="42">
        <v>458</v>
      </c>
      <c r="V291" s="42"/>
      <c r="W291" s="42"/>
      <c r="X291" s="42"/>
      <c r="Y291" s="42"/>
      <c r="Z291" s="42"/>
      <c r="AA291" s="42"/>
      <c r="AB291" s="42"/>
      <c r="AC291" s="105">
        <f>IF(NFI_Expiration=1,IF($A291&lt;VLOOKUP(I$5,NFI,5,0),1,0)*Data_NFI_t[[#This Row],[Hygiene Kit]],0)</f>
        <v>0</v>
      </c>
      <c r="AD291" s="105">
        <f>IF(NFI_Expiration=1,IF($A291&lt;VLOOKUP(L$5,NFI,5,0),1,0)*Data_NFI_t[[#This Row],[NFI Core Kit]],0)</f>
        <v>0</v>
      </c>
      <c r="AE291" s="86">
        <f>IF(NFI_Expiration=1,IF($A291&lt;VLOOKUP(M$5,NFI,5,0),1,0)*Data_NFI_t[[#This Row],[Sanitary Kit]],0)</f>
        <v>0</v>
      </c>
      <c r="AF291" s="86">
        <f>IF(NFI_Expiration=1,IF($A291&lt;VLOOKUP(N$5,NFI,5,0),1,0)*Data_NFI_t[[#This Row],[Mosquito net]],0)</f>
        <v>0</v>
      </c>
      <c r="AG291" s="86">
        <f>IF(NFI_Expiration=1,IF($A291&lt;VLOOKUP(O$5,NFI,5,0),1,0)*Data_NFI_t[[#This Row],[Tarpaulin]],0)</f>
        <v>0</v>
      </c>
      <c r="AH291" s="86">
        <f>IF(NFI_Expiration=1,IF($A291&lt;VLOOKUP(P$5,NFI,5,0),1,0)*Data_NFI_t[[#This Row],[Blanket]],0)</f>
        <v>0</v>
      </c>
      <c r="AI291" s="86">
        <f>IF(NFI_Expiration=1,IF($A291&lt;VLOOKUP(Q$5,NFI,5,0),1,0)*Data_NFI_t[[#This Row],[Kitchen Set]],0)</f>
        <v>0</v>
      </c>
      <c r="AJ291" s="86">
        <f>IF(NFI_Expiration=1,IF($A291&lt;VLOOKUP(R$5,NFI,5,0),1,0)*Data_NFI_t[[#This Row],[Complementary Kit]],0)</f>
        <v>0</v>
      </c>
      <c r="AK291" s="86">
        <f>IF(NFI_Expiration=1,IF($A291&lt;VLOOKUP(S$5,NFI,5,0),1,0)*Data_NFI_t[[#This Row],[Plastic Bucket]],0)</f>
        <v>0</v>
      </c>
      <c r="AL291" s="86">
        <f>IF(NFI_Expiration=1,IF($A291&lt;VLOOKUP(T$5,NFI,5,0),1,0)*Data_NFI_t[[#This Row],[Jerry Can]],0)</f>
        <v>0</v>
      </c>
      <c r="AM291" s="105">
        <f>IF(NFI_Expiration=1,IF($A291&lt;VLOOKUP(U$5,NFI,5,0),1,0)*Data_NFI_t[[#This Row],[Plastic Mat]],0)*IF(Data_NFI_t[[#This Row],[Distribution Date]]&gt;"01-06-2015",1,2.5)</f>
        <v>0</v>
      </c>
      <c r="AN291" s="734">
        <f>IF(NFI_Expiration=1,IF($A291&lt;VLOOKUP(V$5,NFI,5,0),1,0)*Data_NFI_t[[#This Row],[Adult Clothes]],0)</f>
        <v>0</v>
      </c>
      <c r="AO291" s="105">
        <f>IF(NFI_Expiration=1,IF($A291&lt;VLOOKUP(W$5,NFI,5,0),1,0)*Data_NFI_t[[#This Row],[Children Clothes]],0)</f>
        <v>0</v>
      </c>
      <c r="AP291" s="105">
        <f>IF(NFI_Expiration=1,IF($A291&lt;VLOOKUP(X$5,NFI,5,0),1,0)*Data_NFI_t[[#This Row],[Sewing Kit]],0)</f>
        <v>0</v>
      </c>
      <c r="AQ291" s="734">
        <f>IF(NFI_Expiration=1,IF($A291&lt;VLOOKUP(X$5,NFI,5,0),1,0)*Data_NFI_t[[#This Row],[Solar Lantern]],0)</f>
        <v>0</v>
      </c>
      <c r="AR291" s="105" t="str">
        <f ca="1">IFERROR(OFFSET(Camp_List[P_Code],MATCH(Data_NFI_t[[#This Row],[Camp Name]],Camp_List[Camp Name],0)-1,0,1,1),"")</f>
        <v>MMR012CMP005</v>
      </c>
      <c r="AS291" s="421" t="str">
        <f ca="1">IFERROR(OFFSET(Camp_List[Status],MATCH(Data_NFI_t[[#This Row],[Camp Name]],Camp_List[Camp Name],0)-1,0,1,1),"")</f>
        <v>Returned</v>
      </c>
      <c r="AT291" s="105"/>
    </row>
    <row r="292" spans="1:46" s="78" customFormat="1" ht="19.5" customHeight="1" x14ac:dyDescent="0.25">
      <c r="A292" s="208">
        <f t="shared" si="4"/>
        <v>57.633333333333333</v>
      </c>
      <c r="B292" s="208">
        <f>YEAR(Data_NFI_t[[#This Row],[Distribution Date]])</f>
        <v>2013</v>
      </c>
      <c r="C292" s="744">
        <v>41461</v>
      </c>
      <c r="D292" s="402" t="s">
        <v>270</v>
      </c>
      <c r="E292" s="401" t="s">
        <v>270</v>
      </c>
      <c r="F292" s="402" t="s">
        <v>7</v>
      </c>
      <c r="G292" s="670" t="s">
        <v>941</v>
      </c>
      <c r="H292" s="670" t="s">
        <v>32</v>
      </c>
      <c r="I292" s="670"/>
      <c r="J292" s="670"/>
      <c r="K292" s="670"/>
      <c r="L292" s="42"/>
      <c r="M292" s="42"/>
      <c r="N292" s="42">
        <v>730</v>
      </c>
      <c r="O292" s="42"/>
      <c r="P292" s="42">
        <v>730</v>
      </c>
      <c r="Q292" s="42">
        <v>365</v>
      </c>
      <c r="R292" s="42">
        <v>365</v>
      </c>
      <c r="S292" s="42">
        <v>365</v>
      </c>
      <c r="T292" s="419"/>
      <c r="U292" s="42">
        <v>730</v>
      </c>
      <c r="V292" s="42"/>
      <c r="W292" s="42"/>
      <c r="X292" s="42"/>
      <c r="Y292" s="42"/>
      <c r="Z292" s="42"/>
      <c r="AA292" s="42"/>
      <c r="AB292" s="42"/>
      <c r="AC292" s="105">
        <f>IF(NFI_Expiration=1,IF($A292&lt;VLOOKUP(I$5,NFI,5,0),1,0)*Data_NFI_t[[#This Row],[Hygiene Kit]],0)</f>
        <v>0</v>
      </c>
      <c r="AD292" s="105">
        <f>IF(NFI_Expiration=1,IF($A292&lt;VLOOKUP(L$5,NFI,5,0),1,0)*Data_NFI_t[[#This Row],[NFI Core Kit]],0)</f>
        <v>0</v>
      </c>
      <c r="AE292" s="86">
        <f>IF(NFI_Expiration=1,IF($A292&lt;VLOOKUP(M$5,NFI,5,0),1,0)*Data_NFI_t[[#This Row],[Sanitary Kit]],0)</f>
        <v>0</v>
      </c>
      <c r="AF292" s="86">
        <f>IF(NFI_Expiration=1,IF($A292&lt;VLOOKUP(N$5,NFI,5,0),1,0)*Data_NFI_t[[#This Row],[Mosquito net]],0)</f>
        <v>0</v>
      </c>
      <c r="AG292" s="86">
        <f>IF(NFI_Expiration=1,IF($A292&lt;VLOOKUP(O$5,NFI,5,0),1,0)*Data_NFI_t[[#This Row],[Tarpaulin]],0)</f>
        <v>0</v>
      </c>
      <c r="AH292" s="86">
        <f>IF(NFI_Expiration=1,IF($A292&lt;VLOOKUP(P$5,NFI,5,0),1,0)*Data_NFI_t[[#This Row],[Blanket]],0)</f>
        <v>0</v>
      </c>
      <c r="AI292" s="86">
        <f>IF(NFI_Expiration=1,IF($A292&lt;VLOOKUP(Q$5,NFI,5,0),1,0)*Data_NFI_t[[#This Row],[Kitchen Set]],0)</f>
        <v>0</v>
      </c>
      <c r="AJ292" s="86">
        <f>IF(NFI_Expiration=1,IF($A292&lt;VLOOKUP(R$5,NFI,5,0),1,0)*Data_NFI_t[[#This Row],[Complementary Kit]],0)</f>
        <v>0</v>
      </c>
      <c r="AK292" s="86">
        <f>IF(NFI_Expiration=1,IF($A292&lt;VLOOKUP(S$5,NFI,5,0),1,0)*Data_NFI_t[[#This Row],[Plastic Bucket]],0)</f>
        <v>0</v>
      </c>
      <c r="AL292" s="86">
        <f>IF(NFI_Expiration=1,IF($A292&lt;VLOOKUP(T$5,NFI,5,0),1,0)*Data_NFI_t[[#This Row],[Jerry Can]],0)</f>
        <v>0</v>
      </c>
      <c r="AM292" s="105">
        <f>IF(NFI_Expiration=1,IF($A292&lt;VLOOKUP(U$5,NFI,5,0),1,0)*Data_NFI_t[[#This Row],[Plastic Mat]],0)*IF(Data_NFI_t[[#This Row],[Distribution Date]]&gt;"01-06-2015",1,2.5)</f>
        <v>0</v>
      </c>
      <c r="AN292" s="734">
        <f>IF(NFI_Expiration=1,IF($A292&lt;VLOOKUP(V$5,NFI,5,0),1,0)*Data_NFI_t[[#This Row],[Adult Clothes]],0)</f>
        <v>0</v>
      </c>
      <c r="AO292" s="105">
        <f>IF(NFI_Expiration=1,IF($A292&lt;VLOOKUP(W$5,NFI,5,0),1,0)*Data_NFI_t[[#This Row],[Children Clothes]],0)</f>
        <v>0</v>
      </c>
      <c r="AP292" s="105">
        <f>IF(NFI_Expiration=1,IF($A292&lt;VLOOKUP(X$5,NFI,5,0),1,0)*Data_NFI_t[[#This Row],[Sewing Kit]],0)</f>
        <v>0</v>
      </c>
      <c r="AQ292" s="734">
        <f>IF(NFI_Expiration=1,IF($A292&lt;VLOOKUP(X$5,NFI,5,0),1,0)*Data_NFI_t[[#This Row],[Solar Lantern]],0)</f>
        <v>0</v>
      </c>
      <c r="AR292" s="105" t="str">
        <f ca="1">IFERROR(OFFSET(Camp_List[P_Code],MATCH(Data_NFI_t[[#This Row],[Camp Name]],Camp_List[Camp Name],0)-1,0,1,1),"")</f>
        <v>MMR012CMP010</v>
      </c>
      <c r="AS292" s="421" t="str">
        <f ca="1">IFERROR(OFFSET(Camp_List[Status],MATCH(Data_NFI_t[[#This Row],[Camp Name]],Camp_List[Camp Name],0)-1,0,1,1),"")</f>
        <v>Returned</v>
      </c>
      <c r="AT292" s="105"/>
    </row>
    <row r="293" spans="1:46" s="78" customFormat="1" ht="19.5" customHeight="1" x14ac:dyDescent="0.25">
      <c r="A293" s="208">
        <f t="shared" si="4"/>
        <v>57.8</v>
      </c>
      <c r="B293" s="208">
        <f>YEAR(Data_NFI_t[[#This Row],[Distribution Date]])</f>
        <v>2013</v>
      </c>
      <c r="C293" s="744">
        <v>41456</v>
      </c>
      <c r="D293" s="402" t="s">
        <v>270</v>
      </c>
      <c r="E293" s="401" t="s">
        <v>270</v>
      </c>
      <c r="F293" s="402" t="s">
        <v>7</v>
      </c>
      <c r="G293" s="670" t="s">
        <v>14</v>
      </c>
      <c r="H293" s="670" t="s">
        <v>46</v>
      </c>
      <c r="I293" s="670"/>
      <c r="J293" s="670"/>
      <c r="K293" s="670"/>
      <c r="L293" s="42"/>
      <c r="M293" s="42"/>
      <c r="N293" s="42">
        <v>224</v>
      </c>
      <c r="O293" s="42">
        <v>400</v>
      </c>
      <c r="P293" s="42">
        <v>224</v>
      </c>
      <c r="Q293" s="42">
        <v>112</v>
      </c>
      <c r="R293" s="42">
        <v>112</v>
      </c>
      <c r="S293" s="42">
        <v>112</v>
      </c>
      <c r="T293" s="419"/>
      <c r="U293" s="42">
        <v>224</v>
      </c>
      <c r="V293" s="42"/>
      <c r="W293" s="42"/>
      <c r="X293" s="42"/>
      <c r="Y293" s="42"/>
      <c r="Z293" s="42"/>
      <c r="AA293" s="42"/>
      <c r="AB293" s="42"/>
      <c r="AC293" s="105">
        <f>IF(NFI_Expiration=1,IF($A293&lt;VLOOKUP(I$5,NFI,5,0),1,0)*Data_NFI_t[[#This Row],[Hygiene Kit]],0)</f>
        <v>0</v>
      </c>
      <c r="AD293" s="105">
        <f>IF(NFI_Expiration=1,IF($A293&lt;VLOOKUP(L$5,NFI,5,0),1,0)*Data_NFI_t[[#This Row],[NFI Core Kit]],0)</f>
        <v>0</v>
      </c>
      <c r="AE293" s="86">
        <f>IF(NFI_Expiration=1,IF($A293&lt;VLOOKUP(M$5,NFI,5,0),1,0)*Data_NFI_t[[#This Row],[Sanitary Kit]],0)</f>
        <v>0</v>
      </c>
      <c r="AF293" s="86">
        <f>IF(NFI_Expiration=1,IF($A293&lt;VLOOKUP(N$5,NFI,5,0),1,0)*Data_NFI_t[[#This Row],[Mosquito net]],0)</f>
        <v>0</v>
      </c>
      <c r="AG293" s="86">
        <f>IF(NFI_Expiration=1,IF($A293&lt;VLOOKUP(O$5,NFI,5,0),1,0)*Data_NFI_t[[#This Row],[Tarpaulin]],0)</f>
        <v>0</v>
      </c>
      <c r="AH293" s="86">
        <f>IF(NFI_Expiration=1,IF($A293&lt;VLOOKUP(P$5,NFI,5,0),1,0)*Data_NFI_t[[#This Row],[Blanket]],0)</f>
        <v>0</v>
      </c>
      <c r="AI293" s="86">
        <f>IF(NFI_Expiration=1,IF($A293&lt;VLOOKUP(Q$5,NFI,5,0),1,0)*Data_NFI_t[[#This Row],[Kitchen Set]],0)</f>
        <v>0</v>
      </c>
      <c r="AJ293" s="86">
        <f>IF(NFI_Expiration=1,IF($A293&lt;VLOOKUP(R$5,NFI,5,0),1,0)*Data_NFI_t[[#This Row],[Complementary Kit]],0)</f>
        <v>0</v>
      </c>
      <c r="AK293" s="86">
        <f>IF(NFI_Expiration=1,IF($A293&lt;VLOOKUP(S$5,NFI,5,0),1,0)*Data_NFI_t[[#This Row],[Plastic Bucket]],0)</f>
        <v>0</v>
      </c>
      <c r="AL293" s="86">
        <f>IF(NFI_Expiration=1,IF($A293&lt;VLOOKUP(T$5,NFI,5,0),1,0)*Data_NFI_t[[#This Row],[Jerry Can]],0)</f>
        <v>0</v>
      </c>
      <c r="AM293" s="105">
        <f>IF(NFI_Expiration=1,IF($A293&lt;VLOOKUP(U$5,NFI,5,0),1,0)*Data_NFI_t[[#This Row],[Plastic Mat]],0)*IF(Data_NFI_t[[#This Row],[Distribution Date]]&gt;"01-06-2015",1,2.5)</f>
        <v>0</v>
      </c>
      <c r="AN293" s="734">
        <f>IF(NFI_Expiration=1,IF($A293&lt;VLOOKUP(V$5,NFI,5,0),1,0)*Data_NFI_t[[#This Row],[Adult Clothes]],0)</f>
        <v>0</v>
      </c>
      <c r="AO293" s="105">
        <f>IF(NFI_Expiration=1,IF($A293&lt;VLOOKUP(W$5,NFI,5,0),1,0)*Data_NFI_t[[#This Row],[Children Clothes]],0)</f>
        <v>0</v>
      </c>
      <c r="AP293" s="105">
        <f>IF(NFI_Expiration=1,IF($A293&lt;VLOOKUP(X$5,NFI,5,0),1,0)*Data_NFI_t[[#This Row],[Sewing Kit]],0)</f>
        <v>0</v>
      </c>
      <c r="AQ293" s="734">
        <f>IF(NFI_Expiration=1,IF($A293&lt;VLOOKUP(X$5,NFI,5,0),1,0)*Data_NFI_t[[#This Row],[Solar Lantern]],0)</f>
        <v>0</v>
      </c>
      <c r="AR293" s="105" t="str">
        <f ca="1">IFERROR(OFFSET(Camp_List[P_Code],MATCH(Data_NFI_t[[#This Row],[Camp Name]],Camp_List[Camp Name],0)-1,0,1,1),"")</f>
        <v>MMR012CMP024</v>
      </c>
      <c r="AS293" s="421" t="str">
        <f ca="1">IFERROR(OFFSET(Camp_List[Status],MATCH(Data_NFI_t[[#This Row],[Camp Name]],Camp_List[Camp Name],0)-1,0,1,1),"")</f>
        <v>Returned</v>
      </c>
      <c r="AT293" s="105"/>
    </row>
    <row r="294" spans="1:46" s="78" customFormat="1" ht="19.5" customHeight="1" x14ac:dyDescent="0.25">
      <c r="A294" s="208">
        <f t="shared" si="4"/>
        <v>57.8</v>
      </c>
      <c r="B294" s="208">
        <f>YEAR(Data_NFI_t[[#This Row],[Distribution Date]])</f>
        <v>2013</v>
      </c>
      <c r="C294" s="744">
        <v>41456</v>
      </c>
      <c r="D294" s="402" t="s">
        <v>270</v>
      </c>
      <c r="E294" s="401" t="s">
        <v>270</v>
      </c>
      <c r="F294" s="402" t="s">
        <v>7</v>
      </c>
      <c r="G294" s="670" t="s">
        <v>14</v>
      </c>
      <c r="H294" s="670" t="s">
        <v>49</v>
      </c>
      <c r="I294" s="670"/>
      <c r="J294" s="670"/>
      <c r="K294" s="670"/>
      <c r="L294" s="42"/>
      <c r="M294" s="42"/>
      <c r="N294" s="42">
        <v>232</v>
      </c>
      <c r="O294" s="42">
        <v>220</v>
      </c>
      <c r="P294" s="42">
        <v>232</v>
      </c>
      <c r="Q294" s="42">
        <v>116</v>
      </c>
      <c r="R294" s="42">
        <v>116</v>
      </c>
      <c r="S294" s="42">
        <v>116</v>
      </c>
      <c r="T294" s="419"/>
      <c r="U294" s="42">
        <v>232</v>
      </c>
      <c r="V294" s="42"/>
      <c r="W294" s="42"/>
      <c r="X294" s="42"/>
      <c r="Y294" s="42"/>
      <c r="Z294" s="42"/>
      <c r="AA294" s="42"/>
      <c r="AB294" s="42"/>
      <c r="AC294" s="105">
        <f>IF(NFI_Expiration=1,IF($A294&lt;VLOOKUP(I$5,NFI,5,0),1,0)*Data_NFI_t[[#This Row],[Hygiene Kit]],0)</f>
        <v>0</v>
      </c>
      <c r="AD294" s="105">
        <f>IF(NFI_Expiration=1,IF($A294&lt;VLOOKUP(L$5,NFI,5,0),1,0)*Data_NFI_t[[#This Row],[NFI Core Kit]],0)</f>
        <v>0</v>
      </c>
      <c r="AE294" s="86">
        <f>IF(NFI_Expiration=1,IF($A294&lt;VLOOKUP(M$5,NFI,5,0),1,0)*Data_NFI_t[[#This Row],[Sanitary Kit]],0)</f>
        <v>0</v>
      </c>
      <c r="AF294" s="86">
        <f>IF(NFI_Expiration=1,IF($A294&lt;VLOOKUP(N$5,NFI,5,0),1,0)*Data_NFI_t[[#This Row],[Mosquito net]],0)</f>
        <v>0</v>
      </c>
      <c r="AG294" s="86">
        <f>IF(NFI_Expiration=1,IF($A294&lt;VLOOKUP(O$5,NFI,5,0),1,0)*Data_NFI_t[[#This Row],[Tarpaulin]],0)</f>
        <v>0</v>
      </c>
      <c r="AH294" s="86">
        <f>IF(NFI_Expiration=1,IF($A294&lt;VLOOKUP(P$5,NFI,5,0),1,0)*Data_NFI_t[[#This Row],[Blanket]],0)</f>
        <v>0</v>
      </c>
      <c r="AI294" s="86">
        <f>IF(NFI_Expiration=1,IF($A294&lt;VLOOKUP(Q$5,NFI,5,0),1,0)*Data_NFI_t[[#This Row],[Kitchen Set]],0)</f>
        <v>0</v>
      </c>
      <c r="AJ294" s="86">
        <f>IF(NFI_Expiration=1,IF($A294&lt;VLOOKUP(R$5,NFI,5,0),1,0)*Data_NFI_t[[#This Row],[Complementary Kit]],0)</f>
        <v>0</v>
      </c>
      <c r="AK294" s="86">
        <f>IF(NFI_Expiration=1,IF($A294&lt;VLOOKUP(S$5,NFI,5,0),1,0)*Data_NFI_t[[#This Row],[Plastic Bucket]],0)</f>
        <v>0</v>
      </c>
      <c r="AL294" s="86">
        <f>IF(NFI_Expiration=1,IF($A294&lt;VLOOKUP(T$5,NFI,5,0),1,0)*Data_NFI_t[[#This Row],[Jerry Can]],0)</f>
        <v>0</v>
      </c>
      <c r="AM294" s="105">
        <f>IF(NFI_Expiration=1,IF($A294&lt;VLOOKUP(U$5,NFI,5,0),1,0)*Data_NFI_t[[#This Row],[Plastic Mat]],0)*IF(Data_NFI_t[[#This Row],[Distribution Date]]&gt;"01-06-2015",1,2.5)</f>
        <v>0</v>
      </c>
      <c r="AN294" s="734">
        <f>IF(NFI_Expiration=1,IF($A294&lt;VLOOKUP(V$5,NFI,5,0),1,0)*Data_NFI_t[[#This Row],[Adult Clothes]],0)</f>
        <v>0</v>
      </c>
      <c r="AO294" s="105">
        <f>IF(NFI_Expiration=1,IF($A294&lt;VLOOKUP(W$5,NFI,5,0),1,0)*Data_NFI_t[[#This Row],[Children Clothes]],0)</f>
        <v>0</v>
      </c>
      <c r="AP294" s="105">
        <f>IF(NFI_Expiration=1,IF($A294&lt;VLOOKUP(X$5,NFI,5,0),1,0)*Data_NFI_t[[#This Row],[Sewing Kit]],0)</f>
        <v>0</v>
      </c>
      <c r="AQ294" s="734">
        <f>IF(NFI_Expiration=1,IF($A294&lt;VLOOKUP(X$5,NFI,5,0),1,0)*Data_NFI_t[[#This Row],[Solar Lantern]],0)</f>
        <v>0</v>
      </c>
      <c r="AR294" s="105" t="str">
        <f ca="1">IFERROR(OFFSET(Camp_List[P_Code],MATCH(Data_NFI_t[[#This Row],[Camp Name]],Camp_List[Camp Name],0)-1,0,1,1),"")</f>
        <v>MMR012CMP027</v>
      </c>
      <c r="AS294" s="421" t="str">
        <f ca="1">IFERROR(OFFSET(Camp_List[Status],MATCH(Data_NFI_t[[#This Row],[Camp Name]],Camp_List[Camp Name],0)-1,0,1,1),"")</f>
        <v>Returned</v>
      </c>
      <c r="AT294" s="105"/>
    </row>
    <row r="295" spans="1:46" s="78" customFormat="1" ht="19.5" customHeight="1" x14ac:dyDescent="0.25">
      <c r="A295" s="208">
        <f t="shared" si="4"/>
        <v>57.8</v>
      </c>
      <c r="B295" s="208">
        <f>YEAR(Data_NFI_t[[#This Row],[Distribution Date]])</f>
        <v>2013</v>
      </c>
      <c r="C295" s="744">
        <v>41456</v>
      </c>
      <c r="D295" s="402" t="s">
        <v>270</v>
      </c>
      <c r="E295" s="401" t="s">
        <v>270</v>
      </c>
      <c r="F295" s="402" t="s">
        <v>7</v>
      </c>
      <c r="G295" s="670" t="s">
        <v>14</v>
      </c>
      <c r="H295" s="670" t="s">
        <v>48</v>
      </c>
      <c r="I295" s="670"/>
      <c r="J295" s="670"/>
      <c r="K295" s="670"/>
      <c r="L295" s="42"/>
      <c r="M295" s="42"/>
      <c r="N295" s="42">
        <v>460</v>
      </c>
      <c r="O295" s="42">
        <v>145</v>
      </c>
      <c r="P295" s="42">
        <v>460</v>
      </c>
      <c r="Q295" s="42">
        <v>230</v>
      </c>
      <c r="R295" s="42">
        <v>230</v>
      </c>
      <c r="S295" s="42">
        <v>230</v>
      </c>
      <c r="T295" s="419"/>
      <c r="U295" s="42">
        <v>460</v>
      </c>
      <c r="V295" s="42"/>
      <c r="W295" s="42"/>
      <c r="X295" s="42"/>
      <c r="Y295" s="42"/>
      <c r="Z295" s="42"/>
      <c r="AA295" s="42"/>
      <c r="AB295" s="42"/>
      <c r="AC295" s="105">
        <f>IF(NFI_Expiration=1,IF($A295&lt;VLOOKUP(I$5,NFI,5,0),1,0)*Data_NFI_t[[#This Row],[Hygiene Kit]],0)</f>
        <v>0</v>
      </c>
      <c r="AD295" s="105">
        <f>IF(NFI_Expiration=1,IF($A295&lt;VLOOKUP(L$5,NFI,5,0),1,0)*Data_NFI_t[[#This Row],[NFI Core Kit]],0)</f>
        <v>0</v>
      </c>
      <c r="AE295" s="86">
        <f>IF(NFI_Expiration=1,IF($A295&lt;VLOOKUP(M$5,NFI,5,0),1,0)*Data_NFI_t[[#This Row],[Sanitary Kit]],0)</f>
        <v>0</v>
      </c>
      <c r="AF295" s="86">
        <f>IF(NFI_Expiration=1,IF($A295&lt;VLOOKUP(N$5,NFI,5,0),1,0)*Data_NFI_t[[#This Row],[Mosquito net]],0)</f>
        <v>0</v>
      </c>
      <c r="AG295" s="86">
        <f>IF(NFI_Expiration=1,IF($A295&lt;VLOOKUP(O$5,NFI,5,0),1,0)*Data_NFI_t[[#This Row],[Tarpaulin]],0)</f>
        <v>0</v>
      </c>
      <c r="AH295" s="86">
        <f>IF(NFI_Expiration=1,IF($A295&lt;VLOOKUP(P$5,NFI,5,0),1,0)*Data_NFI_t[[#This Row],[Blanket]],0)</f>
        <v>0</v>
      </c>
      <c r="AI295" s="86">
        <f>IF(NFI_Expiration=1,IF($A295&lt;VLOOKUP(Q$5,NFI,5,0),1,0)*Data_NFI_t[[#This Row],[Kitchen Set]],0)</f>
        <v>0</v>
      </c>
      <c r="AJ295" s="86">
        <f>IF(NFI_Expiration=1,IF($A295&lt;VLOOKUP(R$5,NFI,5,0),1,0)*Data_NFI_t[[#This Row],[Complementary Kit]],0)</f>
        <v>0</v>
      </c>
      <c r="AK295" s="86">
        <f>IF(NFI_Expiration=1,IF($A295&lt;VLOOKUP(S$5,NFI,5,0),1,0)*Data_NFI_t[[#This Row],[Plastic Bucket]],0)</f>
        <v>0</v>
      </c>
      <c r="AL295" s="86">
        <f>IF(NFI_Expiration=1,IF($A295&lt;VLOOKUP(T$5,NFI,5,0),1,0)*Data_NFI_t[[#This Row],[Jerry Can]],0)</f>
        <v>0</v>
      </c>
      <c r="AM295" s="105">
        <f>IF(NFI_Expiration=1,IF($A295&lt;VLOOKUP(U$5,NFI,5,0),1,0)*Data_NFI_t[[#This Row],[Plastic Mat]],0)*IF(Data_NFI_t[[#This Row],[Distribution Date]]&gt;"01-06-2015",1,2.5)</f>
        <v>0</v>
      </c>
      <c r="AN295" s="734">
        <f>IF(NFI_Expiration=1,IF($A295&lt;VLOOKUP(V$5,NFI,5,0),1,0)*Data_NFI_t[[#This Row],[Adult Clothes]],0)</f>
        <v>0</v>
      </c>
      <c r="AO295" s="105">
        <f>IF(NFI_Expiration=1,IF($A295&lt;VLOOKUP(W$5,NFI,5,0),1,0)*Data_NFI_t[[#This Row],[Children Clothes]],0)</f>
        <v>0</v>
      </c>
      <c r="AP295" s="105">
        <f>IF(NFI_Expiration=1,IF($A295&lt;VLOOKUP(X$5,NFI,5,0),1,0)*Data_NFI_t[[#This Row],[Sewing Kit]],0)</f>
        <v>0</v>
      </c>
      <c r="AQ295" s="734">
        <f>IF(NFI_Expiration=1,IF($A295&lt;VLOOKUP(X$5,NFI,5,0),1,0)*Data_NFI_t[[#This Row],[Solar Lantern]],0)</f>
        <v>0</v>
      </c>
      <c r="AR295" s="105" t="str">
        <f ca="1">IFERROR(OFFSET(Camp_List[P_Code],MATCH(Data_NFI_t[[#This Row],[Camp Name]],Camp_List[Camp Name],0)-1,0,1,1),"")</f>
        <v>MMR012CMP026</v>
      </c>
      <c r="AS295" s="421" t="str">
        <f ca="1">IFERROR(OFFSET(Camp_List[Status],MATCH(Data_NFI_t[[#This Row],[Camp Name]],Camp_List[Camp Name],0)-1,0,1,1),"")</f>
        <v>Returned</v>
      </c>
      <c r="AT295" s="105"/>
    </row>
    <row r="296" spans="1:46" s="78" customFormat="1" ht="19.5" customHeight="1" x14ac:dyDescent="0.25">
      <c r="A296" s="208">
        <f t="shared" si="4"/>
        <v>57.8</v>
      </c>
      <c r="B296" s="208">
        <f>YEAR(Data_NFI_t[[#This Row],[Distribution Date]])</f>
        <v>2013</v>
      </c>
      <c r="C296" s="744">
        <v>41456</v>
      </c>
      <c r="D296" s="402" t="s">
        <v>270</v>
      </c>
      <c r="E296" s="401" t="s">
        <v>270</v>
      </c>
      <c r="F296" s="402" t="s">
        <v>7</v>
      </c>
      <c r="G296" s="670" t="s">
        <v>14</v>
      </c>
      <c r="H296" s="670" t="s">
        <v>52</v>
      </c>
      <c r="I296" s="670"/>
      <c r="J296" s="670"/>
      <c r="K296" s="670"/>
      <c r="L296" s="42"/>
      <c r="M296" s="42"/>
      <c r="N296" s="42">
        <v>318</v>
      </c>
      <c r="O296" s="42">
        <v>4</v>
      </c>
      <c r="P296" s="42">
        <v>318</v>
      </c>
      <c r="Q296" s="42">
        <v>159</v>
      </c>
      <c r="R296" s="42">
        <v>159</v>
      </c>
      <c r="S296" s="42">
        <v>159</v>
      </c>
      <c r="T296" s="419"/>
      <c r="U296" s="42">
        <v>318</v>
      </c>
      <c r="V296" s="42"/>
      <c r="W296" s="42"/>
      <c r="X296" s="42"/>
      <c r="Y296" s="42"/>
      <c r="Z296" s="42"/>
      <c r="AA296" s="42"/>
      <c r="AB296" s="42"/>
      <c r="AC296" s="105">
        <f>IF(NFI_Expiration=1,IF($A296&lt;VLOOKUP(I$5,NFI,5,0),1,0)*Data_NFI_t[[#This Row],[Hygiene Kit]],0)</f>
        <v>0</v>
      </c>
      <c r="AD296" s="105">
        <f>IF(NFI_Expiration=1,IF($A296&lt;VLOOKUP(L$5,NFI,5,0),1,0)*Data_NFI_t[[#This Row],[NFI Core Kit]],0)</f>
        <v>0</v>
      </c>
      <c r="AE296" s="86">
        <f>IF(NFI_Expiration=1,IF($A296&lt;VLOOKUP(M$5,NFI,5,0),1,0)*Data_NFI_t[[#This Row],[Sanitary Kit]],0)</f>
        <v>0</v>
      </c>
      <c r="AF296" s="86">
        <f>IF(NFI_Expiration=1,IF($A296&lt;VLOOKUP(N$5,NFI,5,0),1,0)*Data_NFI_t[[#This Row],[Mosquito net]],0)</f>
        <v>0</v>
      </c>
      <c r="AG296" s="86">
        <f>IF(NFI_Expiration=1,IF($A296&lt;VLOOKUP(O$5,NFI,5,0),1,0)*Data_NFI_t[[#This Row],[Tarpaulin]],0)</f>
        <v>0</v>
      </c>
      <c r="AH296" s="86">
        <f>IF(NFI_Expiration=1,IF($A296&lt;VLOOKUP(P$5,NFI,5,0),1,0)*Data_NFI_t[[#This Row],[Blanket]],0)</f>
        <v>0</v>
      </c>
      <c r="AI296" s="86">
        <f>IF(NFI_Expiration=1,IF($A296&lt;VLOOKUP(Q$5,NFI,5,0),1,0)*Data_NFI_t[[#This Row],[Kitchen Set]],0)</f>
        <v>0</v>
      </c>
      <c r="AJ296" s="86">
        <f>IF(NFI_Expiration=1,IF($A296&lt;VLOOKUP(R$5,NFI,5,0),1,0)*Data_NFI_t[[#This Row],[Complementary Kit]],0)</f>
        <v>0</v>
      </c>
      <c r="AK296" s="86">
        <f>IF(NFI_Expiration=1,IF($A296&lt;VLOOKUP(S$5,NFI,5,0),1,0)*Data_NFI_t[[#This Row],[Plastic Bucket]],0)</f>
        <v>0</v>
      </c>
      <c r="AL296" s="86">
        <f>IF(NFI_Expiration=1,IF($A296&lt;VLOOKUP(T$5,NFI,5,0),1,0)*Data_NFI_t[[#This Row],[Jerry Can]],0)</f>
        <v>0</v>
      </c>
      <c r="AM296" s="105">
        <f>IF(NFI_Expiration=1,IF($A296&lt;VLOOKUP(U$5,NFI,5,0),1,0)*Data_NFI_t[[#This Row],[Plastic Mat]],0)*IF(Data_NFI_t[[#This Row],[Distribution Date]]&gt;"01-06-2015",1,2.5)</f>
        <v>0</v>
      </c>
      <c r="AN296" s="734">
        <f>IF(NFI_Expiration=1,IF($A296&lt;VLOOKUP(V$5,NFI,5,0),1,0)*Data_NFI_t[[#This Row],[Adult Clothes]],0)</f>
        <v>0</v>
      </c>
      <c r="AO296" s="105">
        <f>IF(NFI_Expiration=1,IF($A296&lt;VLOOKUP(W$5,NFI,5,0),1,0)*Data_NFI_t[[#This Row],[Children Clothes]],0)</f>
        <v>0</v>
      </c>
      <c r="AP296" s="105">
        <f>IF(NFI_Expiration=1,IF($A296&lt;VLOOKUP(X$5,NFI,5,0),1,0)*Data_NFI_t[[#This Row],[Sewing Kit]],0)</f>
        <v>0</v>
      </c>
      <c r="AQ296" s="734">
        <f>IF(NFI_Expiration=1,IF($A296&lt;VLOOKUP(X$5,NFI,5,0),1,0)*Data_NFI_t[[#This Row],[Solar Lantern]],0)</f>
        <v>0</v>
      </c>
      <c r="AR296" s="105" t="str">
        <f ca="1">IFERROR(OFFSET(Camp_List[P_Code],MATCH(Data_NFI_t[[#This Row],[Camp Name]],Camp_List[Camp Name],0)-1,0,1,1),"")</f>
        <v>MMR012CMP030</v>
      </c>
      <c r="AS296" s="421" t="str">
        <f ca="1">IFERROR(OFFSET(Camp_List[Status],MATCH(Data_NFI_t[[#This Row],[Camp Name]],Camp_List[Camp Name],0)-1,0,1,1),"")</f>
        <v>Relocated</v>
      </c>
      <c r="AT296" s="105"/>
    </row>
    <row r="297" spans="1:46" s="78" customFormat="1" ht="19.5" customHeight="1" x14ac:dyDescent="0.25">
      <c r="A297" s="208">
        <f t="shared" si="4"/>
        <v>57.8</v>
      </c>
      <c r="B297" s="208">
        <f>YEAR(Data_NFI_t[[#This Row],[Distribution Date]])</f>
        <v>2013</v>
      </c>
      <c r="C297" s="744">
        <v>41456</v>
      </c>
      <c r="D297" s="402" t="s">
        <v>474</v>
      </c>
      <c r="E297" s="401" t="s">
        <v>270</v>
      </c>
      <c r="F297" s="402" t="s">
        <v>7</v>
      </c>
      <c r="G297" s="670" t="s">
        <v>14</v>
      </c>
      <c r="H297" s="670" t="s">
        <v>42</v>
      </c>
      <c r="I297" s="670"/>
      <c r="J297" s="670"/>
      <c r="K297" s="670"/>
      <c r="L297" s="42"/>
      <c r="M297" s="42">
        <v>60</v>
      </c>
      <c r="N297" s="42"/>
      <c r="O297" s="42"/>
      <c r="P297" s="42"/>
      <c r="Q297" s="42"/>
      <c r="R297" s="42"/>
      <c r="S297" s="42"/>
      <c r="T297" s="419"/>
      <c r="U297" s="42"/>
      <c r="V297" s="42"/>
      <c r="W297" s="42"/>
      <c r="X297" s="42"/>
      <c r="Y297" s="42"/>
      <c r="Z297" s="42"/>
      <c r="AA297" s="42"/>
      <c r="AB297" s="42"/>
      <c r="AC297" s="105">
        <f>IF(NFI_Expiration=1,IF($A297&lt;VLOOKUP(I$5,NFI,5,0),1,0)*Data_NFI_t[[#This Row],[Hygiene Kit]],0)</f>
        <v>0</v>
      </c>
      <c r="AD297" s="105">
        <f>IF(NFI_Expiration=1,IF($A297&lt;VLOOKUP(L$5,NFI,5,0),1,0)*Data_NFI_t[[#This Row],[NFI Core Kit]],0)</f>
        <v>0</v>
      </c>
      <c r="AE297" s="86">
        <f>IF(NFI_Expiration=1,IF($A297&lt;VLOOKUP(M$5,NFI,5,0),1,0)*Data_NFI_t[[#This Row],[Sanitary Kit]],0)</f>
        <v>0</v>
      </c>
      <c r="AF297" s="86">
        <f>IF(NFI_Expiration=1,IF($A297&lt;VLOOKUP(N$5,NFI,5,0),1,0)*Data_NFI_t[[#This Row],[Mosquito net]],0)</f>
        <v>0</v>
      </c>
      <c r="AG297" s="86">
        <f>IF(NFI_Expiration=1,IF($A297&lt;VLOOKUP(O$5,NFI,5,0),1,0)*Data_NFI_t[[#This Row],[Tarpaulin]],0)</f>
        <v>0</v>
      </c>
      <c r="AH297" s="86">
        <f>IF(NFI_Expiration=1,IF($A297&lt;VLOOKUP(P$5,NFI,5,0),1,0)*Data_NFI_t[[#This Row],[Blanket]],0)</f>
        <v>0</v>
      </c>
      <c r="AI297" s="86">
        <f>IF(NFI_Expiration=1,IF($A297&lt;VLOOKUP(Q$5,NFI,5,0),1,0)*Data_NFI_t[[#This Row],[Kitchen Set]],0)</f>
        <v>0</v>
      </c>
      <c r="AJ297" s="86">
        <f>IF(NFI_Expiration=1,IF($A297&lt;VLOOKUP(R$5,NFI,5,0),1,0)*Data_NFI_t[[#This Row],[Complementary Kit]],0)</f>
        <v>0</v>
      </c>
      <c r="AK297" s="86">
        <f>IF(NFI_Expiration=1,IF($A297&lt;VLOOKUP(S$5,NFI,5,0),1,0)*Data_NFI_t[[#This Row],[Plastic Bucket]],0)</f>
        <v>0</v>
      </c>
      <c r="AL297" s="86">
        <f>IF(NFI_Expiration=1,IF($A297&lt;VLOOKUP(T$5,NFI,5,0),1,0)*Data_NFI_t[[#This Row],[Jerry Can]],0)</f>
        <v>0</v>
      </c>
      <c r="AM297" s="105">
        <f>IF(NFI_Expiration=1,IF($A297&lt;VLOOKUP(U$5,NFI,5,0),1,0)*Data_NFI_t[[#This Row],[Plastic Mat]],0)*IF(Data_NFI_t[[#This Row],[Distribution Date]]&gt;"01-06-2015",1,2.5)</f>
        <v>0</v>
      </c>
      <c r="AN297" s="734">
        <f>IF(NFI_Expiration=1,IF($A297&lt;VLOOKUP(V$5,NFI,5,0),1,0)*Data_NFI_t[[#This Row],[Adult Clothes]],0)</f>
        <v>0</v>
      </c>
      <c r="AO297" s="105">
        <f>IF(NFI_Expiration=1,IF($A297&lt;VLOOKUP(W$5,NFI,5,0),1,0)*Data_NFI_t[[#This Row],[Children Clothes]],0)</f>
        <v>0</v>
      </c>
      <c r="AP297" s="105">
        <f>IF(NFI_Expiration=1,IF($A297&lt;VLOOKUP(X$5,NFI,5,0),1,0)*Data_NFI_t[[#This Row],[Sewing Kit]],0)</f>
        <v>0</v>
      </c>
      <c r="AQ297" s="734">
        <f>IF(NFI_Expiration=1,IF($A297&lt;VLOOKUP(X$5,NFI,5,0),1,0)*Data_NFI_t[[#This Row],[Solar Lantern]],0)</f>
        <v>0</v>
      </c>
      <c r="AR297" s="105" t="str">
        <f ca="1">IFERROR(OFFSET(Camp_List[P_Code],MATCH(Data_NFI_t[[#This Row],[Camp Name]],Camp_List[Camp Name],0)-1,0,1,1),"")</f>
        <v>MMR012CMP020</v>
      </c>
      <c r="AS297" s="421" t="str">
        <f ca="1">IFERROR(OFFSET(Camp_List[Status],MATCH(Data_NFI_t[[#This Row],[Camp Name]],Camp_List[Camp Name],0)-1,0,1,1),"")</f>
        <v>Returned</v>
      </c>
      <c r="AT297" s="105"/>
    </row>
    <row r="298" spans="1:46" s="78" customFormat="1" ht="19.5" customHeight="1" x14ac:dyDescent="0.25">
      <c r="A298" s="208">
        <f t="shared" si="4"/>
        <v>57.8</v>
      </c>
      <c r="B298" s="208">
        <f>YEAR(Data_NFI_t[[#This Row],[Distribution Date]])</f>
        <v>2013</v>
      </c>
      <c r="C298" s="744">
        <v>41456</v>
      </c>
      <c r="D298" s="402" t="s">
        <v>270</v>
      </c>
      <c r="E298" s="401" t="s">
        <v>270</v>
      </c>
      <c r="F298" s="402" t="s">
        <v>7</v>
      </c>
      <c r="G298" s="670" t="s">
        <v>14</v>
      </c>
      <c r="H298" s="670" t="s">
        <v>42</v>
      </c>
      <c r="I298" s="670"/>
      <c r="J298" s="670"/>
      <c r="K298" s="670"/>
      <c r="L298" s="42"/>
      <c r="M298" s="42"/>
      <c r="N298" s="42">
        <v>166</v>
      </c>
      <c r="O298" s="42">
        <v>81</v>
      </c>
      <c r="P298" s="42">
        <v>166</v>
      </c>
      <c r="Q298" s="42">
        <v>83</v>
      </c>
      <c r="R298" s="42">
        <v>83</v>
      </c>
      <c r="S298" s="42">
        <v>83</v>
      </c>
      <c r="T298" s="419"/>
      <c r="U298" s="42">
        <v>166</v>
      </c>
      <c r="V298" s="42"/>
      <c r="W298" s="42"/>
      <c r="X298" s="42"/>
      <c r="Y298" s="42"/>
      <c r="Z298" s="42"/>
      <c r="AA298" s="42"/>
      <c r="AB298" s="42"/>
      <c r="AC298" s="105">
        <f>IF(NFI_Expiration=1,IF($A298&lt;VLOOKUP(I$5,NFI,5,0),1,0)*Data_NFI_t[[#This Row],[Hygiene Kit]],0)</f>
        <v>0</v>
      </c>
      <c r="AD298" s="105">
        <f>IF(NFI_Expiration=1,IF($A298&lt;VLOOKUP(L$5,NFI,5,0),1,0)*Data_NFI_t[[#This Row],[NFI Core Kit]],0)</f>
        <v>0</v>
      </c>
      <c r="AE298" s="86">
        <f>IF(NFI_Expiration=1,IF($A298&lt;VLOOKUP(M$5,NFI,5,0),1,0)*Data_NFI_t[[#This Row],[Sanitary Kit]],0)</f>
        <v>0</v>
      </c>
      <c r="AF298" s="86">
        <f>IF(NFI_Expiration=1,IF($A298&lt;VLOOKUP(N$5,NFI,5,0),1,0)*Data_NFI_t[[#This Row],[Mosquito net]],0)</f>
        <v>0</v>
      </c>
      <c r="AG298" s="86">
        <f>IF(NFI_Expiration=1,IF($A298&lt;VLOOKUP(O$5,NFI,5,0),1,0)*Data_NFI_t[[#This Row],[Tarpaulin]],0)</f>
        <v>0</v>
      </c>
      <c r="AH298" s="86">
        <f>IF(NFI_Expiration=1,IF($A298&lt;VLOOKUP(P$5,NFI,5,0),1,0)*Data_NFI_t[[#This Row],[Blanket]],0)</f>
        <v>0</v>
      </c>
      <c r="AI298" s="86">
        <f>IF(NFI_Expiration=1,IF($A298&lt;VLOOKUP(Q$5,NFI,5,0),1,0)*Data_NFI_t[[#This Row],[Kitchen Set]],0)</f>
        <v>0</v>
      </c>
      <c r="AJ298" s="86">
        <f>IF(NFI_Expiration=1,IF($A298&lt;VLOOKUP(R$5,NFI,5,0),1,0)*Data_NFI_t[[#This Row],[Complementary Kit]],0)</f>
        <v>0</v>
      </c>
      <c r="AK298" s="86">
        <f>IF(NFI_Expiration=1,IF($A298&lt;VLOOKUP(S$5,NFI,5,0),1,0)*Data_NFI_t[[#This Row],[Plastic Bucket]],0)</f>
        <v>0</v>
      </c>
      <c r="AL298" s="86">
        <f>IF(NFI_Expiration=1,IF($A298&lt;VLOOKUP(T$5,NFI,5,0),1,0)*Data_NFI_t[[#This Row],[Jerry Can]],0)</f>
        <v>0</v>
      </c>
      <c r="AM298" s="105">
        <f>IF(NFI_Expiration=1,IF($A298&lt;VLOOKUP(U$5,NFI,5,0),1,0)*Data_NFI_t[[#This Row],[Plastic Mat]],0)*IF(Data_NFI_t[[#This Row],[Distribution Date]]&gt;"01-06-2015",1,2.5)</f>
        <v>0</v>
      </c>
      <c r="AN298" s="734">
        <f>IF(NFI_Expiration=1,IF($A298&lt;VLOOKUP(V$5,NFI,5,0),1,0)*Data_NFI_t[[#This Row],[Adult Clothes]],0)</f>
        <v>0</v>
      </c>
      <c r="AO298" s="105">
        <f>IF(NFI_Expiration=1,IF($A298&lt;VLOOKUP(W$5,NFI,5,0),1,0)*Data_NFI_t[[#This Row],[Children Clothes]],0)</f>
        <v>0</v>
      </c>
      <c r="AP298" s="105">
        <f>IF(NFI_Expiration=1,IF($A298&lt;VLOOKUP(X$5,NFI,5,0),1,0)*Data_NFI_t[[#This Row],[Sewing Kit]],0)</f>
        <v>0</v>
      </c>
      <c r="AQ298" s="734">
        <f>IF(NFI_Expiration=1,IF($A298&lt;VLOOKUP(X$5,NFI,5,0),1,0)*Data_NFI_t[[#This Row],[Solar Lantern]],0)</f>
        <v>0</v>
      </c>
      <c r="AR298" s="105" t="str">
        <f ca="1">IFERROR(OFFSET(Camp_List[P_Code],MATCH(Data_NFI_t[[#This Row],[Camp Name]],Camp_List[Camp Name],0)-1,0,1,1),"")</f>
        <v>MMR012CMP020</v>
      </c>
      <c r="AS298" s="421" t="str">
        <f ca="1">IFERROR(OFFSET(Camp_List[Status],MATCH(Data_NFI_t[[#This Row],[Camp Name]],Camp_List[Camp Name],0)-1,0,1,1),"")</f>
        <v>Returned</v>
      </c>
      <c r="AT298" s="105"/>
    </row>
    <row r="299" spans="1:46" s="78" customFormat="1" ht="19.5" customHeight="1" x14ac:dyDescent="0.25">
      <c r="A299" s="208">
        <f t="shared" si="4"/>
        <v>57.8</v>
      </c>
      <c r="B299" s="208">
        <f>YEAR(Data_NFI_t[[#This Row],[Distribution Date]])</f>
        <v>2013</v>
      </c>
      <c r="C299" s="744">
        <v>41456</v>
      </c>
      <c r="D299" s="402" t="s">
        <v>270</v>
      </c>
      <c r="E299" s="401" t="s">
        <v>270</v>
      </c>
      <c r="F299" s="402" t="s">
        <v>7</v>
      </c>
      <c r="G299" s="670" t="s">
        <v>14</v>
      </c>
      <c r="H299" s="670" t="s">
        <v>45</v>
      </c>
      <c r="I299" s="670"/>
      <c r="J299" s="670"/>
      <c r="K299" s="670"/>
      <c r="L299" s="42"/>
      <c r="M299" s="42"/>
      <c r="N299" s="42">
        <v>326</v>
      </c>
      <c r="O299" s="42">
        <v>326</v>
      </c>
      <c r="P299" s="42">
        <v>326</v>
      </c>
      <c r="Q299" s="42">
        <v>163</v>
      </c>
      <c r="R299" s="42">
        <v>163</v>
      </c>
      <c r="S299" s="42">
        <v>163</v>
      </c>
      <c r="T299" s="419"/>
      <c r="U299" s="42">
        <v>326</v>
      </c>
      <c r="V299" s="42"/>
      <c r="W299" s="42"/>
      <c r="X299" s="42"/>
      <c r="Y299" s="42"/>
      <c r="Z299" s="42"/>
      <c r="AA299" s="42"/>
      <c r="AB299" s="42"/>
      <c r="AC299" s="105">
        <f>IF(NFI_Expiration=1,IF($A299&lt;VLOOKUP(I$5,NFI,5,0),1,0)*Data_NFI_t[[#This Row],[Hygiene Kit]],0)</f>
        <v>0</v>
      </c>
      <c r="AD299" s="105">
        <f>IF(NFI_Expiration=1,IF($A299&lt;VLOOKUP(L$5,NFI,5,0),1,0)*Data_NFI_t[[#This Row],[NFI Core Kit]],0)</f>
        <v>0</v>
      </c>
      <c r="AE299" s="86">
        <f>IF(NFI_Expiration=1,IF($A299&lt;VLOOKUP(M$5,NFI,5,0),1,0)*Data_NFI_t[[#This Row],[Sanitary Kit]],0)</f>
        <v>0</v>
      </c>
      <c r="AF299" s="86">
        <f>IF(NFI_Expiration=1,IF($A299&lt;VLOOKUP(N$5,NFI,5,0),1,0)*Data_NFI_t[[#This Row],[Mosquito net]],0)</f>
        <v>0</v>
      </c>
      <c r="AG299" s="86">
        <f>IF(NFI_Expiration=1,IF($A299&lt;VLOOKUP(O$5,NFI,5,0),1,0)*Data_NFI_t[[#This Row],[Tarpaulin]],0)</f>
        <v>0</v>
      </c>
      <c r="AH299" s="86">
        <f>IF(NFI_Expiration=1,IF($A299&lt;VLOOKUP(P$5,NFI,5,0),1,0)*Data_NFI_t[[#This Row],[Blanket]],0)</f>
        <v>0</v>
      </c>
      <c r="AI299" s="86">
        <f>IF(NFI_Expiration=1,IF($A299&lt;VLOOKUP(Q$5,NFI,5,0),1,0)*Data_NFI_t[[#This Row],[Kitchen Set]],0)</f>
        <v>0</v>
      </c>
      <c r="AJ299" s="86">
        <f>IF(NFI_Expiration=1,IF($A299&lt;VLOOKUP(R$5,NFI,5,0),1,0)*Data_NFI_t[[#This Row],[Complementary Kit]],0)</f>
        <v>0</v>
      </c>
      <c r="AK299" s="86">
        <f>IF(NFI_Expiration=1,IF($A299&lt;VLOOKUP(S$5,NFI,5,0),1,0)*Data_NFI_t[[#This Row],[Plastic Bucket]],0)</f>
        <v>0</v>
      </c>
      <c r="AL299" s="86">
        <f>IF(NFI_Expiration=1,IF($A299&lt;VLOOKUP(T$5,NFI,5,0),1,0)*Data_NFI_t[[#This Row],[Jerry Can]],0)</f>
        <v>0</v>
      </c>
      <c r="AM299" s="105">
        <f>IF(NFI_Expiration=1,IF($A299&lt;VLOOKUP(U$5,NFI,5,0),1,0)*Data_NFI_t[[#This Row],[Plastic Mat]],0)*IF(Data_NFI_t[[#This Row],[Distribution Date]]&gt;"01-06-2015",1,2.5)</f>
        <v>0</v>
      </c>
      <c r="AN299" s="734">
        <f>IF(NFI_Expiration=1,IF($A299&lt;VLOOKUP(V$5,NFI,5,0),1,0)*Data_NFI_t[[#This Row],[Adult Clothes]],0)</f>
        <v>0</v>
      </c>
      <c r="AO299" s="105">
        <f>IF(NFI_Expiration=1,IF($A299&lt;VLOOKUP(W$5,NFI,5,0),1,0)*Data_NFI_t[[#This Row],[Children Clothes]],0)</f>
        <v>0</v>
      </c>
      <c r="AP299" s="105">
        <f>IF(NFI_Expiration=1,IF($A299&lt;VLOOKUP(X$5,NFI,5,0),1,0)*Data_NFI_t[[#This Row],[Sewing Kit]],0)</f>
        <v>0</v>
      </c>
      <c r="AQ299" s="734">
        <f>IF(NFI_Expiration=1,IF($A299&lt;VLOOKUP(X$5,NFI,5,0),1,0)*Data_NFI_t[[#This Row],[Solar Lantern]],0)</f>
        <v>0</v>
      </c>
      <c r="AR299" s="105" t="str">
        <f ca="1">IFERROR(OFFSET(Camp_List[P_Code],MATCH(Data_NFI_t[[#This Row],[Camp Name]],Camp_List[Camp Name],0)-1,0,1,1),"")</f>
        <v>MMR012CMP023</v>
      </c>
      <c r="AS299" s="421" t="str">
        <f ca="1">IFERROR(OFFSET(Camp_List[Status],MATCH(Data_NFI_t[[#This Row],[Camp Name]],Camp_List[Camp Name],0)-1,0,1,1),"")</f>
        <v>Open</v>
      </c>
      <c r="AT299" s="105"/>
    </row>
    <row r="300" spans="1:46" s="78" customFormat="1" ht="19.5" customHeight="1" x14ac:dyDescent="0.25">
      <c r="A300" s="208">
        <f t="shared" si="4"/>
        <v>57.8</v>
      </c>
      <c r="B300" s="208">
        <f>YEAR(Data_NFI_t[[#This Row],[Distribution Date]])</f>
        <v>2013</v>
      </c>
      <c r="C300" s="744">
        <v>41456</v>
      </c>
      <c r="D300" s="402" t="s">
        <v>270</v>
      </c>
      <c r="E300" s="401" t="s">
        <v>270</v>
      </c>
      <c r="F300" s="402" t="s">
        <v>7</v>
      </c>
      <c r="G300" s="670" t="s">
        <v>14</v>
      </c>
      <c r="H300" s="670" t="s">
        <v>51</v>
      </c>
      <c r="I300" s="670"/>
      <c r="J300" s="670"/>
      <c r="K300" s="670"/>
      <c r="L300" s="42"/>
      <c r="M300" s="42"/>
      <c r="N300" s="42">
        <v>290</v>
      </c>
      <c r="O300" s="42"/>
      <c r="P300" s="42">
        <v>290</v>
      </c>
      <c r="Q300" s="42">
        <v>145</v>
      </c>
      <c r="R300" s="42">
        <v>145</v>
      </c>
      <c r="S300" s="42">
        <v>145</v>
      </c>
      <c r="T300" s="419"/>
      <c r="U300" s="42">
        <v>290</v>
      </c>
      <c r="V300" s="42"/>
      <c r="W300" s="42"/>
      <c r="X300" s="42"/>
      <c r="Y300" s="42"/>
      <c r="Z300" s="42"/>
      <c r="AA300" s="42"/>
      <c r="AB300" s="42"/>
      <c r="AC300" s="105">
        <f>IF(NFI_Expiration=1,IF($A300&lt;VLOOKUP(I$5,NFI,5,0),1,0)*Data_NFI_t[[#This Row],[Hygiene Kit]],0)</f>
        <v>0</v>
      </c>
      <c r="AD300" s="105">
        <f>IF(NFI_Expiration=1,IF($A300&lt;VLOOKUP(L$5,NFI,5,0),1,0)*Data_NFI_t[[#This Row],[NFI Core Kit]],0)</f>
        <v>0</v>
      </c>
      <c r="AE300" s="86">
        <f>IF(NFI_Expiration=1,IF($A300&lt;VLOOKUP(M$5,NFI,5,0),1,0)*Data_NFI_t[[#This Row],[Sanitary Kit]],0)</f>
        <v>0</v>
      </c>
      <c r="AF300" s="86">
        <f>IF(NFI_Expiration=1,IF($A300&lt;VLOOKUP(N$5,NFI,5,0),1,0)*Data_NFI_t[[#This Row],[Mosquito net]],0)</f>
        <v>0</v>
      </c>
      <c r="AG300" s="86">
        <f>IF(NFI_Expiration=1,IF($A300&lt;VLOOKUP(O$5,NFI,5,0),1,0)*Data_NFI_t[[#This Row],[Tarpaulin]],0)</f>
        <v>0</v>
      </c>
      <c r="AH300" s="86">
        <f>IF(NFI_Expiration=1,IF($A300&lt;VLOOKUP(P$5,NFI,5,0),1,0)*Data_NFI_t[[#This Row],[Blanket]],0)</f>
        <v>0</v>
      </c>
      <c r="AI300" s="86">
        <f>IF(NFI_Expiration=1,IF($A300&lt;VLOOKUP(Q$5,NFI,5,0),1,0)*Data_NFI_t[[#This Row],[Kitchen Set]],0)</f>
        <v>0</v>
      </c>
      <c r="AJ300" s="86">
        <f>IF(NFI_Expiration=1,IF($A300&lt;VLOOKUP(R$5,NFI,5,0),1,0)*Data_NFI_t[[#This Row],[Complementary Kit]],0)</f>
        <v>0</v>
      </c>
      <c r="AK300" s="86">
        <f>IF(NFI_Expiration=1,IF($A300&lt;VLOOKUP(S$5,NFI,5,0),1,0)*Data_NFI_t[[#This Row],[Plastic Bucket]],0)</f>
        <v>0</v>
      </c>
      <c r="AL300" s="86">
        <f>IF(NFI_Expiration=1,IF($A300&lt;VLOOKUP(T$5,NFI,5,0),1,0)*Data_NFI_t[[#This Row],[Jerry Can]],0)</f>
        <v>0</v>
      </c>
      <c r="AM300" s="105">
        <f>IF(NFI_Expiration=1,IF($A300&lt;VLOOKUP(U$5,NFI,5,0),1,0)*Data_NFI_t[[#This Row],[Plastic Mat]],0)*IF(Data_NFI_t[[#This Row],[Distribution Date]]&gt;"01-06-2015",1,2.5)</f>
        <v>0</v>
      </c>
      <c r="AN300" s="734">
        <f>IF(NFI_Expiration=1,IF($A300&lt;VLOOKUP(V$5,NFI,5,0),1,0)*Data_NFI_t[[#This Row],[Adult Clothes]],0)</f>
        <v>0</v>
      </c>
      <c r="AO300" s="105">
        <f>IF(NFI_Expiration=1,IF($A300&lt;VLOOKUP(W$5,NFI,5,0),1,0)*Data_NFI_t[[#This Row],[Children Clothes]],0)</f>
        <v>0</v>
      </c>
      <c r="AP300" s="105">
        <f>IF(NFI_Expiration=1,IF($A300&lt;VLOOKUP(X$5,NFI,5,0),1,0)*Data_NFI_t[[#This Row],[Sewing Kit]],0)</f>
        <v>0</v>
      </c>
      <c r="AQ300" s="734">
        <f>IF(NFI_Expiration=1,IF($A300&lt;VLOOKUP(X$5,NFI,5,0),1,0)*Data_NFI_t[[#This Row],[Solar Lantern]],0)</f>
        <v>0</v>
      </c>
      <c r="AR300" s="105" t="str">
        <f ca="1">IFERROR(OFFSET(Camp_List[P_Code],MATCH(Data_NFI_t[[#This Row],[Camp Name]],Camp_List[Camp Name],0)-1,0,1,1),"")</f>
        <v>MMR012CMP029</v>
      </c>
      <c r="AS300" s="421" t="str">
        <f ca="1">IFERROR(OFFSET(Camp_List[Status],MATCH(Data_NFI_t[[#This Row],[Camp Name]],Camp_List[Camp Name],0)-1,0,1,1),"")</f>
        <v>Returned</v>
      </c>
      <c r="AT300" s="105"/>
    </row>
    <row r="301" spans="1:46" s="78" customFormat="1" ht="19.5" customHeight="1" x14ac:dyDescent="0.25">
      <c r="A301" s="208">
        <f t="shared" si="4"/>
        <v>57.8</v>
      </c>
      <c r="B301" s="208">
        <f>YEAR(Data_NFI_t[[#This Row],[Distribution Date]])</f>
        <v>2013</v>
      </c>
      <c r="C301" s="744">
        <v>41456</v>
      </c>
      <c r="D301" s="402" t="s">
        <v>270</v>
      </c>
      <c r="E301" s="401" t="s">
        <v>270</v>
      </c>
      <c r="F301" s="402" t="s">
        <v>7</v>
      </c>
      <c r="G301" s="670" t="s">
        <v>14</v>
      </c>
      <c r="H301" s="670" t="s">
        <v>43</v>
      </c>
      <c r="I301" s="670"/>
      <c r="J301" s="670"/>
      <c r="K301" s="670"/>
      <c r="L301" s="42"/>
      <c r="M301" s="42"/>
      <c r="N301" s="42">
        <v>190</v>
      </c>
      <c r="O301" s="42"/>
      <c r="P301" s="42">
        <v>190</v>
      </c>
      <c r="Q301" s="42">
        <v>95</v>
      </c>
      <c r="R301" s="42">
        <v>95</v>
      </c>
      <c r="S301" s="42">
        <v>95</v>
      </c>
      <c r="T301" s="419"/>
      <c r="U301" s="42">
        <v>190</v>
      </c>
      <c r="V301" s="42"/>
      <c r="W301" s="42"/>
      <c r="X301" s="42"/>
      <c r="Y301" s="42"/>
      <c r="Z301" s="42"/>
      <c r="AA301" s="42"/>
      <c r="AB301" s="42"/>
      <c r="AC301" s="105">
        <f>IF(NFI_Expiration=1,IF($A301&lt;VLOOKUP(I$5,NFI,5,0),1,0)*Data_NFI_t[[#This Row],[Hygiene Kit]],0)</f>
        <v>0</v>
      </c>
      <c r="AD301" s="105">
        <f>IF(NFI_Expiration=1,IF($A301&lt;VLOOKUP(L$5,NFI,5,0),1,0)*Data_NFI_t[[#This Row],[NFI Core Kit]],0)</f>
        <v>0</v>
      </c>
      <c r="AE301" s="86">
        <f>IF(NFI_Expiration=1,IF($A301&lt;VLOOKUP(M$5,NFI,5,0),1,0)*Data_NFI_t[[#This Row],[Sanitary Kit]],0)</f>
        <v>0</v>
      </c>
      <c r="AF301" s="86">
        <f>IF(NFI_Expiration=1,IF($A301&lt;VLOOKUP(N$5,NFI,5,0),1,0)*Data_NFI_t[[#This Row],[Mosquito net]],0)</f>
        <v>0</v>
      </c>
      <c r="AG301" s="86">
        <f>IF(NFI_Expiration=1,IF($A301&lt;VLOOKUP(O$5,NFI,5,0),1,0)*Data_NFI_t[[#This Row],[Tarpaulin]],0)</f>
        <v>0</v>
      </c>
      <c r="AH301" s="86">
        <f>IF(NFI_Expiration=1,IF($A301&lt;VLOOKUP(P$5,NFI,5,0),1,0)*Data_NFI_t[[#This Row],[Blanket]],0)</f>
        <v>0</v>
      </c>
      <c r="AI301" s="86">
        <f>IF(NFI_Expiration=1,IF($A301&lt;VLOOKUP(Q$5,NFI,5,0),1,0)*Data_NFI_t[[#This Row],[Kitchen Set]],0)</f>
        <v>0</v>
      </c>
      <c r="AJ301" s="86">
        <f>IF(NFI_Expiration=1,IF($A301&lt;VLOOKUP(R$5,NFI,5,0),1,0)*Data_NFI_t[[#This Row],[Complementary Kit]],0)</f>
        <v>0</v>
      </c>
      <c r="AK301" s="86">
        <f>IF(NFI_Expiration=1,IF($A301&lt;VLOOKUP(S$5,NFI,5,0),1,0)*Data_NFI_t[[#This Row],[Plastic Bucket]],0)</f>
        <v>0</v>
      </c>
      <c r="AL301" s="86">
        <f>IF(NFI_Expiration=1,IF($A301&lt;VLOOKUP(T$5,NFI,5,0),1,0)*Data_NFI_t[[#This Row],[Jerry Can]],0)</f>
        <v>0</v>
      </c>
      <c r="AM301" s="105">
        <f>IF(NFI_Expiration=1,IF($A301&lt;VLOOKUP(U$5,NFI,5,0),1,0)*Data_NFI_t[[#This Row],[Plastic Mat]],0)*IF(Data_NFI_t[[#This Row],[Distribution Date]]&gt;"01-06-2015",1,2.5)</f>
        <v>0</v>
      </c>
      <c r="AN301" s="734">
        <f>IF(NFI_Expiration=1,IF($A301&lt;VLOOKUP(V$5,NFI,5,0),1,0)*Data_NFI_t[[#This Row],[Adult Clothes]],0)</f>
        <v>0</v>
      </c>
      <c r="AO301" s="105">
        <f>IF(NFI_Expiration=1,IF($A301&lt;VLOOKUP(W$5,NFI,5,0),1,0)*Data_NFI_t[[#This Row],[Children Clothes]],0)</f>
        <v>0</v>
      </c>
      <c r="AP301" s="105">
        <f>IF(NFI_Expiration=1,IF($A301&lt;VLOOKUP(X$5,NFI,5,0),1,0)*Data_NFI_t[[#This Row],[Sewing Kit]],0)</f>
        <v>0</v>
      </c>
      <c r="AQ301" s="734">
        <f>IF(NFI_Expiration=1,IF($A301&lt;VLOOKUP(X$5,NFI,5,0),1,0)*Data_NFI_t[[#This Row],[Solar Lantern]],0)</f>
        <v>0</v>
      </c>
      <c r="AR301" s="105" t="str">
        <f ca="1">IFERROR(OFFSET(Camp_List[P_Code],MATCH(Data_NFI_t[[#This Row],[Camp Name]],Camp_List[Camp Name],0)-1,0,1,1),"")</f>
        <v>MMR012CMP021</v>
      </c>
      <c r="AS301" s="421" t="str">
        <f ca="1">IFERROR(OFFSET(Camp_List[Status],MATCH(Data_NFI_t[[#This Row],[Camp Name]],Camp_List[Camp Name],0)-1,0,1,1),"")</f>
        <v>Returned</v>
      </c>
      <c r="AT301" s="105"/>
    </row>
    <row r="302" spans="1:46" s="78" customFormat="1" ht="19.5" customHeight="1" x14ac:dyDescent="0.25">
      <c r="A302" s="208">
        <f t="shared" si="4"/>
        <v>57.8</v>
      </c>
      <c r="B302" s="208">
        <f>YEAR(Data_NFI_t[[#This Row],[Distribution Date]])</f>
        <v>2013</v>
      </c>
      <c r="C302" s="744">
        <v>41456</v>
      </c>
      <c r="D302" s="402" t="s">
        <v>270</v>
      </c>
      <c r="E302" s="401" t="s">
        <v>270</v>
      </c>
      <c r="F302" s="402" t="s">
        <v>7</v>
      </c>
      <c r="G302" s="670" t="s">
        <v>14</v>
      </c>
      <c r="H302" s="670" t="s">
        <v>50</v>
      </c>
      <c r="I302" s="670"/>
      <c r="J302" s="670"/>
      <c r="K302" s="670"/>
      <c r="L302" s="42"/>
      <c r="M302" s="42"/>
      <c r="N302" s="42">
        <v>216</v>
      </c>
      <c r="O302" s="42"/>
      <c r="P302" s="42">
        <v>216</v>
      </c>
      <c r="Q302" s="42">
        <v>108</v>
      </c>
      <c r="R302" s="42">
        <v>108</v>
      </c>
      <c r="S302" s="42">
        <v>108</v>
      </c>
      <c r="T302" s="419"/>
      <c r="U302" s="42">
        <v>216</v>
      </c>
      <c r="V302" s="42"/>
      <c r="W302" s="42"/>
      <c r="X302" s="42"/>
      <c r="Y302" s="42"/>
      <c r="Z302" s="42"/>
      <c r="AA302" s="42"/>
      <c r="AB302" s="42"/>
      <c r="AC302" s="105">
        <f>IF(NFI_Expiration=1,IF($A302&lt;VLOOKUP(I$5,NFI,5,0),1,0)*Data_NFI_t[[#This Row],[Hygiene Kit]],0)</f>
        <v>0</v>
      </c>
      <c r="AD302" s="105">
        <f>IF(NFI_Expiration=1,IF($A302&lt;VLOOKUP(L$5,NFI,5,0),1,0)*Data_NFI_t[[#This Row],[NFI Core Kit]],0)</f>
        <v>0</v>
      </c>
      <c r="AE302" s="86">
        <f>IF(NFI_Expiration=1,IF($A302&lt;VLOOKUP(M$5,NFI,5,0),1,0)*Data_NFI_t[[#This Row],[Sanitary Kit]],0)</f>
        <v>0</v>
      </c>
      <c r="AF302" s="86">
        <f>IF(NFI_Expiration=1,IF($A302&lt;VLOOKUP(N$5,NFI,5,0),1,0)*Data_NFI_t[[#This Row],[Mosquito net]],0)</f>
        <v>0</v>
      </c>
      <c r="AG302" s="86">
        <f>IF(NFI_Expiration=1,IF($A302&lt;VLOOKUP(O$5,NFI,5,0),1,0)*Data_NFI_t[[#This Row],[Tarpaulin]],0)</f>
        <v>0</v>
      </c>
      <c r="AH302" s="86">
        <f>IF(NFI_Expiration=1,IF($A302&lt;VLOOKUP(P$5,NFI,5,0),1,0)*Data_NFI_t[[#This Row],[Blanket]],0)</f>
        <v>0</v>
      </c>
      <c r="AI302" s="86">
        <f>IF(NFI_Expiration=1,IF($A302&lt;VLOOKUP(Q$5,NFI,5,0),1,0)*Data_NFI_t[[#This Row],[Kitchen Set]],0)</f>
        <v>0</v>
      </c>
      <c r="AJ302" s="86">
        <f>IF(NFI_Expiration=1,IF($A302&lt;VLOOKUP(R$5,NFI,5,0),1,0)*Data_NFI_t[[#This Row],[Complementary Kit]],0)</f>
        <v>0</v>
      </c>
      <c r="AK302" s="86">
        <f>IF(NFI_Expiration=1,IF($A302&lt;VLOOKUP(S$5,NFI,5,0),1,0)*Data_NFI_t[[#This Row],[Plastic Bucket]],0)</f>
        <v>0</v>
      </c>
      <c r="AL302" s="86">
        <f>IF(NFI_Expiration=1,IF($A302&lt;VLOOKUP(T$5,NFI,5,0),1,0)*Data_NFI_t[[#This Row],[Jerry Can]],0)</f>
        <v>0</v>
      </c>
      <c r="AM302" s="105">
        <f>IF(NFI_Expiration=1,IF($A302&lt;VLOOKUP(U$5,NFI,5,0),1,0)*Data_NFI_t[[#This Row],[Plastic Mat]],0)*IF(Data_NFI_t[[#This Row],[Distribution Date]]&gt;"01-06-2015",1,2.5)</f>
        <v>0</v>
      </c>
      <c r="AN302" s="734">
        <f>IF(NFI_Expiration=1,IF($A302&lt;VLOOKUP(V$5,NFI,5,0),1,0)*Data_NFI_t[[#This Row],[Adult Clothes]],0)</f>
        <v>0</v>
      </c>
      <c r="AO302" s="105">
        <f>IF(NFI_Expiration=1,IF($A302&lt;VLOOKUP(W$5,NFI,5,0),1,0)*Data_NFI_t[[#This Row],[Children Clothes]],0)</f>
        <v>0</v>
      </c>
      <c r="AP302" s="105">
        <f>IF(NFI_Expiration=1,IF($A302&lt;VLOOKUP(X$5,NFI,5,0),1,0)*Data_NFI_t[[#This Row],[Sewing Kit]],0)</f>
        <v>0</v>
      </c>
      <c r="AQ302" s="734">
        <f>IF(NFI_Expiration=1,IF($A302&lt;VLOOKUP(X$5,NFI,5,0),1,0)*Data_NFI_t[[#This Row],[Solar Lantern]],0)</f>
        <v>0</v>
      </c>
      <c r="AR302" s="105" t="str">
        <f ca="1">IFERROR(OFFSET(Camp_List[P_Code],MATCH(Data_NFI_t[[#This Row],[Camp Name]],Camp_List[Camp Name],0)-1,0,1,1),"")</f>
        <v>MMR012CMP028</v>
      </c>
      <c r="AS302" s="421" t="str">
        <f ca="1">IFERROR(OFFSET(Camp_List[Status],MATCH(Data_NFI_t[[#This Row],[Camp Name]],Camp_List[Camp Name],0)-1,0,1,1),"")</f>
        <v>Returned</v>
      </c>
      <c r="AT302" s="105"/>
    </row>
    <row r="303" spans="1:46" s="78" customFormat="1" ht="19.5" customHeight="1" x14ac:dyDescent="0.25">
      <c r="A303" s="208">
        <f t="shared" si="4"/>
        <v>57.8</v>
      </c>
      <c r="B303" s="208">
        <f>YEAR(Data_NFI_t[[#This Row],[Distribution Date]])</f>
        <v>2013</v>
      </c>
      <c r="C303" s="744">
        <v>41456</v>
      </c>
      <c r="D303" s="402" t="s">
        <v>270</v>
      </c>
      <c r="E303" s="401" t="s">
        <v>270</v>
      </c>
      <c r="F303" s="402" t="s">
        <v>7</v>
      </c>
      <c r="G303" s="670" t="s">
        <v>14</v>
      </c>
      <c r="H303" s="670" t="s">
        <v>50</v>
      </c>
      <c r="I303" s="670"/>
      <c r="J303" s="670"/>
      <c r="K303" s="670"/>
      <c r="L303" s="42"/>
      <c r="M303" s="42"/>
      <c r="N303" s="42"/>
      <c r="O303" s="42"/>
      <c r="P303" s="42"/>
      <c r="Q303" s="42"/>
      <c r="R303" s="42"/>
      <c r="S303" s="42"/>
      <c r="T303" s="419"/>
      <c r="U303" s="42"/>
      <c r="V303" s="42"/>
      <c r="W303" s="42"/>
      <c r="X303" s="42"/>
      <c r="Y303" s="42"/>
      <c r="Z303" s="42"/>
      <c r="AA303" s="42"/>
      <c r="AB303" s="42"/>
      <c r="AC303" s="105">
        <f>IF(NFI_Expiration=1,IF($A303&lt;VLOOKUP(I$5,NFI,5,0),1,0)*Data_NFI_t[[#This Row],[Hygiene Kit]],0)</f>
        <v>0</v>
      </c>
      <c r="AD303" s="105">
        <f>IF(NFI_Expiration=1,IF($A303&lt;VLOOKUP(L$5,NFI,5,0),1,0)*Data_NFI_t[[#This Row],[NFI Core Kit]],0)</f>
        <v>0</v>
      </c>
      <c r="AE303" s="86">
        <f>IF(NFI_Expiration=1,IF($A303&lt;VLOOKUP(M$5,NFI,5,0),1,0)*Data_NFI_t[[#This Row],[Sanitary Kit]],0)</f>
        <v>0</v>
      </c>
      <c r="AF303" s="86">
        <f>IF(NFI_Expiration=1,IF($A303&lt;VLOOKUP(N$5,NFI,5,0),1,0)*Data_NFI_t[[#This Row],[Mosquito net]],0)</f>
        <v>0</v>
      </c>
      <c r="AG303" s="86">
        <f>IF(NFI_Expiration=1,IF($A303&lt;VLOOKUP(O$5,NFI,5,0),1,0)*Data_NFI_t[[#This Row],[Tarpaulin]],0)</f>
        <v>0</v>
      </c>
      <c r="AH303" s="86">
        <f>IF(NFI_Expiration=1,IF($A303&lt;VLOOKUP(P$5,NFI,5,0),1,0)*Data_NFI_t[[#This Row],[Blanket]],0)</f>
        <v>0</v>
      </c>
      <c r="AI303" s="86">
        <f>IF(NFI_Expiration=1,IF($A303&lt;VLOOKUP(Q$5,NFI,5,0),1,0)*Data_NFI_t[[#This Row],[Kitchen Set]],0)</f>
        <v>0</v>
      </c>
      <c r="AJ303" s="86">
        <f>IF(NFI_Expiration=1,IF($A303&lt;VLOOKUP(R$5,NFI,5,0),1,0)*Data_NFI_t[[#This Row],[Complementary Kit]],0)</f>
        <v>0</v>
      </c>
      <c r="AK303" s="86">
        <f>IF(NFI_Expiration=1,IF($A303&lt;VLOOKUP(S$5,NFI,5,0),1,0)*Data_NFI_t[[#This Row],[Plastic Bucket]],0)</f>
        <v>0</v>
      </c>
      <c r="AL303" s="86">
        <f>IF(NFI_Expiration=1,IF($A303&lt;VLOOKUP(T$5,NFI,5,0),1,0)*Data_NFI_t[[#This Row],[Jerry Can]],0)</f>
        <v>0</v>
      </c>
      <c r="AM303" s="105">
        <f>IF(NFI_Expiration=1,IF($A303&lt;VLOOKUP(U$5,NFI,5,0),1,0)*Data_NFI_t[[#This Row],[Plastic Mat]],0)*IF(Data_NFI_t[[#This Row],[Distribution Date]]&gt;"01-06-2015",1,2.5)</f>
        <v>0</v>
      </c>
      <c r="AN303" s="734">
        <f>IF(NFI_Expiration=1,IF($A303&lt;VLOOKUP(V$5,NFI,5,0),1,0)*Data_NFI_t[[#This Row],[Adult Clothes]],0)</f>
        <v>0</v>
      </c>
      <c r="AO303" s="105">
        <f>IF(NFI_Expiration=1,IF($A303&lt;VLOOKUP(W$5,NFI,5,0),1,0)*Data_NFI_t[[#This Row],[Children Clothes]],0)</f>
        <v>0</v>
      </c>
      <c r="AP303" s="105">
        <f>IF(NFI_Expiration=1,IF($A303&lt;VLOOKUP(X$5,NFI,5,0),1,0)*Data_NFI_t[[#This Row],[Sewing Kit]],0)</f>
        <v>0</v>
      </c>
      <c r="AQ303" s="734">
        <f>IF(NFI_Expiration=1,IF($A303&lt;VLOOKUP(X$5,NFI,5,0),1,0)*Data_NFI_t[[#This Row],[Solar Lantern]],0)</f>
        <v>0</v>
      </c>
      <c r="AR303" s="105" t="str">
        <f ca="1">IFERROR(OFFSET(Camp_List[P_Code],MATCH(Data_NFI_t[[#This Row],[Camp Name]],Camp_List[Camp Name],0)-1,0,1,1),"")</f>
        <v>MMR012CMP028</v>
      </c>
      <c r="AS303" s="421" t="str">
        <f ca="1">IFERROR(OFFSET(Camp_List[Status],MATCH(Data_NFI_t[[#This Row],[Camp Name]],Camp_List[Camp Name],0)-1,0,1,1),"")</f>
        <v>Returned</v>
      </c>
      <c r="AT303" s="105"/>
    </row>
    <row r="304" spans="1:46" s="78" customFormat="1" ht="19.5" customHeight="1" x14ac:dyDescent="0.25">
      <c r="A304" s="208">
        <f t="shared" si="4"/>
        <v>57.966666666666669</v>
      </c>
      <c r="B304" s="208">
        <f>YEAR(Data_NFI_t[[#This Row],[Distribution Date]])</f>
        <v>2013</v>
      </c>
      <c r="C304" s="744">
        <v>41451</v>
      </c>
      <c r="D304" s="402" t="s">
        <v>271</v>
      </c>
      <c r="E304" s="401" t="s">
        <v>271</v>
      </c>
      <c r="F304" s="402" t="s">
        <v>7</v>
      </c>
      <c r="G304" s="670" t="s">
        <v>17</v>
      </c>
      <c r="H304" s="670" t="s">
        <v>63</v>
      </c>
      <c r="I304" s="670"/>
      <c r="J304" s="670"/>
      <c r="K304" s="670"/>
      <c r="L304" s="42"/>
      <c r="M304" s="42"/>
      <c r="N304" s="42">
        <v>273</v>
      </c>
      <c r="O304" s="42">
        <v>273</v>
      </c>
      <c r="P304" s="42">
        <v>273</v>
      </c>
      <c r="Q304" s="42"/>
      <c r="R304" s="42"/>
      <c r="S304" s="42">
        <v>273</v>
      </c>
      <c r="T304" s="419"/>
      <c r="U304" s="42">
        <v>273</v>
      </c>
      <c r="V304" s="42"/>
      <c r="W304" s="42"/>
      <c r="X304" s="42"/>
      <c r="Y304" s="42"/>
      <c r="Z304" s="42"/>
      <c r="AA304" s="42"/>
      <c r="AB304" s="42"/>
      <c r="AC304" s="105">
        <f>IF(NFI_Expiration=1,IF($A304&lt;VLOOKUP(I$5,NFI,5,0),1,0)*Data_NFI_t[[#This Row],[Hygiene Kit]],0)</f>
        <v>0</v>
      </c>
      <c r="AD304" s="105">
        <f>IF(NFI_Expiration=1,IF($A304&lt;VLOOKUP(L$5,NFI,5,0),1,0)*Data_NFI_t[[#This Row],[NFI Core Kit]],0)</f>
        <v>0</v>
      </c>
      <c r="AE304" s="86">
        <f>IF(NFI_Expiration=1,IF($A304&lt;VLOOKUP(M$5,NFI,5,0),1,0)*Data_NFI_t[[#This Row],[Sanitary Kit]],0)</f>
        <v>0</v>
      </c>
      <c r="AF304" s="86">
        <f>IF(NFI_Expiration=1,IF($A304&lt;VLOOKUP(N$5,NFI,5,0),1,0)*Data_NFI_t[[#This Row],[Mosquito net]],0)</f>
        <v>0</v>
      </c>
      <c r="AG304" s="86">
        <f>IF(NFI_Expiration=1,IF($A304&lt;VLOOKUP(O$5,NFI,5,0),1,0)*Data_NFI_t[[#This Row],[Tarpaulin]],0)</f>
        <v>0</v>
      </c>
      <c r="AH304" s="86">
        <f>IF(NFI_Expiration=1,IF($A304&lt;VLOOKUP(P$5,NFI,5,0),1,0)*Data_NFI_t[[#This Row],[Blanket]],0)</f>
        <v>0</v>
      </c>
      <c r="AI304" s="86">
        <f>IF(NFI_Expiration=1,IF($A304&lt;VLOOKUP(Q$5,NFI,5,0),1,0)*Data_NFI_t[[#This Row],[Kitchen Set]],0)</f>
        <v>0</v>
      </c>
      <c r="AJ304" s="86">
        <f>IF(NFI_Expiration=1,IF($A304&lt;VLOOKUP(R$5,NFI,5,0),1,0)*Data_NFI_t[[#This Row],[Complementary Kit]],0)</f>
        <v>0</v>
      </c>
      <c r="AK304" s="86">
        <f>IF(NFI_Expiration=1,IF($A304&lt;VLOOKUP(S$5,NFI,5,0),1,0)*Data_NFI_t[[#This Row],[Plastic Bucket]],0)</f>
        <v>0</v>
      </c>
      <c r="AL304" s="86">
        <f>IF(NFI_Expiration=1,IF($A304&lt;VLOOKUP(T$5,NFI,5,0),1,0)*Data_NFI_t[[#This Row],[Jerry Can]],0)</f>
        <v>0</v>
      </c>
      <c r="AM304" s="105">
        <f>IF(NFI_Expiration=1,IF($A304&lt;VLOOKUP(U$5,NFI,5,0),1,0)*Data_NFI_t[[#This Row],[Plastic Mat]],0)*IF(Data_NFI_t[[#This Row],[Distribution Date]]&gt;"01-06-2015",1,2.5)</f>
        <v>0</v>
      </c>
      <c r="AN304" s="734">
        <f>IF(NFI_Expiration=1,IF($A304&lt;VLOOKUP(V$5,NFI,5,0),1,0)*Data_NFI_t[[#This Row],[Adult Clothes]],0)</f>
        <v>0</v>
      </c>
      <c r="AO304" s="105">
        <f>IF(NFI_Expiration=1,IF($A304&lt;VLOOKUP(W$5,NFI,5,0),1,0)*Data_NFI_t[[#This Row],[Children Clothes]],0)</f>
        <v>0</v>
      </c>
      <c r="AP304" s="105">
        <f>IF(NFI_Expiration=1,IF($A304&lt;VLOOKUP(X$5,NFI,5,0),1,0)*Data_NFI_t[[#This Row],[Sewing Kit]],0)</f>
        <v>0</v>
      </c>
      <c r="AQ304" s="734">
        <f>IF(NFI_Expiration=1,IF($A304&lt;VLOOKUP(X$5,NFI,5,0),1,0)*Data_NFI_t[[#This Row],[Solar Lantern]],0)</f>
        <v>0</v>
      </c>
      <c r="AR304" s="105" t="str">
        <f ca="1">IFERROR(OFFSET(Camp_List[P_Code],MATCH(Data_NFI_t[[#This Row],[Camp Name]],Camp_List[Camp Name],0)-1,0,1,1),"")</f>
        <v>MMR012CMP043</v>
      </c>
      <c r="AS304" s="421" t="str">
        <f ca="1">IFERROR(OFFSET(Camp_List[Status],MATCH(Data_NFI_t[[#This Row],[Camp Name]],Camp_List[Camp Name],0)-1,0,1,1),"")</f>
        <v>Close</v>
      </c>
      <c r="AT304" s="105"/>
    </row>
    <row r="305" spans="1:46" s="78" customFormat="1" ht="19.5" customHeight="1" x14ac:dyDescent="0.25">
      <c r="A305" s="208">
        <f t="shared" si="4"/>
        <v>57.966666666666669</v>
      </c>
      <c r="B305" s="208">
        <f>YEAR(Data_NFI_t[[#This Row],[Distribution Date]])</f>
        <v>2013</v>
      </c>
      <c r="C305" s="744">
        <v>41451</v>
      </c>
      <c r="D305" s="402" t="s">
        <v>271</v>
      </c>
      <c r="E305" s="401" t="s">
        <v>271</v>
      </c>
      <c r="F305" s="402" t="s">
        <v>7</v>
      </c>
      <c r="G305" s="670" t="s">
        <v>17</v>
      </c>
      <c r="H305" s="670" t="s">
        <v>76</v>
      </c>
      <c r="I305" s="670"/>
      <c r="J305" s="670"/>
      <c r="K305" s="670"/>
      <c r="L305" s="42"/>
      <c r="M305" s="42"/>
      <c r="N305" s="42">
        <v>20</v>
      </c>
      <c r="O305" s="42">
        <v>20</v>
      </c>
      <c r="P305" s="42">
        <v>20</v>
      </c>
      <c r="Q305" s="42"/>
      <c r="R305" s="42"/>
      <c r="S305" s="42">
        <v>20</v>
      </c>
      <c r="T305" s="419"/>
      <c r="U305" s="42">
        <v>20</v>
      </c>
      <c r="V305" s="42"/>
      <c r="W305" s="42"/>
      <c r="X305" s="42"/>
      <c r="Y305" s="42"/>
      <c r="Z305" s="42"/>
      <c r="AA305" s="42"/>
      <c r="AB305" s="42"/>
      <c r="AC305" s="105">
        <f>IF(NFI_Expiration=1,IF($A305&lt;VLOOKUP(I$5,NFI,5,0),1,0)*Data_NFI_t[[#This Row],[Hygiene Kit]],0)</f>
        <v>0</v>
      </c>
      <c r="AD305" s="105">
        <f>IF(NFI_Expiration=1,IF($A305&lt;VLOOKUP(L$5,NFI,5,0),1,0)*Data_NFI_t[[#This Row],[NFI Core Kit]],0)</f>
        <v>0</v>
      </c>
      <c r="AE305" s="86">
        <f>IF(NFI_Expiration=1,IF($A305&lt;VLOOKUP(M$5,NFI,5,0),1,0)*Data_NFI_t[[#This Row],[Sanitary Kit]],0)</f>
        <v>0</v>
      </c>
      <c r="AF305" s="86">
        <f>IF(NFI_Expiration=1,IF($A305&lt;VLOOKUP(N$5,NFI,5,0),1,0)*Data_NFI_t[[#This Row],[Mosquito net]],0)</f>
        <v>0</v>
      </c>
      <c r="AG305" s="86">
        <f>IF(NFI_Expiration=1,IF($A305&lt;VLOOKUP(O$5,NFI,5,0),1,0)*Data_NFI_t[[#This Row],[Tarpaulin]],0)</f>
        <v>0</v>
      </c>
      <c r="AH305" s="86">
        <f>IF(NFI_Expiration=1,IF($A305&lt;VLOOKUP(P$5,NFI,5,0),1,0)*Data_NFI_t[[#This Row],[Blanket]],0)</f>
        <v>0</v>
      </c>
      <c r="AI305" s="86">
        <f>IF(NFI_Expiration=1,IF($A305&lt;VLOOKUP(Q$5,NFI,5,0),1,0)*Data_NFI_t[[#This Row],[Kitchen Set]],0)</f>
        <v>0</v>
      </c>
      <c r="AJ305" s="86">
        <f>IF(NFI_Expiration=1,IF($A305&lt;VLOOKUP(R$5,NFI,5,0),1,0)*Data_NFI_t[[#This Row],[Complementary Kit]],0)</f>
        <v>0</v>
      </c>
      <c r="AK305" s="86">
        <f>IF(NFI_Expiration=1,IF($A305&lt;VLOOKUP(S$5,NFI,5,0),1,0)*Data_NFI_t[[#This Row],[Plastic Bucket]],0)</f>
        <v>0</v>
      </c>
      <c r="AL305" s="86">
        <f>IF(NFI_Expiration=1,IF($A305&lt;VLOOKUP(T$5,NFI,5,0),1,0)*Data_NFI_t[[#This Row],[Jerry Can]],0)</f>
        <v>0</v>
      </c>
      <c r="AM305" s="105">
        <f>IF(NFI_Expiration=1,IF($A305&lt;VLOOKUP(U$5,NFI,5,0),1,0)*Data_NFI_t[[#This Row],[Plastic Mat]],0)*IF(Data_NFI_t[[#This Row],[Distribution Date]]&gt;"01-06-2015",1,2.5)</f>
        <v>0</v>
      </c>
      <c r="AN305" s="734">
        <f>IF(NFI_Expiration=1,IF($A305&lt;VLOOKUP(V$5,NFI,5,0),1,0)*Data_NFI_t[[#This Row],[Adult Clothes]],0)</f>
        <v>0</v>
      </c>
      <c r="AO305" s="105">
        <f>IF(NFI_Expiration=1,IF($A305&lt;VLOOKUP(W$5,NFI,5,0),1,0)*Data_NFI_t[[#This Row],[Children Clothes]],0)</f>
        <v>0</v>
      </c>
      <c r="AP305" s="105">
        <f>IF(NFI_Expiration=1,IF($A305&lt;VLOOKUP(X$5,NFI,5,0),1,0)*Data_NFI_t[[#This Row],[Sewing Kit]],0)</f>
        <v>0</v>
      </c>
      <c r="AQ305" s="734">
        <f>IF(NFI_Expiration=1,IF($A305&lt;VLOOKUP(X$5,NFI,5,0),1,0)*Data_NFI_t[[#This Row],[Solar Lantern]],0)</f>
        <v>0</v>
      </c>
      <c r="AR305" s="105" t="str">
        <f ca="1">IFERROR(OFFSET(Camp_List[P_Code],MATCH(Data_NFI_t[[#This Row],[Camp Name]],Camp_List[Camp Name],0)-1,0,1,1),"")</f>
        <v>MMR012CMP056</v>
      </c>
      <c r="AS305" s="421" t="str">
        <f ca="1">IFERROR(OFFSET(Camp_List[Status],MATCH(Data_NFI_t[[#This Row],[Camp Name]],Camp_List[Camp Name],0)-1,0,1,1),"")</f>
        <v>Relocated</v>
      </c>
      <c r="AT305" s="105"/>
    </row>
    <row r="306" spans="1:46" s="78" customFormat="1" ht="19.5" customHeight="1" x14ac:dyDescent="0.25">
      <c r="A306" s="208">
        <f t="shared" si="4"/>
        <v>57.966666666666669</v>
      </c>
      <c r="B306" s="208">
        <f>YEAR(Data_NFI_t[[#This Row],[Distribution Date]])</f>
        <v>2013</v>
      </c>
      <c r="C306" s="744">
        <v>41451</v>
      </c>
      <c r="D306" s="402" t="s">
        <v>271</v>
      </c>
      <c r="E306" s="401" t="s">
        <v>271</v>
      </c>
      <c r="F306" s="402" t="s">
        <v>7</v>
      </c>
      <c r="G306" s="670" t="s">
        <v>17</v>
      </c>
      <c r="H306" s="670" t="s">
        <v>66</v>
      </c>
      <c r="I306" s="670"/>
      <c r="J306" s="670"/>
      <c r="K306" s="670"/>
      <c r="L306" s="42"/>
      <c r="M306" s="42"/>
      <c r="N306" s="42">
        <v>2797</v>
      </c>
      <c r="O306" s="42">
        <v>2797</v>
      </c>
      <c r="P306" s="42">
        <v>2797</v>
      </c>
      <c r="Q306" s="42"/>
      <c r="R306" s="42"/>
      <c r="S306" s="42">
        <v>2797</v>
      </c>
      <c r="T306" s="419"/>
      <c r="U306" s="42">
        <v>2797</v>
      </c>
      <c r="V306" s="42"/>
      <c r="W306" s="42"/>
      <c r="X306" s="42"/>
      <c r="Y306" s="42"/>
      <c r="Z306" s="42"/>
      <c r="AA306" s="42"/>
      <c r="AB306" s="42"/>
      <c r="AC306" s="105">
        <f>IF(NFI_Expiration=1,IF($A306&lt;VLOOKUP(I$5,NFI,5,0),1,0)*Data_NFI_t[[#This Row],[Hygiene Kit]],0)</f>
        <v>0</v>
      </c>
      <c r="AD306" s="105">
        <f>IF(NFI_Expiration=1,IF($A306&lt;VLOOKUP(L$5,NFI,5,0),1,0)*Data_NFI_t[[#This Row],[NFI Core Kit]],0)</f>
        <v>0</v>
      </c>
      <c r="AE306" s="86">
        <f>IF(NFI_Expiration=1,IF($A306&lt;VLOOKUP(M$5,NFI,5,0),1,0)*Data_NFI_t[[#This Row],[Sanitary Kit]],0)</f>
        <v>0</v>
      </c>
      <c r="AF306" s="86">
        <f>IF(NFI_Expiration=1,IF($A306&lt;VLOOKUP(N$5,NFI,5,0),1,0)*Data_NFI_t[[#This Row],[Mosquito net]],0)</f>
        <v>0</v>
      </c>
      <c r="AG306" s="86">
        <f>IF(NFI_Expiration=1,IF($A306&lt;VLOOKUP(O$5,NFI,5,0),1,0)*Data_NFI_t[[#This Row],[Tarpaulin]],0)</f>
        <v>0</v>
      </c>
      <c r="AH306" s="86">
        <f>IF(NFI_Expiration=1,IF($A306&lt;VLOOKUP(P$5,NFI,5,0),1,0)*Data_NFI_t[[#This Row],[Blanket]],0)</f>
        <v>0</v>
      </c>
      <c r="AI306" s="86">
        <f>IF(NFI_Expiration=1,IF($A306&lt;VLOOKUP(Q$5,NFI,5,0),1,0)*Data_NFI_t[[#This Row],[Kitchen Set]],0)</f>
        <v>0</v>
      </c>
      <c r="AJ306" s="86">
        <f>IF(NFI_Expiration=1,IF($A306&lt;VLOOKUP(R$5,NFI,5,0),1,0)*Data_NFI_t[[#This Row],[Complementary Kit]],0)</f>
        <v>0</v>
      </c>
      <c r="AK306" s="86">
        <f>IF(NFI_Expiration=1,IF($A306&lt;VLOOKUP(S$5,NFI,5,0),1,0)*Data_NFI_t[[#This Row],[Plastic Bucket]],0)</f>
        <v>0</v>
      </c>
      <c r="AL306" s="86">
        <f>IF(NFI_Expiration=1,IF($A306&lt;VLOOKUP(T$5,NFI,5,0),1,0)*Data_NFI_t[[#This Row],[Jerry Can]],0)</f>
        <v>0</v>
      </c>
      <c r="AM306" s="105">
        <f>IF(NFI_Expiration=1,IF($A306&lt;VLOOKUP(U$5,NFI,5,0),1,0)*Data_NFI_t[[#This Row],[Plastic Mat]],0)*IF(Data_NFI_t[[#This Row],[Distribution Date]]&gt;"01-06-2015",1,2.5)</f>
        <v>0</v>
      </c>
      <c r="AN306" s="734">
        <f>IF(NFI_Expiration=1,IF($A306&lt;VLOOKUP(V$5,NFI,5,0),1,0)*Data_NFI_t[[#This Row],[Adult Clothes]],0)</f>
        <v>0</v>
      </c>
      <c r="AO306" s="105">
        <f>IF(NFI_Expiration=1,IF($A306&lt;VLOOKUP(W$5,NFI,5,0),1,0)*Data_NFI_t[[#This Row],[Children Clothes]],0)</f>
        <v>0</v>
      </c>
      <c r="AP306" s="105">
        <f>IF(NFI_Expiration=1,IF($A306&lt;VLOOKUP(X$5,NFI,5,0),1,0)*Data_NFI_t[[#This Row],[Sewing Kit]],0)</f>
        <v>0</v>
      </c>
      <c r="AQ306" s="734">
        <f>IF(NFI_Expiration=1,IF($A306&lt;VLOOKUP(X$5,NFI,5,0),1,0)*Data_NFI_t[[#This Row],[Solar Lantern]],0)</f>
        <v>0</v>
      </c>
      <c r="AR306" s="105" t="str">
        <f ca="1">IFERROR(OFFSET(Camp_List[P_Code],MATCH(Data_NFI_t[[#This Row],[Camp Name]],Camp_List[Camp Name],0)-1,0,1,1),"")</f>
        <v>MMR012CMP046</v>
      </c>
      <c r="AS306" s="421" t="str">
        <f ca="1">IFERROR(OFFSET(Camp_List[Status],MATCH(Data_NFI_t[[#This Row],[Camp Name]],Camp_List[Camp Name],0)-1,0,1,1),"")</f>
        <v>Open</v>
      </c>
      <c r="AT306" s="105"/>
    </row>
    <row r="307" spans="1:46" s="78" customFormat="1" ht="19.5" customHeight="1" x14ac:dyDescent="0.25">
      <c r="A307" s="208">
        <f t="shared" si="4"/>
        <v>58.9</v>
      </c>
      <c r="B307" s="208">
        <f>YEAR(Data_NFI_t[[#This Row],[Distribution Date]])</f>
        <v>2013</v>
      </c>
      <c r="C307" s="744">
        <v>41423</v>
      </c>
      <c r="D307" s="402" t="s">
        <v>473</v>
      </c>
      <c r="E307" s="401" t="s">
        <v>473</v>
      </c>
      <c r="F307" s="402" t="s">
        <v>7</v>
      </c>
      <c r="G307" s="670" t="s">
        <v>13</v>
      </c>
      <c r="H307" s="670" t="s">
        <v>38</v>
      </c>
      <c r="I307" s="670">
        <v>773</v>
      </c>
      <c r="J307" s="670"/>
      <c r="K307" s="670"/>
      <c r="L307" s="42"/>
      <c r="M307" s="42"/>
      <c r="N307" s="42"/>
      <c r="O307" s="42"/>
      <c r="P307" s="42"/>
      <c r="Q307" s="42"/>
      <c r="R307" s="42"/>
      <c r="S307" s="42"/>
      <c r="T307" s="419"/>
      <c r="U307" s="42"/>
      <c r="V307" s="42"/>
      <c r="W307" s="42"/>
      <c r="X307" s="42"/>
      <c r="Y307" s="42"/>
      <c r="Z307" s="42"/>
      <c r="AA307" s="42"/>
      <c r="AB307" s="42"/>
      <c r="AC307" s="105">
        <f>IF(NFI_Expiration=1,IF($A307&lt;VLOOKUP(I$5,NFI,5,0),1,0)*Data_NFI_t[[#This Row],[Hygiene Kit]],0)</f>
        <v>0</v>
      </c>
      <c r="AD307" s="105">
        <f>IF(NFI_Expiration=1,IF($A307&lt;VLOOKUP(L$5,NFI,5,0),1,0)*Data_NFI_t[[#This Row],[NFI Core Kit]],0)</f>
        <v>0</v>
      </c>
      <c r="AE307" s="86">
        <f>IF(NFI_Expiration=1,IF($A307&lt;VLOOKUP(M$5,NFI,5,0),1,0)*Data_NFI_t[[#This Row],[Sanitary Kit]],0)</f>
        <v>0</v>
      </c>
      <c r="AF307" s="86">
        <f>IF(NFI_Expiration=1,IF($A307&lt;VLOOKUP(N$5,NFI,5,0),1,0)*Data_NFI_t[[#This Row],[Mosquito net]],0)</f>
        <v>0</v>
      </c>
      <c r="AG307" s="86">
        <f>IF(NFI_Expiration=1,IF($A307&lt;VLOOKUP(O$5,NFI,5,0),1,0)*Data_NFI_t[[#This Row],[Tarpaulin]],0)</f>
        <v>0</v>
      </c>
      <c r="AH307" s="86">
        <f>IF(NFI_Expiration=1,IF($A307&lt;VLOOKUP(P$5,NFI,5,0),1,0)*Data_NFI_t[[#This Row],[Blanket]],0)</f>
        <v>0</v>
      </c>
      <c r="AI307" s="86">
        <f>IF(NFI_Expiration=1,IF($A307&lt;VLOOKUP(Q$5,NFI,5,0),1,0)*Data_NFI_t[[#This Row],[Kitchen Set]],0)</f>
        <v>0</v>
      </c>
      <c r="AJ307" s="86">
        <f>IF(NFI_Expiration=1,IF($A307&lt;VLOOKUP(R$5,NFI,5,0),1,0)*Data_NFI_t[[#This Row],[Complementary Kit]],0)</f>
        <v>0</v>
      </c>
      <c r="AK307" s="86">
        <f>IF(NFI_Expiration=1,IF($A307&lt;VLOOKUP(S$5,NFI,5,0),1,0)*Data_NFI_t[[#This Row],[Plastic Bucket]],0)</f>
        <v>0</v>
      </c>
      <c r="AL307" s="86">
        <f>IF(NFI_Expiration=1,IF($A307&lt;VLOOKUP(T$5,NFI,5,0),1,0)*Data_NFI_t[[#This Row],[Jerry Can]],0)</f>
        <v>0</v>
      </c>
      <c r="AM307" s="105">
        <f>IF(NFI_Expiration=1,IF($A307&lt;VLOOKUP(U$5,NFI,5,0),1,0)*Data_NFI_t[[#This Row],[Plastic Mat]],0)*IF(Data_NFI_t[[#This Row],[Distribution Date]]&gt;"01-06-2015",1,2.5)</f>
        <v>0</v>
      </c>
      <c r="AN307" s="734">
        <f>IF(NFI_Expiration=1,IF($A307&lt;VLOOKUP(V$5,NFI,5,0),1,0)*Data_NFI_t[[#This Row],[Adult Clothes]],0)</f>
        <v>0</v>
      </c>
      <c r="AO307" s="105">
        <f>IF(NFI_Expiration=1,IF($A307&lt;VLOOKUP(W$5,NFI,5,0),1,0)*Data_NFI_t[[#This Row],[Children Clothes]],0)</f>
        <v>0</v>
      </c>
      <c r="AP307" s="105">
        <f>IF(NFI_Expiration=1,IF($A307&lt;VLOOKUP(X$5,NFI,5,0),1,0)*Data_NFI_t[[#This Row],[Sewing Kit]],0)</f>
        <v>0</v>
      </c>
      <c r="AQ307" s="734">
        <f>IF(NFI_Expiration=1,IF($A307&lt;VLOOKUP(X$5,NFI,5,0),1,0)*Data_NFI_t[[#This Row],[Solar Lantern]],0)</f>
        <v>0</v>
      </c>
      <c r="AR307" s="105" t="str">
        <f ca="1">IFERROR(OFFSET(Camp_List[P_Code],MATCH(Data_NFI_t[[#This Row],[Camp Name]],Camp_List[Camp Name],0)-1,0,1,1),"")</f>
        <v>MMR012CMP016</v>
      </c>
      <c r="AS307" s="421" t="str">
        <f ca="1">IFERROR(OFFSET(Camp_List[Status],MATCH(Data_NFI_t[[#This Row],[Camp Name]],Camp_List[Camp Name],0)-1,0,1,1),"")</f>
        <v>Open</v>
      </c>
      <c r="AT307" s="105"/>
    </row>
    <row r="308" spans="1:46" s="78" customFormat="1" ht="19.5" customHeight="1" x14ac:dyDescent="0.25">
      <c r="A308" s="208">
        <f t="shared" si="4"/>
        <v>58.9</v>
      </c>
      <c r="B308" s="208">
        <f>YEAR(Data_NFI_t[[#This Row],[Distribution Date]])</f>
        <v>2013</v>
      </c>
      <c r="C308" s="744">
        <v>41423</v>
      </c>
      <c r="D308" s="402" t="s">
        <v>473</v>
      </c>
      <c r="E308" s="401" t="s">
        <v>473</v>
      </c>
      <c r="F308" s="402" t="s">
        <v>7</v>
      </c>
      <c r="G308" s="670" t="s">
        <v>17</v>
      </c>
      <c r="H308" s="670" t="s">
        <v>71</v>
      </c>
      <c r="I308" s="670">
        <v>502</v>
      </c>
      <c r="J308" s="670"/>
      <c r="K308" s="670"/>
      <c r="L308" s="42"/>
      <c r="M308" s="42"/>
      <c r="N308" s="42"/>
      <c r="O308" s="42"/>
      <c r="P308" s="42"/>
      <c r="Q308" s="42"/>
      <c r="R308" s="42"/>
      <c r="S308" s="42"/>
      <c r="T308" s="419"/>
      <c r="U308" s="42"/>
      <c r="V308" s="42"/>
      <c r="W308" s="42"/>
      <c r="X308" s="42"/>
      <c r="Y308" s="42"/>
      <c r="Z308" s="42"/>
      <c r="AA308" s="42"/>
      <c r="AB308" s="42"/>
      <c r="AC308" s="105">
        <f>IF(NFI_Expiration=1,IF($A308&lt;VLOOKUP(I$5,NFI,5,0),1,0)*Data_NFI_t[[#This Row],[Hygiene Kit]],0)</f>
        <v>0</v>
      </c>
      <c r="AD308" s="105">
        <f>IF(NFI_Expiration=1,IF($A308&lt;VLOOKUP(L$5,NFI,5,0),1,0)*Data_NFI_t[[#This Row],[NFI Core Kit]],0)</f>
        <v>0</v>
      </c>
      <c r="AE308" s="86">
        <f>IF(NFI_Expiration=1,IF($A308&lt;VLOOKUP(M$5,NFI,5,0),1,0)*Data_NFI_t[[#This Row],[Sanitary Kit]],0)</f>
        <v>0</v>
      </c>
      <c r="AF308" s="86">
        <f>IF(NFI_Expiration=1,IF($A308&lt;VLOOKUP(N$5,NFI,5,0),1,0)*Data_NFI_t[[#This Row],[Mosquito net]],0)</f>
        <v>0</v>
      </c>
      <c r="AG308" s="86">
        <f>IF(NFI_Expiration=1,IF($A308&lt;VLOOKUP(O$5,NFI,5,0),1,0)*Data_NFI_t[[#This Row],[Tarpaulin]],0)</f>
        <v>0</v>
      </c>
      <c r="AH308" s="86">
        <f>IF(NFI_Expiration=1,IF($A308&lt;VLOOKUP(P$5,NFI,5,0),1,0)*Data_NFI_t[[#This Row],[Blanket]],0)</f>
        <v>0</v>
      </c>
      <c r="AI308" s="86">
        <f>IF(NFI_Expiration=1,IF($A308&lt;VLOOKUP(Q$5,NFI,5,0),1,0)*Data_NFI_t[[#This Row],[Kitchen Set]],0)</f>
        <v>0</v>
      </c>
      <c r="AJ308" s="86">
        <f>IF(NFI_Expiration=1,IF($A308&lt;VLOOKUP(R$5,NFI,5,0),1,0)*Data_NFI_t[[#This Row],[Complementary Kit]],0)</f>
        <v>0</v>
      </c>
      <c r="AK308" s="86">
        <f>IF(NFI_Expiration=1,IF($A308&lt;VLOOKUP(S$5,NFI,5,0),1,0)*Data_NFI_t[[#This Row],[Plastic Bucket]],0)</f>
        <v>0</v>
      </c>
      <c r="AL308" s="86">
        <f>IF(NFI_Expiration=1,IF($A308&lt;VLOOKUP(T$5,NFI,5,0),1,0)*Data_NFI_t[[#This Row],[Jerry Can]],0)</f>
        <v>0</v>
      </c>
      <c r="AM308" s="105">
        <f>IF(NFI_Expiration=1,IF($A308&lt;VLOOKUP(U$5,NFI,5,0),1,0)*Data_NFI_t[[#This Row],[Plastic Mat]],0)*IF(Data_NFI_t[[#This Row],[Distribution Date]]&gt;"01-06-2015",1,2.5)</f>
        <v>0</v>
      </c>
      <c r="AN308" s="734">
        <f>IF(NFI_Expiration=1,IF($A308&lt;VLOOKUP(V$5,NFI,5,0),1,0)*Data_NFI_t[[#This Row],[Adult Clothes]],0)</f>
        <v>0</v>
      </c>
      <c r="AO308" s="105">
        <f>IF(NFI_Expiration=1,IF($A308&lt;VLOOKUP(W$5,NFI,5,0),1,0)*Data_NFI_t[[#This Row],[Children Clothes]],0)</f>
        <v>0</v>
      </c>
      <c r="AP308" s="105">
        <f>IF(NFI_Expiration=1,IF($A308&lt;VLOOKUP(X$5,NFI,5,0),1,0)*Data_NFI_t[[#This Row],[Sewing Kit]],0)</f>
        <v>0</v>
      </c>
      <c r="AQ308" s="734">
        <f>IF(NFI_Expiration=1,IF($A308&lt;VLOOKUP(X$5,NFI,5,0),1,0)*Data_NFI_t[[#This Row],[Solar Lantern]],0)</f>
        <v>0</v>
      </c>
      <c r="AR308" s="105" t="str">
        <f ca="1">IFERROR(OFFSET(Camp_List[P_Code],MATCH(Data_NFI_t[[#This Row],[Camp Name]],Camp_List[Camp Name],0)-1,0,1,1),"")</f>
        <v>MMR012CMP051</v>
      </c>
      <c r="AS308" s="421" t="str">
        <f ca="1">IFERROR(OFFSET(Camp_List[Status],MATCH(Data_NFI_t[[#This Row],[Camp Name]],Camp_List[Camp Name],0)-1,0,1,1),"")</f>
        <v>Close</v>
      </c>
      <c r="AT308" s="105"/>
    </row>
    <row r="309" spans="1:46" s="78" customFormat="1" ht="19.5" customHeight="1" x14ac:dyDescent="0.25">
      <c r="A309" s="208">
        <f t="shared" si="4"/>
        <v>58.9</v>
      </c>
      <c r="B309" s="208">
        <f>YEAR(Data_NFI_t[[#This Row],[Distribution Date]])</f>
        <v>2013</v>
      </c>
      <c r="C309" s="744">
        <v>41423</v>
      </c>
      <c r="D309" s="402" t="s">
        <v>473</v>
      </c>
      <c r="E309" s="401" t="s">
        <v>473</v>
      </c>
      <c r="F309" s="402" t="s">
        <v>7</v>
      </c>
      <c r="G309" s="670" t="s">
        <v>17</v>
      </c>
      <c r="H309" s="670" t="s">
        <v>69</v>
      </c>
      <c r="I309" s="670">
        <v>203</v>
      </c>
      <c r="J309" s="670"/>
      <c r="K309" s="670"/>
      <c r="L309" s="42"/>
      <c r="M309" s="42"/>
      <c r="N309" s="42"/>
      <c r="O309" s="42"/>
      <c r="P309" s="42"/>
      <c r="Q309" s="42"/>
      <c r="R309" s="42"/>
      <c r="S309" s="42"/>
      <c r="T309" s="419"/>
      <c r="U309" s="42"/>
      <c r="V309" s="42"/>
      <c r="W309" s="42"/>
      <c r="X309" s="42"/>
      <c r="Y309" s="42"/>
      <c r="Z309" s="42"/>
      <c r="AA309" s="42"/>
      <c r="AB309" s="42"/>
      <c r="AC309" s="105">
        <f>IF(NFI_Expiration=1,IF($A309&lt;VLOOKUP(I$5,NFI,5,0),1,0)*Data_NFI_t[[#This Row],[Hygiene Kit]],0)</f>
        <v>0</v>
      </c>
      <c r="AD309" s="105">
        <f>IF(NFI_Expiration=1,IF($A309&lt;VLOOKUP(L$5,NFI,5,0),1,0)*Data_NFI_t[[#This Row],[NFI Core Kit]],0)</f>
        <v>0</v>
      </c>
      <c r="AE309" s="86">
        <f>IF(NFI_Expiration=1,IF($A309&lt;VLOOKUP(M$5,NFI,5,0),1,0)*Data_NFI_t[[#This Row],[Sanitary Kit]],0)</f>
        <v>0</v>
      </c>
      <c r="AF309" s="86">
        <f>IF(NFI_Expiration=1,IF($A309&lt;VLOOKUP(N$5,NFI,5,0),1,0)*Data_NFI_t[[#This Row],[Mosquito net]],0)</f>
        <v>0</v>
      </c>
      <c r="AG309" s="86">
        <f>IF(NFI_Expiration=1,IF($A309&lt;VLOOKUP(O$5,NFI,5,0),1,0)*Data_NFI_t[[#This Row],[Tarpaulin]],0)</f>
        <v>0</v>
      </c>
      <c r="AH309" s="86">
        <f>IF(NFI_Expiration=1,IF($A309&lt;VLOOKUP(P$5,NFI,5,0),1,0)*Data_NFI_t[[#This Row],[Blanket]],0)</f>
        <v>0</v>
      </c>
      <c r="AI309" s="86">
        <f>IF(NFI_Expiration=1,IF($A309&lt;VLOOKUP(Q$5,NFI,5,0),1,0)*Data_NFI_t[[#This Row],[Kitchen Set]],0)</f>
        <v>0</v>
      </c>
      <c r="AJ309" s="86">
        <f>IF(NFI_Expiration=1,IF($A309&lt;VLOOKUP(R$5,NFI,5,0),1,0)*Data_NFI_t[[#This Row],[Complementary Kit]],0)</f>
        <v>0</v>
      </c>
      <c r="AK309" s="86">
        <f>IF(NFI_Expiration=1,IF($A309&lt;VLOOKUP(S$5,NFI,5,0),1,0)*Data_NFI_t[[#This Row],[Plastic Bucket]],0)</f>
        <v>0</v>
      </c>
      <c r="AL309" s="86">
        <f>IF(NFI_Expiration=1,IF($A309&lt;VLOOKUP(T$5,NFI,5,0),1,0)*Data_NFI_t[[#This Row],[Jerry Can]],0)</f>
        <v>0</v>
      </c>
      <c r="AM309" s="105">
        <f>IF(NFI_Expiration=1,IF($A309&lt;VLOOKUP(U$5,NFI,5,0),1,0)*Data_NFI_t[[#This Row],[Plastic Mat]],0)*IF(Data_NFI_t[[#This Row],[Distribution Date]]&gt;"01-06-2015",1,2.5)</f>
        <v>0</v>
      </c>
      <c r="AN309" s="734">
        <f>IF(NFI_Expiration=1,IF($A309&lt;VLOOKUP(V$5,NFI,5,0),1,0)*Data_NFI_t[[#This Row],[Adult Clothes]],0)</f>
        <v>0</v>
      </c>
      <c r="AO309" s="105">
        <f>IF(NFI_Expiration=1,IF($A309&lt;VLOOKUP(W$5,NFI,5,0),1,0)*Data_NFI_t[[#This Row],[Children Clothes]],0)</f>
        <v>0</v>
      </c>
      <c r="AP309" s="105">
        <f>IF(NFI_Expiration=1,IF($A309&lt;VLOOKUP(X$5,NFI,5,0),1,0)*Data_NFI_t[[#This Row],[Sewing Kit]],0)</f>
        <v>0</v>
      </c>
      <c r="AQ309" s="734">
        <f>IF(NFI_Expiration=1,IF($A309&lt;VLOOKUP(X$5,NFI,5,0),1,0)*Data_NFI_t[[#This Row],[Solar Lantern]],0)</f>
        <v>0</v>
      </c>
      <c r="AR309" s="105" t="str">
        <f ca="1">IFERROR(OFFSET(Camp_List[P_Code],MATCH(Data_NFI_t[[#This Row],[Camp Name]],Camp_List[Camp Name],0)-1,0,1,1),"")</f>
        <v>MMR012CMP049</v>
      </c>
      <c r="AS309" s="421" t="str">
        <f ca="1">IFERROR(OFFSET(Camp_List[Status],MATCH(Data_NFI_t[[#This Row],[Camp Name]],Camp_List[Camp Name],0)-1,0,1,1),"")</f>
        <v>Close</v>
      </c>
      <c r="AT309" s="105"/>
    </row>
    <row r="310" spans="1:46" s="78" customFormat="1" ht="19.5" customHeight="1" x14ac:dyDescent="0.25">
      <c r="A310" s="208">
        <f t="shared" si="4"/>
        <v>58.9</v>
      </c>
      <c r="B310" s="208">
        <f>YEAR(Data_NFI_t[[#This Row],[Distribution Date]])</f>
        <v>2013</v>
      </c>
      <c r="C310" s="744">
        <v>41423</v>
      </c>
      <c r="D310" s="402" t="s">
        <v>473</v>
      </c>
      <c r="E310" s="401" t="s">
        <v>473</v>
      </c>
      <c r="F310" s="402" t="s">
        <v>7</v>
      </c>
      <c r="G310" s="670" t="s">
        <v>13</v>
      </c>
      <c r="H310" s="670" t="s">
        <v>39</v>
      </c>
      <c r="I310" s="670">
        <v>173</v>
      </c>
      <c r="J310" s="670"/>
      <c r="K310" s="670"/>
      <c r="L310" s="42"/>
      <c r="M310" s="42"/>
      <c r="N310" s="42"/>
      <c r="O310" s="42"/>
      <c r="P310" s="42"/>
      <c r="Q310" s="42"/>
      <c r="R310" s="42"/>
      <c r="S310" s="42"/>
      <c r="T310" s="419"/>
      <c r="U310" s="42"/>
      <c r="V310" s="42"/>
      <c r="W310" s="42"/>
      <c r="X310" s="42"/>
      <c r="Y310" s="42"/>
      <c r="Z310" s="42"/>
      <c r="AA310" s="42"/>
      <c r="AB310" s="42"/>
      <c r="AC310" s="105">
        <f>IF(NFI_Expiration=1,IF($A310&lt;VLOOKUP(I$5,NFI,5,0),1,0)*Data_NFI_t[[#This Row],[Hygiene Kit]],0)</f>
        <v>0</v>
      </c>
      <c r="AD310" s="105">
        <f>IF(NFI_Expiration=1,IF($A310&lt;VLOOKUP(L$5,NFI,5,0),1,0)*Data_NFI_t[[#This Row],[NFI Core Kit]],0)</f>
        <v>0</v>
      </c>
      <c r="AE310" s="86">
        <f>IF(NFI_Expiration=1,IF($A310&lt;VLOOKUP(M$5,NFI,5,0),1,0)*Data_NFI_t[[#This Row],[Sanitary Kit]],0)</f>
        <v>0</v>
      </c>
      <c r="AF310" s="86">
        <f>IF(NFI_Expiration=1,IF($A310&lt;VLOOKUP(N$5,NFI,5,0),1,0)*Data_NFI_t[[#This Row],[Mosquito net]],0)</f>
        <v>0</v>
      </c>
      <c r="AG310" s="86">
        <f>IF(NFI_Expiration=1,IF($A310&lt;VLOOKUP(O$5,NFI,5,0),1,0)*Data_NFI_t[[#This Row],[Tarpaulin]],0)</f>
        <v>0</v>
      </c>
      <c r="AH310" s="86">
        <f>IF(NFI_Expiration=1,IF($A310&lt;VLOOKUP(P$5,NFI,5,0),1,0)*Data_NFI_t[[#This Row],[Blanket]],0)</f>
        <v>0</v>
      </c>
      <c r="AI310" s="86">
        <f>IF(NFI_Expiration=1,IF($A310&lt;VLOOKUP(Q$5,NFI,5,0),1,0)*Data_NFI_t[[#This Row],[Kitchen Set]],0)</f>
        <v>0</v>
      </c>
      <c r="AJ310" s="86">
        <f>IF(NFI_Expiration=1,IF($A310&lt;VLOOKUP(R$5,NFI,5,0),1,0)*Data_NFI_t[[#This Row],[Complementary Kit]],0)</f>
        <v>0</v>
      </c>
      <c r="AK310" s="86">
        <f>IF(NFI_Expiration=1,IF($A310&lt;VLOOKUP(S$5,NFI,5,0),1,0)*Data_NFI_t[[#This Row],[Plastic Bucket]],0)</f>
        <v>0</v>
      </c>
      <c r="AL310" s="86">
        <f>IF(NFI_Expiration=1,IF($A310&lt;VLOOKUP(T$5,NFI,5,0),1,0)*Data_NFI_t[[#This Row],[Jerry Can]],0)</f>
        <v>0</v>
      </c>
      <c r="AM310" s="105">
        <f>IF(NFI_Expiration=1,IF($A310&lt;VLOOKUP(U$5,NFI,5,0),1,0)*Data_NFI_t[[#This Row],[Plastic Mat]],0)*IF(Data_NFI_t[[#This Row],[Distribution Date]]&gt;"01-06-2015",1,2.5)</f>
        <v>0</v>
      </c>
      <c r="AN310" s="734">
        <f>IF(NFI_Expiration=1,IF($A310&lt;VLOOKUP(V$5,NFI,5,0),1,0)*Data_NFI_t[[#This Row],[Adult Clothes]],0)</f>
        <v>0</v>
      </c>
      <c r="AO310" s="105">
        <f>IF(NFI_Expiration=1,IF($A310&lt;VLOOKUP(W$5,NFI,5,0),1,0)*Data_NFI_t[[#This Row],[Children Clothes]],0)</f>
        <v>0</v>
      </c>
      <c r="AP310" s="105">
        <f>IF(NFI_Expiration=1,IF($A310&lt;VLOOKUP(X$5,NFI,5,0),1,0)*Data_NFI_t[[#This Row],[Sewing Kit]],0)</f>
        <v>0</v>
      </c>
      <c r="AQ310" s="734">
        <f>IF(NFI_Expiration=1,IF($A310&lt;VLOOKUP(X$5,NFI,5,0),1,0)*Data_NFI_t[[#This Row],[Solar Lantern]],0)</f>
        <v>0</v>
      </c>
      <c r="AR310" s="105" t="str">
        <f ca="1">IFERROR(OFFSET(Camp_List[P_Code],MATCH(Data_NFI_t[[#This Row],[Camp Name]],Camp_List[Camp Name],0)-1,0,1,1),"")</f>
        <v/>
      </c>
      <c r="AS310" s="421" t="str">
        <f ca="1">IFERROR(OFFSET(Camp_List[Status],MATCH(Data_NFI_t[[#This Row],[Camp Name]],Camp_List[Camp Name],0)-1,0,1,1),"")</f>
        <v/>
      </c>
      <c r="AT310" s="105"/>
    </row>
    <row r="311" spans="1:46" s="78" customFormat="1" ht="19.5" customHeight="1" x14ac:dyDescent="0.25">
      <c r="A311" s="208">
        <f t="shared" si="4"/>
        <v>58.9</v>
      </c>
      <c r="B311" s="208">
        <f>YEAR(Data_NFI_t[[#This Row],[Distribution Date]])</f>
        <v>2013</v>
      </c>
      <c r="C311" s="744">
        <v>41423</v>
      </c>
      <c r="D311" s="402" t="s">
        <v>270</v>
      </c>
      <c r="E311" s="401"/>
      <c r="F311" s="402" t="s">
        <v>7</v>
      </c>
      <c r="G311" s="670" t="s">
        <v>941</v>
      </c>
      <c r="H311" s="670" t="s">
        <v>34</v>
      </c>
      <c r="I311" s="670">
        <v>0</v>
      </c>
      <c r="J311" s="670"/>
      <c r="K311" s="670"/>
      <c r="L311" s="42"/>
      <c r="M311" s="42"/>
      <c r="N311" s="42">
        <v>82</v>
      </c>
      <c r="O311" s="42"/>
      <c r="P311" s="42">
        <v>82</v>
      </c>
      <c r="Q311" s="42">
        <v>41</v>
      </c>
      <c r="R311" s="42">
        <v>41</v>
      </c>
      <c r="S311" s="42">
        <v>10</v>
      </c>
      <c r="T311" s="419"/>
      <c r="U311" s="42">
        <v>20</v>
      </c>
      <c r="V311" s="42"/>
      <c r="W311" s="42"/>
      <c r="X311" s="42"/>
      <c r="Y311" s="42"/>
      <c r="Z311" s="42"/>
      <c r="AA311" s="42"/>
      <c r="AB311" s="42"/>
      <c r="AC311" s="105">
        <f>IF(NFI_Expiration=1,IF($A311&lt;VLOOKUP(I$5,NFI,5,0),1,0)*Data_NFI_t[[#This Row],[Hygiene Kit]],0)</f>
        <v>0</v>
      </c>
      <c r="AD311" s="105">
        <f>IF(NFI_Expiration=1,IF($A311&lt;VLOOKUP(L$5,NFI,5,0),1,0)*Data_NFI_t[[#This Row],[NFI Core Kit]],0)</f>
        <v>0</v>
      </c>
      <c r="AE311" s="86">
        <f>IF(NFI_Expiration=1,IF($A311&lt;VLOOKUP(M$5,NFI,5,0),1,0)*Data_NFI_t[[#This Row],[Sanitary Kit]],0)</f>
        <v>0</v>
      </c>
      <c r="AF311" s="86">
        <f>IF(NFI_Expiration=1,IF($A311&lt;VLOOKUP(N$5,NFI,5,0),1,0)*Data_NFI_t[[#This Row],[Mosquito net]],0)</f>
        <v>0</v>
      </c>
      <c r="AG311" s="86">
        <f>IF(NFI_Expiration=1,IF($A311&lt;VLOOKUP(O$5,NFI,5,0),1,0)*Data_NFI_t[[#This Row],[Tarpaulin]],0)</f>
        <v>0</v>
      </c>
      <c r="AH311" s="86">
        <f>IF(NFI_Expiration=1,IF($A311&lt;VLOOKUP(P$5,NFI,5,0),1,0)*Data_NFI_t[[#This Row],[Blanket]],0)</f>
        <v>0</v>
      </c>
      <c r="AI311" s="86">
        <f>IF(NFI_Expiration=1,IF($A311&lt;VLOOKUP(Q$5,NFI,5,0),1,0)*Data_NFI_t[[#This Row],[Kitchen Set]],0)</f>
        <v>0</v>
      </c>
      <c r="AJ311" s="86">
        <f>IF(NFI_Expiration=1,IF($A311&lt;VLOOKUP(R$5,NFI,5,0),1,0)*Data_NFI_t[[#This Row],[Complementary Kit]],0)</f>
        <v>0</v>
      </c>
      <c r="AK311" s="86">
        <f>IF(NFI_Expiration=1,IF($A311&lt;VLOOKUP(S$5,NFI,5,0),1,0)*Data_NFI_t[[#This Row],[Plastic Bucket]],0)</f>
        <v>0</v>
      </c>
      <c r="AL311" s="86">
        <f>IF(NFI_Expiration=1,IF($A311&lt;VLOOKUP(T$5,NFI,5,0),1,0)*Data_NFI_t[[#This Row],[Jerry Can]],0)</f>
        <v>0</v>
      </c>
      <c r="AM311" s="105">
        <f>IF(NFI_Expiration=1,IF($A311&lt;VLOOKUP(U$5,NFI,5,0),1,0)*Data_NFI_t[[#This Row],[Plastic Mat]],0)*IF(Data_NFI_t[[#This Row],[Distribution Date]]&gt;"01-06-2015",1,2.5)</f>
        <v>0</v>
      </c>
      <c r="AN311" s="734">
        <f>IF(NFI_Expiration=1,IF($A311&lt;VLOOKUP(V$5,NFI,5,0),1,0)*Data_NFI_t[[#This Row],[Adult Clothes]],0)</f>
        <v>0</v>
      </c>
      <c r="AO311" s="105">
        <f>IF(NFI_Expiration=1,IF($A311&lt;VLOOKUP(W$5,NFI,5,0),1,0)*Data_NFI_t[[#This Row],[Children Clothes]],0)</f>
        <v>0</v>
      </c>
      <c r="AP311" s="105">
        <f>IF(NFI_Expiration=1,IF($A311&lt;VLOOKUP(X$5,NFI,5,0),1,0)*Data_NFI_t[[#This Row],[Sewing Kit]],0)</f>
        <v>0</v>
      </c>
      <c r="AQ311" s="734">
        <f>IF(NFI_Expiration=1,IF($A311&lt;VLOOKUP(X$5,NFI,5,0),1,0)*Data_NFI_t[[#This Row],[Solar Lantern]],0)</f>
        <v>0</v>
      </c>
      <c r="AR311" s="105" t="str">
        <f ca="1">IFERROR(OFFSET(Camp_List[P_Code],MATCH(Data_NFI_t[[#This Row],[Camp Name]],Camp_List[Camp Name],0)-1,0,1,1),"")</f>
        <v>MMR012CMP012</v>
      </c>
      <c r="AS311" s="421" t="str">
        <f ca="1">IFERROR(OFFSET(Camp_List[Status],MATCH(Data_NFI_t[[#This Row],[Camp Name]],Camp_List[Camp Name],0)-1,0,1,1),"")</f>
        <v>Relocated</v>
      </c>
      <c r="AT311" s="105"/>
    </row>
    <row r="312" spans="1:46" s="78" customFormat="1" ht="19.5" customHeight="1" x14ac:dyDescent="0.25">
      <c r="A312" s="208">
        <f t="shared" si="4"/>
        <v>58.9</v>
      </c>
      <c r="B312" s="208">
        <f>YEAR(Data_NFI_t[[#This Row],[Distribution Date]])</f>
        <v>2013</v>
      </c>
      <c r="C312" s="744">
        <v>41423</v>
      </c>
      <c r="D312" s="402" t="s">
        <v>270</v>
      </c>
      <c r="E312" s="401" t="s">
        <v>277</v>
      </c>
      <c r="F312" s="402" t="s">
        <v>7</v>
      </c>
      <c r="G312" s="670" t="s">
        <v>17</v>
      </c>
      <c r="H312" s="670"/>
      <c r="I312" s="670"/>
      <c r="J312" s="670"/>
      <c r="K312" s="670"/>
      <c r="L312" s="42"/>
      <c r="M312" s="42"/>
      <c r="N312" s="42"/>
      <c r="O312" s="42">
        <v>1520</v>
      </c>
      <c r="P312" s="42"/>
      <c r="Q312" s="42"/>
      <c r="R312" s="42"/>
      <c r="S312" s="42"/>
      <c r="T312" s="419"/>
      <c r="U312" s="42"/>
      <c r="V312" s="42"/>
      <c r="W312" s="42"/>
      <c r="X312" s="42"/>
      <c r="Y312" s="42"/>
      <c r="Z312" s="42"/>
      <c r="AA312" s="42"/>
      <c r="AB312" s="42"/>
      <c r="AC312" s="105">
        <f>IF(NFI_Expiration=1,IF($A312&lt;VLOOKUP(I$5,NFI,5,0),1,0)*Data_NFI_t[[#This Row],[Hygiene Kit]],0)</f>
        <v>0</v>
      </c>
      <c r="AD312" s="105">
        <f>IF(NFI_Expiration=1,IF($A312&lt;VLOOKUP(L$5,NFI,5,0),1,0)*Data_NFI_t[[#This Row],[NFI Core Kit]],0)</f>
        <v>0</v>
      </c>
      <c r="AE312" s="86">
        <f>IF(NFI_Expiration=1,IF($A312&lt;VLOOKUP(M$5,NFI,5,0),1,0)*Data_NFI_t[[#This Row],[Sanitary Kit]],0)</f>
        <v>0</v>
      </c>
      <c r="AF312" s="86">
        <f>IF(NFI_Expiration=1,IF($A312&lt;VLOOKUP(N$5,NFI,5,0),1,0)*Data_NFI_t[[#This Row],[Mosquito net]],0)</f>
        <v>0</v>
      </c>
      <c r="AG312" s="86">
        <f>IF(NFI_Expiration=1,IF($A312&lt;VLOOKUP(O$5,NFI,5,0),1,0)*Data_NFI_t[[#This Row],[Tarpaulin]],0)</f>
        <v>0</v>
      </c>
      <c r="AH312" s="86">
        <f>IF(NFI_Expiration=1,IF($A312&lt;VLOOKUP(P$5,NFI,5,0),1,0)*Data_NFI_t[[#This Row],[Blanket]],0)</f>
        <v>0</v>
      </c>
      <c r="AI312" s="86">
        <f>IF(NFI_Expiration=1,IF($A312&lt;VLOOKUP(Q$5,NFI,5,0),1,0)*Data_NFI_t[[#This Row],[Kitchen Set]],0)</f>
        <v>0</v>
      </c>
      <c r="AJ312" s="86">
        <f>IF(NFI_Expiration=1,IF($A312&lt;VLOOKUP(R$5,NFI,5,0),1,0)*Data_NFI_t[[#This Row],[Complementary Kit]],0)</f>
        <v>0</v>
      </c>
      <c r="AK312" s="86">
        <f>IF(NFI_Expiration=1,IF($A312&lt;VLOOKUP(S$5,NFI,5,0),1,0)*Data_NFI_t[[#This Row],[Plastic Bucket]],0)</f>
        <v>0</v>
      </c>
      <c r="AL312" s="86">
        <f>IF(NFI_Expiration=1,IF($A312&lt;VLOOKUP(T$5,NFI,5,0),1,0)*Data_NFI_t[[#This Row],[Jerry Can]],0)</f>
        <v>0</v>
      </c>
      <c r="AM312" s="105">
        <f>IF(NFI_Expiration=1,IF($A312&lt;VLOOKUP(U$5,NFI,5,0),1,0)*Data_NFI_t[[#This Row],[Plastic Mat]],0)*IF(Data_NFI_t[[#This Row],[Distribution Date]]&gt;"01-06-2015",1,2.5)</f>
        <v>0</v>
      </c>
      <c r="AN312" s="734">
        <f>IF(NFI_Expiration=1,IF($A312&lt;VLOOKUP(V$5,NFI,5,0),1,0)*Data_NFI_t[[#This Row],[Adult Clothes]],0)</f>
        <v>0</v>
      </c>
      <c r="AO312" s="105">
        <f>IF(NFI_Expiration=1,IF($A312&lt;VLOOKUP(W$5,NFI,5,0),1,0)*Data_NFI_t[[#This Row],[Children Clothes]],0)</f>
        <v>0</v>
      </c>
      <c r="AP312" s="105">
        <f>IF(NFI_Expiration=1,IF($A312&lt;VLOOKUP(X$5,NFI,5,0),1,0)*Data_NFI_t[[#This Row],[Sewing Kit]],0)</f>
        <v>0</v>
      </c>
      <c r="AQ312" s="734">
        <f>IF(NFI_Expiration=1,IF($A312&lt;VLOOKUP(X$5,NFI,5,0),1,0)*Data_NFI_t[[#This Row],[Solar Lantern]],0)</f>
        <v>0</v>
      </c>
      <c r="AR312" s="105" t="str">
        <f ca="1">IFERROR(OFFSET(Camp_List[P_Code],MATCH(Data_NFI_t[[#This Row],[Camp Name]],Camp_List[Camp Name],0)-1,0,1,1),"")</f>
        <v/>
      </c>
      <c r="AS312" s="421" t="str">
        <f ca="1">IFERROR(OFFSET(Camp_List[Status],MATCH(Data_NFI_t[[#This Row],[Camp Name]],Camp_List[Camp Name],0)-1,0,1,1),"")</f>
        <v/>
      </c>
      <c r="AT312" s="105"/>
    </row>
    <row r="313" spans="1:46" s="78" customFormat="1" ht="19.5" customHeight="1" x14ac:dyDescent="0.25">
      <c r="A313" s="208">
        <f t="shared" si="4"/>
        <v>58.93333333333333</v>
      </c>
      <c r="B313" s="208">
        <f>YEAR(Data_NFI_t[[#This Row],[Distribution Date]])</f>
        <v>2013</v>
      </c>
      <c r="C313" s="744">
        <v>41422</v>
      </c>
      <c r="D313" s="402" t="s">
        <v>270</v>
      </c>
      <c r="E313" s="401"/>
      <c r="F313" s="402" t="s">
        <v>7</v>
      </c>
      <c r="G313" s="670" t="s">
        <v>17</v>
      </c>
      <c r="H313" s="670" t="s">
        <v>71</v>
      </c>
      <c r="I313" s="670"/>
      <c r="J313" s="670"/>
      <c r="K313" s="670"/>
      <c r="L313" s="42"/>
      <c r="M313" s="42"/>
      <c r="N313" s="42"/>
      <c r="O313" s="42">
        <v>1315</v>
      </c>
      <c r="P313" s="42"/>
      <c r="Q313" s="42"/>
      <c r="R313" s="42"/>
      <c r="S313" s="42"/>
      <c r="T313" s="419"/>
      <c r="U313" s="42"/>
      <c r="V313" s="42"/>
      <c r="W313" s="42"/>
      <c r="X313" s="42"/>
      <c r="Y313" s="42"/>
      <c r="Z313" s="42"/>
      <c r="AA313" s="42"/>
      <c r="AB313" s="42"/>
      <c r="AC313" s="105">
        <f>IF(NFI_Expiration=1,IF($A313&lt;VLOOKUP(I$5,NFI,5,0),1,0)*Data_NFI_t[[#This Row],[Hygiene Kit]],0)</f>
        <v>0</v>
      </c>
      <c r="AD313" s="105">
        <f>IF(NFI_Expiration=1,IF($A313&lt;VLOOKUP(L$5,NFI,5,0),1,0)*Data_NFI_t[[#This Row],[NFI Core Kit]],0)</f>
        <v>0</v>
      </c>
      <c r="AE313" s="86">
        <f>IF(NFI_Expiration=1,IF($A313&lt;VLOOKUP(M$5,NFI,5,0),1,0)*Data_NFI_t[[#This Row],[Sanitary Kit]],0)</f>
        <v>0</v>
      </c>
      <c r="AF313" s="86">
        <f>IF(NFI_Expiration=1,IF($A313&lt;VLOOKUP(N$5,NFI,5,0),1,0)*Data_NFI_t[[#This Row],[Mosquito net]],0)</f>
        <v>0</v>
      </c>
      <c r="AG313" s="86">
        <f>IF(NFI_Expiration=1,IF($A313&lt;VLOOKUP(O$5,NFI,5,0),1,0)*Data_NFI_t[[#This Row],[Tarpaulin]],0)</f>
        <v>0</v>
      </c>
      <c r="AH313" s="86">
        <f>IF(NFI_Expiration=1,IF($A313&lt;VLOOKUP(P$5,NFI,5,0),1,0)*Data_NFI_t[[#This Row],[Blanket]],0)</f>
        <v>0</v>
      </c>
      <c r="AI313" s="86">
        <f>IF(NFI_Expiration=1,IF($A313&lt;VLOOKUP(Q$5,NFI,5,0),1,0)*Data_NFI_t[[#This Row],[Kitchen Set]],0)</f>
        <v>0</v>
      </c>
      <c r="AJ313" s="86">
        <f>IF(NFI_Expiration=1,IF($A313&lt;VLOOKUP(R$5,NFI,5,0),1,0)*Data_NFI_t[[#This Row],[Complementary Kit]],0)</f>
        <v>0</v>
      </c>
      <c r="AK313" s="86">
        <f>IF(NFI_Expiration=1,IF($A313&lt;VLOOKUP(S$5,NFI,5,0),1,0)*Data_NFI_t[[#This Row],[Plastic Bucket]],0)</f>
        <v>0</v>
      </c>
      <c r="AL313" s="86">
        <f>IF(NFI_Expiration=1,IF($A313&lt;VLOOKUP(T$5,NFI,5,0),1,0)*Data_NFI_t[[#This Row],[Jerry Can]],0)</f>
        <v>0</v>
      </c>
      <c r="AM313" s="105">
        <f>IF(NFI_Expiration=1,IF($A313&lt;VLOOKUP(U$5,NFI,5,0),1,0)*Data_NFI_t[[#This Row],[Plastic Mat]],0)*IF(Data_NFI_t[[#This Row],[Distribution Date]]&gt;"01-06-2015",1,2.5)</f>
        <v>0</v>
      </c>
      <c r="AN313" s="734">
        <f>IF(NFI_Expiration=1,IF($A313&lt;VLOOKUP(V$5,NFI,5,0),1,0)*Data_NFI_t[[#This Row],[Adult Clothes]],0)</f>
        <v>0</v>
      </c>
      <c r="AO313" s="105">
        <f>IF(NFI_Expiration=1,IF($A313&lt;VLOOKUP(W$5,NFI,5,0),1,0)*Data_NFI_t[[#This Row],[Children Clothes]],0)</f>
        <v>0</v>
      </c>
      <c r="AP313" s="105">
        <f>IF(NFI_Expiration=1,IF($A313&lt;VLOOKUP(X$5,NFI,5,0),1,0)*Data_NFI_t[[#This Row],[Sewing Kit]],0)</f>
        <v>0</v>
      </c>
      <c r="AQ313" s="734">
        <f>IF(NFI_Expiration=1,IF($A313&lt;VLOOKUP(X$5,NFI,5,0),1,0)*Data_NFI_t[[#This Row],[Solar Lantern]],0)</f>
        <v>0</v>
      </c>
      <c r="AR313" s="105" t="str">
        <f ca="1">IFERROR(OFFSET(Camp_List[P_Code],MATCH(Data_NFI_t[[#This Row],[Camp Name]],Camp_List[Camp Name],0)-1,0,1,1),"")</f>
        <v>MMR012CMP051</v>
      </c>
      <c r="AS313" s="421" t="str">
        <f ca="1">IFERROR(OFFSET(Camp_List[Status],MATCH(Data_NFI_t[[#This Row],[Camp Name]],Camp_List[Camp Name],0)-1,0,1,1),"")</f>
        <v>Close</v>
      </c>
      <c r="AT313" s="105"/>
    </row>
    <row r="314" spans="1:46" s="78" customFormat="1" ht="19.5" customHeight="1" x14ac:dyDescent="0.25">
      <c r="A314" s="208">
        <f t="shared" si="4"/>
        <v>58.93333333333333</v>
      </c>
      <c r="B314" s="208">
        <f>YEAR(Data_NFI_t[[#This Row],[Distribution Date]])</f>
        <v>2013</v>
      </c>
      <c r="C314" s="744">
        <v>41422</v>
      </c>
      <c r="D314" s="402" t="s">
        <v>270</v>
      </c>
      <c r="E314" s="401" t="s">
        <v>270</v>
      </c>
      <c r="F314" s="402" t="s">
        <v>7</v>
      </c>
      <c r="G314" s="670" t="s">
        <v>17</v>
      </c>
      <c r="H314" s="670" t="s">
        <v>74</v>
      </c>
      <c r="I314" s="670"/>
      <c r="J314" s="670"/>
      <c r="K314" s="670"/>
      <c r="L314" s="42"/>
      <c r="M314" s="42"/>
      <c r="N314" s="42"/>
      <c r="O314" s="42">
        <v>358</v>
      </c>
      <c r="P314" s="42"/>
      <c r="Q314" s="42"/>
      <c r="R314" s="42"/>
      <c r="S314" s="42"/>
      <c r="T314" s="419"/>
      <c r="U314" s="42"/>
      <c r="V314" s="42"/>
      <c r="W314" s="42"/>
      <c r="X314" s="42"/>
      <c r="Y314" s="42"/>
      <c r="Z314" s="42"/>
      <c r="AA314" s="42"/>
      <c r="AB314" s="42"/>
      <c r="AC314" s="105">
        <f>IF(NFI_Expiration=1,IF($A314&lt;VLOOKUP(I$5,NFI,5,0),1,0)*Data_NFI_t[[#This Row],[Hygiene Kit]],0)</f>
        <v>0</v>
      </c>
      <c r="AD314" s="105">
        <f>IF(NFI_Expiration=1,IF($A314&lt;VLOOKUP(L$5,NFI,5,0),1,0)*Data_NFI_t[[#This Row],[NFI Core Kit]],0)</f>
        <v>0</v>
      </c>
      <c r="AE314" s="86">
        <f>IF(NFI_Expiration=1,IF($A314&lt;VLOOKUP(M$5,NFI,5,0),1,0)*Data_NFI_t[[#This Row],[Sanitary Kit]],0)</f>
        <v>0</v>
      </c>
      <c r="AF314" s="86">
        <f>IF(NFI_Expiration=1,IF($A314&lt;VLOOKUP(N$5,NFI,5,0),1,0)*Data_NFI_t[[#This Row],[Mosquito net]],0)</f>
        <v>0</v>
      </c>
      <c r="AG314" s="86">
        <f>IF(NFI_Expiration=1,IF($A314&lt;VLOOKUP(O$5,NFI,5,0),1,0)*Data_NFI_t[[#This Row],[Tarpaulin]],0)</f>
        <v>0</v>
      </c>
      <c r="AH314" s="86">
        <f>IF(NFI_Expiration=1,IF($A314&lt;VLOOKUP(P$5,NFI,5,0),1,0)*Data_NFI_t[[#This Row],[Blanket]],0)</f>
        <v>0</v>
      </c>
      <c r="AI314" s="86">
        <f>IF(NFI_Expiration=1,IF($A314&lt;VLOOKUP(Q$5,NFI,5,0),1,0)*Data_NFI_t[[#This Row],[Kitchen Set]],0)</f>
        <v>0</v>
      </c>
      <c r="AJ314" s="86">
        <f>IF(NFI_Expiration=1,IF($A314&lt;VLOOKUP(R$5,NFI,5,0),1,0)*Data_NFI_t[[#This Row],[Complementary Kit]],0)</f>
        <v>0</v>
      </c>
      <c r="AK314" s="86">
        <f>IF(NFI_Expiration=1,IF($A314&lt;VLOOKUP(S$5,NFI,5,0),1,0)*Data_NFI_t[[#This Row],[Plastic Bucket]],0)</f>
        <v>0</v>
      </c>
      <c r="AL314" s="86">
        <f>IF(NFI_Expiration=1,IF($A314&lt;VLOOKUP(T$5,NFI,5,0),1,0)*Data_NFI_t[[#This Row],[Jerry Can]],0)</f>
        <v>0</v>
      </c>
      <c r="AM314" s="105">
        <f>IF(NFI_Expiration=1,IF($A314&lt;VLOOKUP(U$5,NFI,5,0),1,0)*Data_NFI_t[[#This Row],[Plastic Mat]],0)*IF(Data_NFI_t[[#This Row],[Distribution Date]]&gt;"01-06-2015",1,2.5)</f>
        <v>0</v>
      </c>
      <c r="AN314" s="734">
        <f>IF(NFI_Expiration=1,IF($A314&lt;VLOOKUP(V$5,NFI,5,0),1,0)*Data_NFI_t[[#This Row],[Adult Clothes]],0)</f>
        <v>0</v>
      </c>
      <c r="AO314" s="105">
        <f>IF(NFI_Expiration=1,IF($A314&lt;VLOOKUP(W$5,NFI,5,0),1,0)*Data_NFI_t[[#This Row],[Children Clothes]],0)</f>
        <v>0</v>
      </c>
      <c r="AP314" s="105">
        <f>IF(NFI_Expiration=1,IF($A314&lt;VLOOKUP(X$5,NFI,5,0),1,0)*Data_NFI_t[[#This Row],[Sewing Kit]],0)</f>
        <v>0</v>
      </c>
      <c r="AQ314" s="734">
        <f>IF(NFI_Expiration=1,IF($A314&lt;VLOOKUP(X$5,NFI,5,0),1,0)*Data_NFI_t[[#This Row],[Solar Lantern]],0)</f>
        <v>0</v>
      </c>
      <c r="AR314" s="105" t="str">
        <f ca="1">IFERROR(OFFSET(Camp_List[P_Code],MATCH(Data_NFI_t[[#This Row],[Camp Name]],Camp_List[Camp Name],0)-1,0,1,1),"")</f>
        <v>MMR012CMP093</v>
      </c>
      <c r="AS314" s="421" t="str">
        <f ca="1">IFERROR(OFFSET(Camp_List[Status],MATCH(Data_NFI_t[[#This Row],[Camp Name]],Camp_List[Camp Name],0)-1,0,1,1),"")</f>
        <v>Relocated</v>
      </c>
      <c r="AT314" s="105"/>
    </row>
    <row r="315" spans="1:46" s="78" customFormat="1" ht="19.5" customHeight="1" x14ac:dyDescent="0.25">
      <c r="A315" s="208">
        <f t="shared" si="4"/>
        <v>58.966666666666669</v>
      </c>
      <c r="B315" s="208">
        <f>YEAR(Data_NFI_t[[#This Row],[Distribution Date]])</f>
        <v>2013</v>
      </c>
      <c r="C315" s="744">
        <v>41421</v>
      </c>
      <c r="D315" s="402" t="s">
        <v>270</v>
      </c>
      <c r="E315" s="401" t="s">
        <v>270</v>
      </c>
      <c r="F315" s="402" t="s">
        <v>7</v>
      </c>
      <c r="G315" s="670" t="s">
        <v>17</v>
      </c>
      <c r="H315" s="670" t="s">
        <v>69</v>
      </c>
      <c r="I315" s="670"/>
      <c r="J315" s="670"/>
      <c r="K315" s="670"/>
      <c r="L315" s="42"/>
      <c r="M315" s="42"/>
      <c r="N315" s="42"/>
      <c r="O315" s="42">
        <v>246</v>
      </c>
      <c r="P315" s="42"/>
      <c r="Q315" s="42"/>
      <c r="R315" s="42"/>
      <c r="S315" s="42"/>
      <c r="T315" s="419"/>
      <c r="U315" s="42"/>
      <c r="V315" s="42"/>
      <c r="W315" s="42"/>
      <c r="X315" s="42"/>
      <c r="Y315" s="42"/>
      <c r="Z315" s="42"/>
      <c r="AA315" s="42"/>
      <c r="AB315" s="42"/>
      <c r="AC315" s="105">
        <f>IF(NFI_Expiration=1,IF($A315&lt;VLOOKUP(I$5,NFI,5,0),1,0)*Data_NFI_t[[#This Row],[Hygiene Kit]],0)</f>
        <v>0</v>
      </c>
      <c r="AD315" s="105">
        <f>IF(NFI_Expiration=1,IF($A315&lt;VLOOKUP(L$5,NFI,5,0),1,0)*Data_NFI_t[[#This Row],[NFI Core Kit]],0)</f>
        <v>0</v>
      </c>
      <c r="AE315" s="86">
        <f>IF(NFI_Expiration=1,IF($A315&lt;VLOOKUP(M$5,NFI,5,0),1,0)*Data_NFI_t[[#This Row],[Sanitary Kit]],0)</f>
        <v>0</v>
      </c>
      <c r="AF315" s="86">
        <f>IF(NFI_Expiration=1,IF($A315&lt;VLOOKUP(N$5,NFI,5,0),1,0)*Data_NFI_t[[#This Row],[Mosquito net]],0)</f>
        <v>0</v>
      </c>
      <c r="AG315" s="86">
        <f>IF(NFI_Expiration=1,IF($A315&lt;VLOOKUP(O$5,NFI,5,0),1,0)*Data_NFI_t[[#This Row],[Tarpaulin]],0)</f>
        <v>0</v>
      </c>
      <c r="AH315" s="86">
        <f>IF(NFI_Expiration=1,IF($A315&lt;VLOOKUP(P$5,NFI,5,0),1,0)*Data_NFI_t[[#This Row],[Blanket]],0)</f>
        <v>0</v>
      </c>
      <c r="AI315" s="86">
        <f>IF(NFI_Expiration=1,IF($A315&lt;VLOOKUP(Q$5,NFI,5,0),1,0)*Data_NFI_t[[#This Row],[Kitchen Set]],0)</f>
        <v>0</v>
      </c>
      <c r="AJ315" s="86">
        <f>IF(NFI_Expiration=1,IF($A315&lt;VLOOKUP(R$5,NFI,5,0),1,0)*Data_NFI_t[[#This Row],[Complementary Kit]],0)</f>
        <v>0</v>
      </c>
      <c r="AK315" s="86">
        <f>IF(NFI_Expiration=1,IF($A315&lt;VLOOKUP(S$5,NFI,5,0),1,0)*Data_NFI_t[[#This Row],[Plastic Bucket]],0)</f>
        <v>0</v>
      </c>
      <c r="AL315" s="86">
        <f>IF(NFI_Expiration=1,IF($A315&lt;VLOOKUP(T$5,NFI,5,0),1,0)*Data_NFI_t[[#This Row],[Jerry Can]],0)</f>
        <v>0</v>
      </c>
      <c r="AM315" s="105">
        <f>IF(NFI_Expiration=1,IF($A315&lt;VLOOKUP(U$5,NFI,5,0),1,0)*Data_NFI_t[[#This Row],[Plastic Mat]],0)*IF(Data_NFI_t[[#This Row],[Distribution Date]]&gt;"01-06-2015",1,2.5)</f>
        <v>0</v>
      </c>
      <c r="AN315" s="734">
        <f>IF(NFI_Expiration=1,IF($A315&lt;VLOOKUP(V$5,NFI,5,0),1,0)*Data_NFI_t[[#This Row],[Adult Clothes]],0)</f>
        <v>0</v>
      </c>
      <c r="AO315" s="105">
        <f>IF(NFI_Expiration=1,IF($A315&lt;VLOOKUP(W$5,NFI,5,0),1,0)*Data_NFI_t[[#This Row],[Children Clothes]],0)</f>
        <v>0</v>
      </c>
      <c r="AP315" s="105">
        <f>IF(NFI_Expiration=1,IF($A315&lt;VLOOKUP(X$5,NFI,5,0),1,0)*Data_NFI_t[[#This Row],[Sewing Kit]],0)</f>
        <v>0</v>
      </c>
      <c r="AQ315" s="734">
        <f>IF(NFI_Expiration=1,IF($A315&lt;VLOOKUP(X$5,NFI,5,0),1,0)*Data_NFI_t[[#This Row],[Solar Lantern]],0)</f>
        <v>0</v>
      </c>
      <c r="AR315" s="105" t="str">
        <f ca="1">IFERROR(OFFSET(Camp_List[P_Code],MATCH(Data_NFI_t[[#This Row],[Camp Name]],Camp_List[Camp Name],0)-1,0,1,1),"")</f>
        <v>MMR012CMP049</v>
      </c>
      <c r="AS315" s="421" t="str">
        <f ca="1">IFERROR(OFFSET(Camp_List[Status],MATCH(Data_NFI_t[[#This Row],[Camp Name]],Camp_List[Camp Name],0)-1,0,1,1),"")</f>
        <v>Close</v>
      </c>
      <c r="AT315" s="105"/>
    </row>
    <row r="316" spans="1:46" s="78" customFormat="1" ht="19.5" customHeight="1" x14ac:dyDescent="0.25">
      <c r="A316" s="208">
        <f t="shared" si="4"/>
        <v>58.966666666666669</v>
      </c>
      <c r="B316" s="208">
        <f>YEAR(Data_NFI_t[[#This Row],[Distribution Date]])</f>
        <v>2013</v>
      </c>
      <c r="C316" s="744">
        <v>41421</v>
      </c>
      <c r="D316" s="402" t="s">
        <v>270</v>
      </c>
      <c r="E316" s="401"/>
      <c r="F316" s="402" t="s">
        <v>7</v>
      </c>
      <c r="G316" s="670" t="s">
        <v>17</v>
      </c>
      <c r="H316" s="670" t="s">
        <v>62</v>
      </c>
      <c r="I316" s="670"/>
      <c r="J316" s="670"/>
      <c r="K316" s="670"/>
      <c r="L316" s="42"/>
      <c r="M316" s="42"/>
      <c r="N316" s="42"/>
      <c r="O316" s="42">
        <v>86</v>
      </c>
      <c r="P316" s="42"/>
      <c r="Q316" s="42"/>
      <c r="R316" s="42"/>
      <c r="S316" s="42"/>
      <c r="T316" s="419"/>
      <c r="U316" s="42"/>
      <c r="V316" s="42"/>
      <c r="W316" s="42"/>
      <c r="X316" s="42"/>
      <c r="Y316" s="42"/>
      <c r="Z316" s="42"/>
      <c r="AA316" s="42"/>
      <c r="AB316" s="42"/>
      <c r="AC316" s="105">
        <f>IF(NFI_Expiration=1,IF($A316&lt;VLOOKUP(I$5,NFI,5,0),1,0)*Data_NFI_t[[#This Row],[Hygiene Kit]],0)</f>
        <v>0</v>
      </c>
      <c r="AD316" s="105">
        <f>IF(NFI_Expiration=1,IF($A316&lt;VLOOKUP(L$5,NFI,5,0),1,0)*Data_NFI_t[[#This Row],[NFI Core Kit]],0)</f>
        <v>0</v>
      </c>
      <c r="AE316" s="86">
        <f>IF(NFI_Expiration=1,IF($A316&lt;VLOOKUP(M$5,NFI,5,0),1,0)*Data_NFI_t[[#This Row],[Sanitary Kit]],0)</f>
        <v>0</v>
      </c>
      <c r="AF316" s="86">
        <f>IF(NFI_Expiration=1,IF($A316&lt;VLOOKUP(N$5,NFI,5,0),1,0)*Data_NFI_t[[#This Row],[Mosquito net]],0)</f>
        <v>0</v>
      </c>
      <c r="AG316" s="86">
        <f>IF(NFI_Expiration=1,IF($A316&lt;VLOOKUP(O$5,NFI,5,0),1,0)*Data_NFI_t[[#This Row],[Tarpaulin]],0)</f>
        <v>0</v>
      </c>
      <c r="AH316" s="86">
        <f>IF(NFI_Expiration=1,IF($A316&lt;VLOOKUP(P$5,NFI,5,0),1,0)*Data_NFI_t[[#This Row],[Blanket]],0)</f>
        <v>0</v>
      </c>
      <c r="AI316" s="86">
        <f>IF(NFI_Expiration=1,IF($A316&lt;VLOOKUP(Q$5,NFI,5,0),1,0)*Data_NFI_t[[#This Row],[Kitchen Set]],0)</f>
        <v>0</v>
      </c>
      <c r="AJ316" s="86">
        <f>IF(NFI_Expiration=1,IF($A316&lt;VLOOKUP(R$5,NFI,5,0),1,0)*Data_NFI_t[[#This Row],[Complementary Kit]],0)</f>
        <v>0</v>
      </c>
      <c r="AK316" s="86">
        <f>IF(NFI_Expiration=1,IF($A316&lt;VLOOKUP(S$5,NFI,5,0),1,0)*Data_NFI_t[[#This Row],[Plastic Bucket]],0)</f>
        <v>0</v>
      </c>
      <c r="AL316" s="86">
        <f>IF(NFI_Expiration=1,IF($A316&lt;VLOOKUP(T$5,NFI,5,0),1,0)*Data_NFI_t[[#This Row],[Jerry Can]],0)</f>
        <v>0</v>
      </c>
      <c r="AM316" s="105">
        <f>IF(NFI_Expiration=1,IF($A316&lt;VLOOKUP(U$5,NFI,5,0),1,0)*Data_NFI_t[[#This Row],[Plastic Mat]],0)*IF(Data_NFI_t[[#This Row],[Distribution Date]]&gt;"01-06-2015",1,2.5)</f>
        <v>0</v>
      </c>
      <c r="AN316" s="734">
        <f>IF(NFI_Expiration=1,IF($A316&lt;VLOOKUP(V$5,NFI,5,0),1,0)*Data_NFI_t[[#This Row],[Adult Clothes]],0)</f>
        <v>0</v>
      </c>
      <c r="AO316" s="105">
        <f>IF(NFI_Expiration=1,IF($A316&lt;VLOOKUP(W$5,NFI,5,0),1,0)*Data_NFI_t[[#This Row],[Children Clothes]],0)</f>
        <v>0</v>
      </c>
      <c r="AP316" s="105">
        <f>IF(NFI_Expiration=1,IF($A316&lt;VLOOKUP(X$5,NFI,5,0),1,0)*Data_NFI_t[[#This Row],[Sewing Kit]],0)</f>
        <v>0</v>
      </c>
      <c r="AQ316" s="734">
        <f>IF(NFI_Expiration=1,IF($A316&lt;VLOOKUP(X$5,NFI,5,0),1,0)*Data_NFI_t[[#This Row],[Solar Lantern]],0)</f>
        <v>0</v>
      </c>
      <c r="AR316" s="105" t="str">
        <f ca="1">IFERROR(OFFSET(Camp_List[P_Code],MATCH(Data_NFI_t[[#This Row],[Camp Name]],Camp_List[Camp Name],0)-1,0,1,1),"")</f>
        <v>MMR012CMP042</v>
      </c>
      <c r="AS316" s="421" t="str">
        <f ca="1">IFERROR(OFFSET(Camp_List[Status],MATCH(Data_NFI_t[[#This Row],[Camp Name]],Camp_List[Camp Name],0)-1,0,1,1),"")</f>
        <v>Open</v>
      </c>
      <c r="AT316" s="105"/>
    </row>
    <row r="317" spans="1:46" s="78" customFormat="1" ht="19.5" customHeight="1" x14ac:dyDescent="0.25">
      <c r="A317" s="208">
        <f t="shared" si="4"/>
        <v>59.1</v>
      </c>
      <c r="B317" s="208">
        <f>YEAR(Data_NFI_t[[#This Row],[Distribution Date]])</f>
        <v>2013</v>
      </c>
      <c r="C317" s="744">
        <v>41417</v>
      </c>
      <c r="D317" s="402" t="s">
        <v>473</v>
      </c>
      <c r="E317" s="401" t="s">
        <v>473</v>
      </c>
      <c r="F317" s="402" t="s">
        <v>7</v>
      </c>
      <c r="G317" s="670" t="s">
        <v>17</v>
      </c>
      <c r="H317" s="670" t="s">
        <v>68</v>
      </c>
      <c r="I317" s="670">
        <v>4795</v>
      </c>
      <c r="J317" s="670"/>
      <c r="K317" s="670"/>
      <c r="L317" s="42"/>
      <c r="M317" s="42"/>
      <c r="N317" s="42"/>
      <c r="O317" s="42"/>
      <c r="P317" s="42"/>
      <c r="Q317" s="42"/>
      <c r="R317" s="42"/>
      <c r="S317" s="42"/>
      <c r="T317" s="419"/>
      <c r="U317" s="42"/>
      <c r="V317" s="42"/>
      <c r="W317" s="42"/>
      <c r="X317" s="42"/>
      <c r="Y317" s="42"/>
      <c r="Z317" s="42"/>
      <c r="AA317" s="42"/>
      <c r="AB317" s="42"/>
      <c r="AC317" s="105">
        <f>IF(NFI_Expiration=1,IF($A317&lt;VLOOKUP(I$5,NFI,5,0),1,0)*Data_NFI_t[[#This Row],[Hygiene Kit]],0)</f>
        <v>0</v>
      </c>
      <c r="AD317" s="105">
        <f>IF(NFI_Expiration=1,IF($A317&lt;VLOOKUP(L$5,NFI,5,0),1,0)*Data_NFI_t[[#This Row],[NFI Core Kit]],0)</f>
        <v>0</v>
      </c>
      <c r="AE317" s="86">
        <f>IF(NFI_Expiration=1,IF($A317&lt;VLOOKUP(M$5,NFI,5,0),1,0)*Data_NFI_t[[#This Row],[Sanitary Kit]],0)</f>
        <v>0</v>
      </c>
      <c r="AF317" s="86">
        <f>IF(NFI_Expiration=1,IF($A317&lt;VLOOKUP(N$5,NFI,5,0),1,0)*Data_NFI_t[[#This Row],[Mosquito net]],0)</f>
        <v>0</v>
      </c>
      <c r="AG317" s="86">
        <f>IF(NFI_Expiration=1,IF($A317&lt;VLOOKUP(O$5,NFI,5,0),1,0)*Data_NFI_t[[#This Row],[Tarpaulin]],0)</f>
        <v>0</v>
      </c>
      <c r="AH317" s="86">
        <f>IF(NFI_Expiration=1,IF($A317&lt;VLOOKUP(P$5,NFI,5,0),1,0)*Data_NFI_t[[#This Row],[Blanket]],0)</f>
        <v>0</v>
      </c>
      <c r="AI317" s="86">
        <f>IF(NFI_Expiration=1,IF($A317&lt;VLOOKUP(Q$5,NFI,5,0),1,0)*Data_NFI_t[[#This Row],[Kitchen Set]],0)</f>
        <v>0</v>
      </c>
      <c r="AJ317" s="86">
        <f>IF(NFI_Expiration=1,IF($A317&lt;VLOOKUP(R$5,NFI,5,0),1,0)*Data_NFI_t[[#This Row],[Complementary Kit]],0)</f>
        <v>0</v>
      </c>
      <c r="AK317" s="86">
        <f>IF(NFI_Expiration=1,IF($A317&lt;VLOOKUP(S$5,NFI,5,0),1,0)*Data_NFI_t[[#This Row],[Plastic Bucket]],0)</f>
        <v>0</v>
      </c>
      <c r="AL317" s="86">
        <f>IF(NFI_Expiration=1,IF($A317&lt;VLOOKUP(T$5,NFI,5,0),1,0)*Data_NFI_t[[#This Row],[Jerry Can]],0)</f>
        <v>0</v>
      </c>
      <c r="AM317" s="105">
        <f>IF(NFI_Expiration=1,IF($A317&lt;VLOOKUP(U$5,NFI,5,0),1,0)*Data_NFI_t[[#This Row],[Plastic Mat]],0)*IF(Data_NFI_t[[#This Row],[Distribution Date]]&gt;"01-06-2015",1,2.5)</f>
        <v>0</v>
      </c>
      <c r="AN317" s="734">
        <f>IF(NFI_Expiration=1,IF($A317&lt;VLOOKUP(V$5,NFI,5,0),1,0)*Data_NFI_t[[#This Row],[Adult Clothes]],0)</f>
        <v>0</v>
      </c>
      <c r="AO317" s="105">
        <f>IF(NFI_Expiration=1,IF($A317&lt;VLOOKUP(W$5,NFI,5,0),1,0)*Data_NFI_t[[#This Row],[Children Clothes]],0)</f>
        <v>0</v>
      </c>
      <c r="AP317" s="105">
        <f>IF(NFI_Expiration=1,IF($A317&lt;VLOOKUP(X$5,NFI,5,0),1,0)*Data_NFI_t[[#This Row],[Sewing Kit]],0)</f>
        <v>0</v>
      </c>
      <c r="AQ317" s="734">
        <f>IF(NFI_Expiration=1,IF($A317&lt;VLOOKUP(X$5,NFI,5,0),1,0)*Data_NFI_t[[#This Row],[Solar Lantern]],0)</f>
        <v>0</v>
      </c>
      <c r="AR317" s="105" t="str">
        <f ca="1">IFERROR(OFFSET(Camp_List[P_Code],MATCH(Data_NFI_t[[#This Row],[Camp Name]],Camp_List[Camp Name],0)-1,0,1,1),"")</f>
        <v>MMR012CMP048</v>
      </c>
      <c r="AS317" s="421" t="str">
        <f ca="1">IFERROR(OFFSET(Camp_List[Status],MATCH(Data_NFI_t[[#This Row],[Camp Name]],Camp_List[Camp Name],0)-1,0,1,1),"")</f>
        <v>Open</v>
      </c>
      <c r="AT317" s="105"/>
    </row>
    <row r="318" spans="1:46" s="78" customFormat="1" ht="19.5" customHeight="1" x14ac:dyDescent="0.25">
      <c r="A318" s="208">
        <f t="shared" si="4"/>
        <v>59.133333333333333</v>
      </c>
      <c r="B318" s="208">
        <f>YEAR(Data_NFI_t[[#This Row],[Distribution Date]])</f>
        <v>2013</v>
      </c>
      <c r="C318" s="744">
        <v>41416</v>
      </c>
      <c r="D318" s="402" t="s">
        <v>473</v>
      </c>
      <c r="E318" s="401" t="s">
        <v>473</v>
      </c>
      <c r="F318" s="402" t="s">
        <v>7</v>
      </c>
      <c r="G318" s="670" t="s">
        <v>13</v>
      </c>
      <c r="H318" s="670" t="s">
        <v>40</v>
      </c>
      <c r="I318" s="670">
        <v>903</v>
      </c>
      <c r="J318" s="670"/>
      <c r="K318" s="670"/>
      <c r="L318" s="42"/>
      <c r="M318" s="42"/>
      <c r="N318" s="42"/>
      <c r="O318" s="42"/>
      <c r="P318" s="42"/>
      <c r="Q318" s="42"/>
      <c r="R318" s="42"/>
      <c r="S318" s="42"/>
      <c r="T318" s="419"/>
      <c r="U318" s="42"/>
      <c r="V318" s="42"/>
      <c r="W318" s="42"/>
      <c r="X318" s="42"/>
      <c r="Y318" s="42"/>
      <c r="Z318" s="42"/>
      <c r="AA318" s="42"/>
      <c r="AB318" s="42"/>
      <c r="AC318" s="105">
        <f>IF(NFI_Expiration=1,IF($A318&lt;VLOOKUP(I$5,NFI,5,0),1,0)*Data_NFI_t[[#This Row],[Hygiene Kit]],0)</f>
        <v>0</v>
      </c>
      <c r="AD318" s="105">
        <f>IF(NFI_Expiration=1,IF($A318&lt;VLOOKUP(L$5,NFI,5,0),1,0)*Data_NFI_t[[#This Row],[NFI Core Kit]],0)</f>
        <v>0</v>
      </c>
      <c r="AE318" s="86">
        <f>IF(NFI_Expiration=1,IF($A318&lt;VLOOKUP(M$5,NFI,5,0),1,0)*Data_NFI_t[[#This Row],[Sanitary Kit]],0)</f>
        <v>0</v>
      </c>
      <c r="AF318" s="86">
        <f>IF(NFI_Expiration=1,IF($A318&lt;VLOOKUP(N$5,NFI,5,0),1,0)*Data_NFI_t[[#This Row],[Mosquito net]],0)</f>
        <v>0</v>
      </c>
      <c r="AG318" s="86">
        <f>IF(NFI_Expiration=1,IF($A318&lt;VLOOKUP(O$5,NFI,5,0),1,0)*Data_NFI_t[[#This Row],[Tarpaulin]],0)</f>
        <v>0</v>
      </c>
      <c r="AH318" s="86">
        <f>IF(NFI_Expiration=1,IF($A318&lt;VLOOKUP(P$5,NFI,5,0),1,0)*Data_NFI_t[[#This Row],[Blanket]],0)</f>
        <v>0</v>
      </c>
      <c r="AI318" s="86">
        <f>IF(NFI_Expiration=1,IF($A318&lt;VLOOKUP(Q$5,NFI,5,0),1,0)*Data_NFI_t[[#This Row],[Kitchen Set]],0)</f>
        <v>0</v>
      </c>
      <c r="AJ318" s="86">
        <f>IF(NFI_Expiration=1,IF($A318&lt;VLOOKUP(R$5,NFI,5,0),1,0)*Data_NFI_t[[#This Row],[Complementary Kit]],0)</f>
        <v>0</v>
      </c>
      <c r="AK318" s="86">
        <f>IF(NFI_Expiration=1,IF($A318&lt;VLOOKUP(S$5,NFI,5,0),1,0)*Data_NFI_t[[#This Row],[Plastic Bucket]],0)</f>
        <v>0</v>
      </c>
      <c r="AL318" s="86">
        <f>IF(NFI_Expiration=1,IF($A318&lt;VLOOKUP(T$5,NFI,5,0),1,0)*Data_NFI_t[[#This Row],[Jerry Can]],0)</f>
        <v>0</v>
      </c>
      <c r="AM318" s="105">
        <f>IF(NFI_Expiration=1,IF($A318&lt;VLOOKUP(U$5,NFI,5,0),1,0)*Data_NFI_t[[#This Row],[Plastic Mat]],0)*IF(Data_NFI_t[[#This Row],[Distribution Date]]&gt;"01-06-2015",1,2.5)</f>
        <v>0</v>
      </c>
      <c r="AN318" s="734">
        <f>IF(NFI_Expiration=1,IF($A318&lt;VLOOKUP(V$5,NFI,5,0),1,0)*Data_NFI_t[[#This Row],[Adult Clothes]],0)</f>
        <v>0</v>
      </c>
      <c r="AO318" s="105">
        <f>IF(NFI_Expiration=1,IF($A318&lt;VLOOKUP(W$5,NFI,5,0),1,0)*Data_NFI_t[[#This Row],[Children Clothes]],0)</f>
        <v>0</v>
      </c>
      <c r="AP318" s="105">
        <f>IF(NFI_Expiration=1,IF($A318&lt;VLOOKUP(X$5,NFI,5,0),1,0)*Data_NFI_t[[#This Row],[Sewing Kit]],0)</f>
        <v>0</v>
      </c>
      <c r="AQ318" s="734">
        <f>IF(NFI_Expiration=1,IF($A318&lt;VLOOKUP(X$5,NFI,5,0),1,0)*Data_NFI_t[[#This Row],[Solar Lantern]],0)</f>
        <v>0</v>
      </c>
      <c r="AR318" s="105" t="str">
        <f ca="1">IFERROR(OFFSET(Camp_List[P_Code],MATCH(Data_NFI_t[[#This Row],[Camp Name]],Camp_List[Camp Name],0)-1,0,1,1),"")</f>
        <v>MMR012CMP018</v>
      </c>
      <c r="AS318" s="421" t="str">
        <f ca="1">IFERROR(OFFSET(Camp_List[Status],MATCH(Data_NFI_t[[#This Row],[Camp Name]],Camp_List[Camp Name],0)-1,0,1,1),"")</f>
        <v>Open</v>
      </c>
      <c r="AT318" s="105"/>
    </row>
    <row r="319" spans="1:46" s="78" customFormat="1" ht="19.5" customHeight="1" x14ac:dyDescent="0.25">
      <c r="A319" s="208">
        <f t="shared" si="4"/>
        <v>59.866666666666667</v>
      </c>
      <c r="B319" s="208">
        <f>YEAR(Data_NFI_t[[#This Row],[Distribution Date]])</f>
        <v>2013</v>
      </c>
      <c r="C319" s="744">
        <v>41394</v>
      </c>
      <c r="D319" s="402" t="s">
        <v>270</v>
      </c>
      <c r="E319" s="401"/>
      <c r="F319" s="402" t="s">
        <v>7</v>
      </c>
      <c r="G319" s="670" t="s">
        <v>13</v>
      </c>
      <c r="H319" s="670"/>
      <c r="I319" s="670"/>
      <c r="J319" s="670"/>
      <c r="K319" s="670"/>
      <c r="L319" s="42"/>
      <c r="M319" s="42"/>
      <c r="N319" s="42"/>
      <c r="O319" s="42"/>
      <c r="P319" s="42">
        <v>1</v>
      </c>
      <c r="Q319" s="42"/>
      <c r="R319" s="42"/>
      <c r="S319" s="42"/>
      <c r="T319" s="419"/>
      <c r="U319" s="42"/>
      <c r="V319" s="42"/>
      <c r="W319" s="42"/>
      <c r="X319" s="42"/>
      <c r="Y319" s="42"/>
      <c r="Z319" s="42"/>
      <c r="AA319" s="42"/>
      <c r="AB319" s="42"/>
      <c r="AC319" s="105">
        <f>IF(NFI_Expiration=1,IF($A319&lt;VLOOKUP(I$5,NFI,5,0),1,0)*Data_NFI_t[[#This Row],[Hygiene Kit]],0)</f>
        <v>0</v>
      </c>
      <c r="AD319" s="105">
        <f>IF(NFI_Expiration=1,IF($A319&lt;VLOOKUP(L$5,NFI,5,0),1,0)*Data_NFI_t[[#This Row],[NFI Core Kit]],0)</f>
        <v>0</v>
      </c>
      <c r="AE319" s="86">
        <f>IF(NFI_Expiration=1,IF($A319&lt;VLOOKUP(M$5,NFI,5,0),1,0)*Data_NFI_t[[#This Row],[Sanitary Kit]],0)</f>
        <v>0</v>
      </c>
      <c r="AF319" s="86">
        <f>IF(NFI_Expiration=1,IF($A319&lt;VLOOKUP(N$5,NFI,5,0),1,0)*Data_NFI_t[[#This Row],[Mosquito net]],0)</f>
        <v>0</v>
      </c>
      <c r="AG319" s="86">
        <f>IF(NFI_Expiration=1,IF($A319&lt;VLOOKUP(O$5,NFI,5,0),1,0)*Data_NFI_t[[#This Row],[Tarpaulin]],0)</f>
        <v>0</v>
      </c>
      <c r="AH319" s="86">
        <f>IF(NFI_Expiration=1,IF($A319&lt;VLOOKUP(P$5,NFI,5,0),1,0)*Data_NFI_t[[#This Row],[Blanket]],0)</f>
        <v>0</v>
      </c>
      <c r="AI319" s="86">
        <f>IF(NFI_Expiration=1,IF($A319&lt;VLOOKUP(Q$5,NFI,5,0),1,0)*Data_NFI_t[[#This Row],[Kitchen Set]],0)</f>
        <v>0</v>
      </c>
      <c r="AJ319" s="86">
        <f>IF(NFI_Expiration=1,IF($A319&lt;VLOOKUP(R$5,NFI,5,0),1,0)*Data_NFI_t[[#This Row],[Complementary Kit]],0)</f>
        <v>0</v>
      </c>
      <c r="AK319" s="86">
        <f>IF(NFI_Expiration=1,IF($A319&lt;VLOOKUP(S$5,NFI,5,0),1,0)*Data_NFI_t[[#This Row],[Plastic Bucket]],0)</f>
        <v>0</v>
      </c>
      <c r="AL319" s="86">
        <f>IF(NFI_Expiration=1,IF($A319&lt;VLOOKUP(T$5,NFI,5,0),1,0)*Data_NFI_t[[#This Row],[Jerry Can]],0)</f>
        <v>0</v>
      </c>
      <c r="AM319" s="105">
        <f>IF(NFI_Expiration=1,IF($A319&lt;VLOOKUP(U$5,NFI,5,0),1,0)*Data_NFI_t[[#This Row],[Plastic Mat]],0)*IF(Data_NFI_t[[#This Row],[Distribution Date]]&gt;"01-06-2015",1,2.5)</f>
        <v>0</v>
      </c>
      <c r="AN319" s="734">
        <f>IF(NFI_Expiration=1,IF($A319&lt;VLOOKUP(V$5,NFI,5,0),1,0)*Data_NFI_t[[#This Row],[Adult Clothes]],0)</f>
        <v>0</v>
      </c>
      <c r="AO319" s="105">
        <f>IF(NFI_Expiration=1,IF($A319&lt;VLOOKUP(W$5,NFI,5,0),1,0)*Data_NFI_t[[#This Row],[Children Clothes]],0)</f>
        <v>0</v>
      </c>
      <c r="AP319" s="105">
        <f>IF(NFI_Expiration=1,IF($A319&lt;VLOOKUP(X$5,NFI,5,0),1,0)*Data_NFI_t[[#This Row],[Sewing Kit]],0)</f>
        <v>0</v>
      </c>
      <c r="AQ319" s="734">
        <f>IF(NFI_Expiration=1,IF($A319&lt;VLOOKUP(X$5,NFI,5,0),1,0)*Data_NFI_t[[#This Row],[Solar Lantern]],0)</f>
        <v>0</v>
      </c>
      <c r="AR319" s="105" t="str">
        <f ca="1">IFERROR(OFFSET(Camp_List[P_Code],MATCH(Data_NFI_t[[#This Row],[Camp Name]],Camp_List[Camp Name],0)-1,0,1,1),"")</f>
        <v/>
      </c>
      <c r="AS319" s="421" t="str">
        <f ca="1">IFERROR(OFFSET(Camp_List[Status],MATCH(Data_NFI_t[[#This Row],[Camp Name]],Camp_List[Camp Name],0)-1,0,1,1),"")</f>
        <v/>
      </c>
      <c r="AT319" s="105"/>
    </row>
    <row r="320" spans="1:46" s="78" customFormat="1" ht="19.5" customHeight="1" x14ac:dyDescent="0.25">
      <c r="A320" s="208">
        <f t="shared" si="4"/>
        <v>59.9</v>
      </c>
      <c r="B320" s="208">
        <f>YEAR(Data_NFI_t[[#This Row],[Distribution Date]])</f>
        <v>2013</v>
      </c>
      <c r="C320" s="744">
        <v>41393</v>
      </c>
      <c r="D320" s="402" t="s">
        <v>270</v>
      </c>
      <c r="E320" s="401"/>
      <c r="F320" s="402" t="s">
        <v>7</v>
      </c>
      <c r="G320" s="670" t="s">
        <v>15</v>
      </c>
      <c r="H320" s="670" t="s">
        <v>53</v>
      </c>
      <c r="I320" s="670">
        <v>0</v>
      </c>
      <c r="J320" s="670"/>
      <c r="K320" s="670"/>
      <c r="L320" s="42">
        <v>64</v>
      </c>
      <c r="M320" s="42"/>
      <c r="N320" s="42">
        <v>128</v>
      </c>
      <c r="O320" s="42">
        <v>64</v>
      </c>
      <c r="P320" s="42">
        <v>128</v>
      </c>
      <c r="Q320" s="42">
        <v>64</v>
      </c>
      <c r="R320" s="42">
        <v>64</v>
      </c>
      <c r="S320" s="42">
        <v>64</v>
      </c>
      <c r="T320" s="419"/>
      <c r="U320" s="42">
        <v>128</v>
      </c>
      <c r="V320" s="42"/>
      <c r="W320" s="42"/>
      <c r="X320" s="42"/>
      <c r="Y320" s="42"/>
      <c r="Z320" s="42"/>
      <c r="AA320" s="42"/>
      <c r="AB320" s="42"/>
      <c r="AC320" s="105">
        <f>IF(NFI_Expiration=1,IF($A320&lt;VLOOKUP(I$5,NFI,5,0),1,0)*Data_NFI_t[[#This Row],[Hygiene Kit]],0)</f>
        <v>0</v>
      </c>
      <c r="AD320" s="105">
        <f>IF(NFI_Expiration=1,IF($A320&lt;VLOOKUP(L$5,NFI,5,0),1,0)*Data_NFI_t[[#This Row],[NFI Core Kit]],0)</f>
        <v>0</v>
      </c>
      <c r="AE320" s="86">
        <f>IF(NFI_Expiration=1,IF($A320&lt;VLOOKUP(M$5,NFI,5,0),1,0)*Data_NFI_t[[#This Row],[Sanitary Kit]],0)</f>
        <v>0</v>
      </c>
      <c r="AF320" s="86">
        <f>IF(NFI_Expiration=1,IF($A320&lt;VLOOKUP(N$5,NFI,5,0),1,0)*Data_NFI_t[[#This Row],[Mosquito net]],0)</f>
        <v>0</v>
      </c>
      <c r="AG320" s="86">
        <f>IF(NFI_Expiration=1,IF($A320&lt;VLOOKUP(O$5,NFI,5,0),1,0)*Data_NFI_t[[#This Row],[Tarpaulin]],0)</f>
        <v>0</v>
      </c>
      <c r="AH320" s="86">
        <f>IF(NFI_Expiration=1,IF($A320&lt;VLOOKUP(P$5,NFI,5,0),1,0)*Data_NFI_t[[#This Row],[Blanket]],0)</f>
        <v>0</v>
      </c>
      <c r="AI320" s="86">
        <f>IF(NFI_Expiration=1,IF($A320&lt;VLOOKUP(Q$5,NFI,5,0),1,0)*Data_NFI_t[[#This Row],[Kitchen Set]],0)</f>
        <v>0</v>
      </c>
      <c r="AJ320" s="86">
        <f>IF(NFI_Expiration=1,IF($A320&lt;VLOOKUP(R$5,NFI,5,0),1,0)*Data_NFI_t[[#This Row],[Complementary Kit]],0)</f>
        <v>0</v>
      </c>
      <c r="AK320" s="86">
        <f>IF(NFI_Expiration=1,IF($A320&lt;VLOOKUP(S$5,NFI,5,0),1,0)*Data_NFI_t[[#This Row],[Plastic Bucket]],0)</f>
        <v>0</v>
      </c>
      <c r="AL320" s="86">
        <f>IF(NFI_Expiration=1,IF($A320&lt;VLOOKUP(T$5,NFI,5,0),1,0)*Data_NFI_t[[#This Row],[Jerry Can]],0)</f>
        <v>0</v>
      </c>
      <c r="AM320" s="105">
        <f>IF(NFI_Expiration=1,IF($A320&lt;VLOOKUP(U$5,NFI,5,0),1,0)*Data_NFI_t[[#This Row],[Plastic Mat]],0)*IF(Data_NFI_t[[#This Row],[Distribution Date]]&gt;"01-06-2015",1,2.5)</f>
        <v>0</v>
      </c>
      <c r="AN320" s="734">
        <f>IF(NFI_Expiration=1,IF($A320&lt;VLOOKUP(V$5,NFI,5,0),1,0)*Data_NFI_t[[#This Row],[Adult Clothes]],0)</f>
        <v>0</v>
      </c>
      <c r="AO320" s="105">
        <f>IF(NFI_Expiration=1,IF($A320&lt;VLOOKUP(W$5,NFI,5,0),1,0)*Data_NFI_t[[#This Row],[Children Clothes]],0)</f>
        <v>0</v>
      </c>
      <c r="AP320" s="105">
        <f>IF(NFI_Expiration=1,IF($A320&lt;VLOOKUP(X$5,NFI,5,0),1,0)*Data_NFI_t[[#This Row],[Sewing Kit]],0)</f>
        <v>0</v>
      </c>
      <c r="AQ320" s="734">
        <f>IF(NFI_Expiration=1,IF($A320&lt;VLOOKUP(X$5,NFI,5,0),1,0)*Data_NFI_t[[#This Row],[Solar Lantern]],0)</f>
        <v>0</v>
      </c>
      <c r="AR320" s="105" t="str">
        <f ca="1">IFERROR(OFFSET(Camp_List[P_Code],MATCH(Data_NFI_t[[#This Row],[Camp Name]],Camp_List[Camp Name],0)-1,0,1,1),"")</f>
        <v>MMR012CMP031</v>
      </c>
      <c r="AS320" s="421" t="str">
        <f ca="1">IFERROR(OFFSET(Camp_List[Status],MATCH(Data_NFI_t[[#This Row],[Camp Name]],Camp_List[Camp Name],0)-1,0,1,1),"")</f>
        <v>Returned</v>
      </c>
      <c r="AT320" s="105"/>
    </row>
    <row r="321" spans="1:46" s="78" customFormat="1" ht="19.5" customHeight="1" x14ac:dyDescent="0.25">
      <c r="A321" s="208">
        <f t="shared" si="4"/>
        <v>59.9</v>
      </c>
      <c r="B321" s="208">
        <f>YEAR(Data_NFI_t[[#This Row],[Distribution Date]])</f>
        <v>2013</v>
      </c>
      <c r="C321" s="744">
        <v>41393</v>
      </c>
      <c r="D321" s="402" t="s">
        <v>270</v>
      </c>
      <c r="E321" s="401"/>
      <c r="F321" s="402" t="s">
        <v>7</v>
      </c>
      <c r="G321" s="670" t="s">
        <v>15</v>
      </c>
      <c r="H321" s="670" t="s">
        <v>53</v>
      </c>
      <c r="I321" s="670">
        <v>0</v>
      </c>
      <c r="J321" s="670"/>
      <c r="K321" s="670"/>
      <c r="L321" s="42"/>
      <c r="M321" s="42">
        <v>128</v>
      </c>
      <c r="N321" s="42">
        <v>128</v>
      </c>
      <c r="O321" s="42">
        <v>64</v>
      </c>
      <c r="P321" s="42">
        <v>0</v>
      </c>
      <c r="Q321" s="42"/>
      <c r="R321" s="42"/>
      <c r="S321" s="42"/>
      <c r="T321" s="419"/>
      <c r="U321" s="42"/>
      <c r="V321" s="42"/>
      <c r="W321" s="42"/>
      <c r="X321" s="42"/>
      <c r="Y321" s="42"/>
      <c r="Z321" s="42"/>
      <c r="AA321" s="42"/>
      <c r="AB321" s="42"/>
      <c r="AC321" s="105">
        <f>IF(NFI_Expiration=1,IF($A321&lt;VLOOKUP(I$5,NFI,5,0),1,0)*Data_NFI_t[[#This Row],[Hygiene Kit]],0)</f>
        <v>0</v>
      </c>
      <c r="AD321" s="105">
        <f>IF(NFI_Expiration=1,IF($A321&lt;VLOOKUP(L$5,NFI,5,0),1,0)*Data_NFI_t[[#This Row],[NFI Core Kit]],0)</f>
        <v>0</v>
      </c>
      <c r="AE321" s="86">
        <f>IF(NFI_Expiration=1,IF($A321&lt;VLOOKUP(M$5,NFI,5,0),1,0)*Data_NFI_t[[#This Row],[Sanitary Kit]],0)</f>
        <v>0</v>
      </c>
      <c r="AF321" s="86">
        <f>IF(NFI_Expiration=1,IF($A321&lt;VLOOKUP(N$5,NFI,5,0),1,0)*Data_NFI_t[[#This Row],[Mosquito net]],0)</f>
        <v>0</v>
      </c>
      <c r="AG321" s="86">
        <f>IF(NFI_Expiration=1,IF($A321&lt;VLOOKUP(O$5,NFI,5,0),1,0)*Data_NFI_t[[#This Row],[Tarpaulin]],0)</f>
        <v>0</v>
      </c>
      <c r="AH321" s="86">
        <f>IF(NFI_Expiration=1,IF($A321&lt;VLOOKUP(P$5,NFI,5,0),1,0)*Data_NFI_t[[#This Row],[Blanket]],0)</f>
        <v>0</v>
      </c>
      <c r="AI321" s="86">
        <f>IF(NFI_Expiration=1,IF($A321&lt;VLOOKUP(Q$5,NFI,5,0),1,0)*Data_NFI_t[[#This Row],[Kitchen Set]],0)</f>
        <v>0</v>
      </c>
      <c r="AJ321" s="86">
        <f>IF(NFI_Expiration=1,IF($A321&lt;VLOOKUP(R$5,NFI,5,0),1,0)*Data_NFI_t[[#This Row],[Complementary Kit]],0)</f>
        <v>0</v>
      </c>
      <c r="AK321" s="86">
        <f>IF(NFI_Expiration=1,IF($A321&lt;VLOOKUP(S$5,NFI,5,0),1,0)*Data_NFI_t[[#This Row],[Plastic Bucket]],0)</f>
        <v>0</v>
      </c>
      <c r="AL321" s="86">
        <f>IF(NFI_Expiration=1,IF($A321&lt;VLOOKUP(T$5,NFI,5,0),1,0)*Data_NFI_t[[#This Row],[Jerry Can]],0)</f>
        <v>0</v>
      </c>
      <c r="AM321" s="105">
        <f>IF(NFI_Expiration=1,IF($A321&lt;VLOOKUP(U$5,NFI,5,0),1,0)*Data_NFI_t[[#This Row],[Plastic Mat]],0)*IF(Data_NFI_t[[#This Row],[Distribution Date]]&gt;"01-06-2015",1,2.5)</f>
        <v>0</v>
      </c>
      <c r="AN321" s="734">
        <f>IF(NFI_Expiration=1,IF($A321&lt;VLOOKUP(V$5,NFI,5,0),1,0)*Data_NFI_t[[#This Row],[Adult Clothes]],0)</f>
        <v>0</v>
      </c>
      <c r="AO321" s="105">
        <f>IF(NFI_Expiration=1,IF($A321&lt;VLOOKUP(W$5,NFI,5,0),1,0)*Data_NFI_t[[#This Row],[Children Clothes]],0)</f>
        <v>0</v>
      </c>
      <c r="AP321" s="105">
        <f>IF(NFI_Expiration=1,IF($A321&lt;VLOOKUP(X$5,NFI,5,0),1,0)*Data_NFI_t[[#This Row],[Sewing Kit]],0)</f>
        <v>0</v>
      </c>
      <c r="AQ321" s="734">
        <f>IF(NFI_Expiration=1,IF($A321&lt;VLOOKUP(X$5,NFI,5,0),1,0)*Data_NFI_t[[#This Row],[Solar Lantern]],0)</f>
        <v>0</v>
      </c>
      <c r="AR321" s="105" t="str">
        <f ca="1">IFERROR(OFFSET(Camp_List[P_Code],MATCH(Data_NFI_t[[#This Row],[Camp Name]],Camp_List[Camp Name],0)-1,0,1,1),"")</f>
        <v>MMR012CMP031</v>
      </c>
      <c r="AS321" s="421" t="str">
        <f ca="1">IFERROR(OFFSET(Camp_List[Status],MATCH(Data_NFI_t[[#This Row],[Camp Name]],Camp_List[Camp Name],0)-1,0,1,1),"")</f>
        <v>Returned</v>
      </c>
      <c r="AT321" s="105"/>
    </row>
    <row r="322" spans="1:46" s="78" customFormat="1" ht="19.5" customHeight="1" x14ac:dyDescent="0.25">
      <c r="A322" s="208">
        <f t="shared" si="4"/>
        <v>60</v>
      </c>
      <c r="B322" s="208">
        <f>YEAR(Data_NFI_t[[#This Row],[Distribution Date]])</f>
        <v>2013</v>
      </c>
      <c r="C322" s="744">
        <v>41390</v>
      </c>
      <c r="D322" s="402" t="s">
        <v>473</v>
      </c>
      <c r="E322" s="401" t="s">
        <v>473</v>
      </c>
      <c r="F322" s="402" t="s">
        <v>7</v>
      </c>
      <c r="G322" s="670" t="s">
        <v>13</v>
      </c>
      <c r="H322" s="670" t="s">
        <v>40</v>
      </c>
      <c r="I322" s="670">
        <v>1028</v>
      </c>
      <c r="J322" s="670"/>
      <c r="K322" s="670"/>
      <c r="L322" s="42"/>
      <c r="M322" s="42"/>
      <c r="N322" s="42"/>
      <c r="O322" s="42"/>
      <c r="P322" s="42"/>
      <c r="Q322" s="42"/>
      <c r="R322" s="42"/>
      <c r="S322" s="42"/>
      <c r="T322" s="419"/>
      <c r="U322" s="42"/>
      <c r="V322" s="42"/>
      <c r="W322" s="42"/>
      <c r="X322" s="42"/>
      <c r="Y322" s="42"/>
      <c r="Z322" s="42"/>
      <c r="AA322" s="42"/>
      <c r="AB322" s="42"/>
      <c r="AC322" s="105">
        <f>IF(NFI_Expiration=1,IF($A322&lt;VLOOKUP(I$5,NFI,5,0),1,0)*Data_NFI_t[[#This Row],[Hygiene Kit]],0)</f>
        <v>0</v>
      </c>
      <c r="AD322" s="105">
        <f>IF(NFI_Expiration=1,IF($A322&lt;VLOOKUP(L$5,NFI,5,0),1,0)*Data_NFI_t[[#This Row],[NFI Core Kit]],0)</f>
        <v>0</v>
      </c>
      <c r="AE322" s="86">
        <f>IF(NFI_Expiration=1,IF($A322&lt;VLOOKUP(M$5,NFI,5,0),1,0)*Data_NFI_t[[#This Row],[Sanitary Kit]],0)</f>
        <v>0</v>
      </c>
      <c r="AF322" s="86">
        <f>IF(NFI_Expiration=1,IF($A322&lt;VLOOKUP(N$5,NFI,5,0),1,0)*Data_NFI_t[[#This Row],[Mosquito net]],0)</f>
        <v>0</v>
      </c>
      <c r="AG322" s="86">
        <f>IF(NFI_Expiration=1,IF($A322&lt;VLOOKUP(O$5,NFI,5,0),1,0)*Data_NFI_t[[#This Row],[Tarpaulin]],0)</f>
        <v>0</v>
      </c>
      <c r="AH322" s="86">
        <f>IF(NFI_Expiration=1,IF($A322&lt;VLOOKUP(P$5,NFI,5,0),1,0)*Data_NFI_t[[#This Row],[Blanket]],0)</f>
        <v>0</v>
      </c>
      <c r="AI322" s="86">
        <f>IF(NFI_Expiration=1,IF($A322&lt;VLOOKUP(Q$5,NFI,5,0),1,0)*Data_NFI_t[[#This Row],[Kitchen Set]],0)</f>
        <v>0</v>
      </c>
      <c r="AJ322" s="86">
        <f>IF(NFI_Expiration=1,IF($A322&lt;VLOOKUP(R$5,NFI,5,0),1,0)*Data_NFI_t[[#This Row],[Complementary Kit]],0)</f>
        <v>0</v>
      </c>
      <c r="AK322" s="86">
        <f>IF(NFI_Expiration=1,IF($A322&lt;VLOOKUP(S$5,NFI,5,0),1,0)*Data_NFI_t[[#This Row],[Plastic Bucket]],0)</f>
        <v>0</v>
      </c>
      <c r="AL322" s="86">
        <f>IF(NFI_Expiration=1,IF($A322&lt;VLOOKUP(T$5,NFI,5,0),1,0)*Data_NFI_t[[#This Row],[Jerry Can]],0)</f>
        <v>0</v>
      </c>
      <c r="AM322" s="105">
        <f>IF(NFI_Expiration=1,IF($A322&lt;VLOOKUP(U$5,NFI,5,0),1,0)*Data_NFI_t[[#This Row],[Plastic Mat]],0)*IF(Data_NFI_t[[#This Row],[Distribution Date]]&gt;"01-06-2015",1,2.5)</f>
        <v>0</v>
      </c>
      <c r="AN322" s="734">
        <f>IF(NFI_Expiration=1,IF($A322&lt;VLOOKUP(V$5,NFI,5,0),1,0)*Data_NFI_t[[#This Row],[Adult Clothes]],0)</f>
        <v>0</v>
      </c>
      <c r="AO322" s="105">
        <f>IF(NFI_Expiration=1,IF($A322&lt;VLOOKUP(W$5,NFI,5,0),1,0)*Data_NFI_t[[#This Row],[Children Clothes]],0)</f>
        <v>0</v>
      </c>
      <c r="AP322" s="105">
        <f>IF(NFI_Expiration=1,IF($A322&lt;VLOOKUP(X$5,NFI,5,0),1,0)*Data_NFI_t[[#This Row],[Sewing Kit]],0)</f>
        <v>0</v>
      </c>
      <c r="AQ322" s="734">
        <f>IF(NFI_Expiration=1,IF($A322&lt;VLOOKUP(X$5,NFI,5,0),1,0)*Data_NFI_t[[#This Row],[Solar Lantern]],0)</f>
        <v>0</v>
      </c>
      <c r="AR322" s="105" t="str">
        <f ca="1">IFERROR(OFFSET(Camp_List[P_Code],MATCH(Data_NFI_t[[#This Row],[Camp Name]],Camp_List[Camp Name],0)-1,0,1,1),"")</f>
        <v>MMR012CMP018</v>
      </c>
      <c r="AS322" s="421" t="str">
        <f ca="1">IFERROR(OFFSET(Camp_List[Status],MATCH(Data_NFI_t[[#This Row],[Camp Name]],Camp_List[Camp Name],0)-1,0,1,1),"")</f>
        <v>Open</v>
      </c>
      <c r="AT322" s="105"/>
    </row>
    <row r="323" spans="1:46" s="78" customFormat="1" ht="19.5" customHeight="1" x14ac:dyDescent="0.25">
      <c r="A323" s="208">
        <f t="shared" si="4"/>
        <v>60.06666666666667</v>
      </c>
      <c r="B323" s="208">
        <f>YEAR(Data_NFI_t[[#This Row],[Distribution Date]])</f>
        <v>2013</v>
      </c>
      <c r="C323" s="744">
        <v>41388</v>
      </c>
      <c r="D323" s="402" t="s">
        <v>473</v>
      </c>
      <c r="E323" s="401" t="s">
        <v>473</v>
      </c>
      <c r="F323" s="402" t="s">
        <v>7</v>
      </c>
      <c r="G323" s="670" t="s">
        <v>13</v>
      </c>
      <c r="H323" s="670" t="s">
        <v>39</v>
      </c>
      <c r="I323" s="670">
        <v>1338</v>
      </c>
      <c r="J323" s="670"/>
      <c r="K323" s="670"/>
      <c r="L323" s="42"/>
      <c r="M323" s="42"/>
      <c r="N323" s="42"/>
      <c r="O323" s="42"/>
      <c r="P323" s="42"/>
      <c r="Q323" s="42"/>
      <c r="R323" s="42"/>
      <c r="S323" s="42"/>
      <c r="T323" s="419"/>
      <c r="U323" s="42"/>
      <c r="V323" s="42"/>
      <c r="W323" s="42"/>
      <c r="X323" s="42"/>
      <c r="Y323" s="42"/>
      <c r="Z323" s="42"/>
      <c r="AA323" s="42"/>
      <c r="AB323" s="42"/>
      <c r="AC323" s="105">
        <f>IF(NFI_Expiration=1,IF($A323&lt;VLOOKUP(I$5,NFI,5,0),1,0)*Data_NFI_t[[#This Row],[Hygiene Kit]],0)</f>
        <v>0</v>
      </c>
      <c r="AD323" s="105">
        <f>IF(NFI_Expiration=1,IF($A323&lt;VLOOKUP(L$5,NFI,5,0),1,0)*Data_NFI_t[[#This Row],[NFI Core Kit]],0)</f>
        <v>0</v>
      </c>
      <c r="AE323" s="86">
        <f>IF(NFI_Expiration=1,IF($A323&lt;VLOOKUP(M$5,NFI,5,0),1,0)*Data_NFI_t[[#This Row],[Sanitary Kit]],0)</f>
        <v>0</v>
      </c>
      <c r="AF323" s="86">
        <f>IF(NFI_Expiration=1,IF($A323&lt;VLOOKUP(N$5,NFI,5,0),1,0)*Data_NFI_t[[#This Row],[Mosquito net]],0)</f>
        <v>0</v>
      </c>
      <c r="AG323" s="86">
        <f>IF(NFI_Expiration=1,IF($A323&lt;VLOOKUP(O$5,NFI,5,0),1,0)*Data_NFI_t[[#This Row],[Tarpaulin]],0)</f>
        <v>0</v>
      </c>
      <c r="AH323" s="86">
        <f>IF(NFI_Expiration=1,IF($A323&lt;VLOOKUP(P$5,NFI,5,0),1,0)*Data_NFI_t[[#This Row],[Blanket]],0)</f>
        <v>0</v>
      </c>
      <c r="AI323" s="86">
        <f>IF(NFI_Expiration=1,IF($A323&lt;VLOOKUP(Q$5,NFI,5,0),1,0)*Data_NFI_t[[#This Row],[Kitchen Set]],0)</f>
        <v>0</v>
      </c>
      <c r="AJ323" s="86">
        <f>IF(NFI_Expiration=1,IF($A323&lt;VLOOKUP(R$5,NFI,5,0),1,0)*Data_NFI_t[[#This Row],[Complementary Kit]],0)</f>
        <v>0</v>
      </c>
      <c r="AK323" s="86">
        <f>IF(NFI_Expiration=1,IF($A323&lt;VLOOKUP(S$5,NFI,5,0),1,0)*Data_NFI_t[[#This Row],[Plastic Bucket]],0)</f>
        <v>0</v>
      </c>
      <c r="AL323" s="86">
        <f>IF(NFI_Expiration=1,IF($A323&lt;VLOOKUP(T$5,NFI,5,0),1,0)*Data_NFI_t[[#This Row],[Jerry Can]],0)</f>
        <v>0</v>
      </c>
      <c r="AM323" s="105">
        <f>IF(NFI_Expiration=1,IF($A323&lt;VLOOKUP(U$5,NFI,5,0),1,0)*Data_NFI_t[[#This Row],[Plastic Mat]],0)*IF(Data_NFI_t[[#This Row],[Distribution Date]]&gt;"01-06-2015",1,2.5)</f>
        <v>0</v>
      </c>
      <c r="AN323" s="734">
        <f>IF(NFI_Expiration=1,IF($A323&lt;VLOOKUP(V$5,NFI,5,0),1,0)*Data_NFI_t[[#This Row],[Adult Clothes]],0)</f>
        <v>0</v>
      </c>
      <c r="AO323" s="105">
        <f>IF(NFI_Expiration=1,IF($A323&lt;VLOOKUP(W$5,NFI,5,0),1,0)*Data_NFI_t[[#This Row],[Children Clothes]],0)</f>
        <v>0</v>
      </c>
      <c r="AP323" s="105">
        <f>IF(NFI_Expiration=1,IF($A323&lt;VLOOKUP(X$5,NFI,5,0),1,0)*Data_NFI_t[[#This Row],[Sewing Kit]],0)</f>
        <v>0</v>
      </c>
      <c r="AQ323" s="734">
        <f>IF(NFI_Expiration=1,IF($A323&lt;VLOOKUP(X$5,NFI,5,0),1,0)*Data_NFI_t[[#This Row],[Solar Lantern]],0)</f>
        <v>0</v>
      </c>
      <c r="AR323" s="105" t="str">
        <f ca="1">IFERROR(OFFSET(Camp_List[P_Code],MATCH(Data_NFI_t[[#This Row],[Camp Name]],Camp_List[Camp Name],0)-1,0,1,1),"")</f>
        <v/>
      </c>
      <c r="AS323" s="421" t="str">
        <f ca="1">IFERROR(OFFSET(Camp_List[Status],MATCH(Data_NFI_t[[#This Row],[Camp Name]],Camp_List[Camp Name],0)-1,0,1,1),"")</f>
        <v/>
      </c>
      <c r="AT323" s="105"/>
    </row>
    <row r="324" spans="1:46" s="78" customFormat="1" ht="19.5" customHeight="1" x14ac:dyDescent="0.25">
      <c r="A324" s="208">
        <f t="shared" si="4"/>
        <v>60.466666666666669</v>
      </c>
      <c r="B324" s="208">
        <f>YEAR(Data_NFI_t[[#This Row],[Distribution Date]])</f>
        <v>2013</v>
      </c>
      <c r="C324" s="744">
        <v>41376</v>
      </c>
      <c r="D324" s="402" t="s">
        <v>270</v>
      </c>
      <c r="E324" s="401"/>
      <c r="F324" s="402" t="s">
        <v>7</v>
      </c>
      <c r="G324" s="670" t="s">
        <v>17</v>
      </c>
      <c r="H324" s="670" t="s">
        <v>71</v>
      </c>
      <c r="I324" s="670"/>
      <c r="J324" s="670"/>
      <c r="K324" s="670"/>
      <c r="L324" s="42"/>
      <c r="M324" s="42"/>
      <c r="N324" s="42"/>
      <c r="O324" s="42"/>
      <c r="P324" s="42">
        <v>54</v>
      </c>
      <c r="Q324" s="42"/>
      <c r="R324" s="42"/>
      <c r="S324" s="42"/>
      <c r="T324" s="419"/>
      <c r="U324" s="42"/>
      <c r="V324" s="42"/>
      <c r="W324" s="42"/>
      <c r="X324" s="42"/>
      <c r="Y324" s="42"/>
      <c r="Z324" s="42"/>
      <c r="AA324" s="42"/>
      <c r="AB324" s="42"/>
      <c r="AC324" s="105">
        <f>IF(NFI_Expiration=1,IF($A324&lt;VLOOKUP(I$5,NFI,5,0),1,0)*Data_NFI_t[[#This Row],[Hygiene Kit]],0)</f>
        <v>0</v>
      </c>
      <c r="AD324" s="105">
        <f>IF(NFI_Expiration=1,IF($A324&lt;VLOOKUP(L$5,NFI,5,0),1,0)*Data_NFI_t[[#This Row],[NFI Core Kit]],0)</f>
        <v>0</v>
      </c>
      <c r="AE324" s="86">
        <f>IF(NFI_Expiration=1,IF($A324&lt;VLOOKUP(M$5,NFI,5,0),1,0)*Data_NFI_t[[#This Row],[Sanitary Kit]],0)</f>
        <v>0</v>
      </c>
      <c r="AF324" s="86">
        <f>IF(NFI_Expiration=1,IF($A324&lt;VLOOKUP(N$5,NFI,5,0),1,0)*Data_NFI_t[[#This Row],[Mosquito net]],0)</f>
        <v>0</v>
      </c>
      <c r="AG324" s="86">
        <f>IF(NFI_Expiration=1,IF($A324&lt;VLOOKUP(O$5,NFI,5,0),1,0)*Data_NFI_t[[#This Row],[Tarpaulin]],0)</f>
        <v>0</v>
      </c>
      <c r="AH324" s="86">
        <f>IF(NFI_Expiration=1,IF($A324&lt;VLOOKUP(P$5,NFI,5,0),1,0)*Data_NFI_t[[#This Row],[Blanket]],0)</f>
        <v>0</v>
      </c>
      <c r="AI324" s="86">
        <f>IF(NFI_Expiration=1,IF($A324&lt;VLOOKUP(Q$5,NFI,5,0),1,0)*Data_NFI_t[[#This Row],[Kitchen Set]],0)</f>
        <v>0</v>
      </c>
      <c r="AJ324" s="86">
        <f>IF(NFI_Expiration=1,IF($A324&lt;VLOOKUP(R$5,NFI,5,0),1,0)*Data_NFI_t[[#This Row],[Complementary Kit]],0)</f>
        <v>0</v>
      </c>
      <c r="AK324" s="86">
        <f>IF(NFI_Expiration=1,IF($A324&lt;VLOOKUP(S$5,NFI,5,0),1,0)*Data_NFI_t[[#This Row],[Plastic Bucket]],0)</f>
        <v>0</v>
      </c>
      <c r="AL324" s="86">
        <f>IF(NFI_Expiration=1,IF($A324&lt;VLOOKUP(T$5,NFI,5,0),1,0)*Data_NFI_t[[#This Row],[Jerry Can]],0)</f>
        <v>0</v>
      </c>
      <c r="AM324" s="105">
        <f>IF(NFI_Expiration=1,IF($A324&lt;VLOOKUP(U$5,NFI,5,0),1,0)*Data_NFI_t[[#This Row],[Plastic Mat]],0)*IF(Data_NFI_t[[#This Row],[Distribution Date]]&gt;"01-06-2015",1,2.5)</f>
        <v>0</v>
      </c>
      <c r="AN324" s="734">
        <f>IF(NFI_Expiration=1,IF($A324&lt;VLOOKUP(V$5,NFI,5,0),1,0)*Data_NFI_t[[#This Row],[Adult Clothes]],0)</f>
        <v>0</v>
      </c>
      <c r="AO324" s="105">
        <f>IF(NFI_Expiration=1,IF($A324&lt;VLOOKUP(W$5,NFI,5,0),1,0)*Data_NFI_t[[#This Row],[Children Clothes]],0)</f>
        <v>0</v>
      </c>
      <c r="AP324" s="105">
        <f>IF(NFI_Expiration=1,IF($A324&lt;VLOOKUP(X$5,NFI,5,0),1,0)*Data_NFI_t[[#This Row],[Sewing Kit]],0)</f>
        <v>0</v>
      </c>
      <c r="AQ324" s="734">
        <f>IF(NFI_Expiration=1,IF($A324&lt;VLOOKUP(X$5,NFI,5,0),1,0)*Data_NFI_t[[#This Row],[Solar Lantern]],0)</f>
        <v>0</v>
      </c>
      <c r="AR324" s="105" t="str">
        <f ca="1">IFERROR(OFFSET(Camp_List[P_Code],MATCH(Data_NFI_t[[#This Row],[Camp Name]],Camp_List[Camp Name],0)-1,0,1,1),"")</f>
        <v>MMR012CMP051</v>
      </c>
      <c r="AS324" s="421" t="str">
        <f ca="1">IFERROR(OFFSET(Camp_List[Status],MATCH(Data_NFI_t[[#This Row],[Camp Name]],Camp_List[Camp Name],0)-1,0,1,1),"")</f>
        <v>Close</v>
      </c>
      <c r="AT324" s="105"/>
    </row>
    <row r="325" spans="1:46" s="78" customFormat="1" ht="19.5" customHeight="1" x14ac:dyDescent="0.25">
      <c r="A325" s="208">
        <f t="shared" si="4"/>
        <v>60.533333333333331</v>
      </c>
      <c r="B325" s="208">
        <f>YEAR(Data_NFI_t[[#This Row],[Distribution Date]])</f>
        <v>2013</v>
      </c>
      <c r="C325" s="744">
        <v>41374</v>
      </c>
      <c r="D325" s="402" t="s">
        <v>270</v>
      </c>
      <c r="E325" s="401"/>
      <c r="F325" s="402" t="s">
        <v>7</v>
      </c>
      <c r="G325" s="670" t="s">
        <v>17</v>
      </c>
      <c r="H325" s="670" t="s">
        <v>71</v>
      </c>
      <c r="I325" s="670"/>
      <c r="J325" s="670"/>
      <c r="K325" s="670"/>
      <c r="L325" s="42"/>
      <c r="M325" s="42"/>
      <c r="N325" s="42"/>
      <c r="O325" s="42"/>
      <c r="P325" s="42">
        <v>90</v>
      </c>
      <c r="Q325" s="42"/>
      <c r="R325" s="42"/>
      <c r="S325" s="42"/>
      <c r="T325" s="419"/>
      <c r="U325" s="42"/>
      <c r="V325" s="42"/>
      <c r="W325" s="42"/>
      <c r="X325" s="42"/>
      <c r="Y325" s="42"/>
      <c r="Z325" s="42"/>
      <c r="AA325" s="42"/>
      <c r="AB325" s="42"/>
      <c r="AC325" s="105">
        <f>IF(NFI_Expiration=1,IF($A325&lt;VLOOKUP(I$5,NFI,5,0),1,0)*Data_NFI_t[[#This Row],[Hygiene Kit]],0)</f>
        <v>0</v>
      </c>
      <c r="AD325" s="105">
        <f>IF(NFI_Expiration=1,IF($A325&lt;VLOOKUP(L$5,NFI,5,0),1,0)*Data_NFI_t[[#This Row],[NFI Core Kit]],0)</f>
        <v>0</v>
      </c>
      <c r="AE325" s="86">
        <f>IF(NFI_Expiration=1,IF($A325&lt;VLOOKUP(M$5,NFI,5,0),1,0)*Data_NFI_t[[#This Row],[Sanitary Kit]],0)</f>
        <v>0</v>
      </c>
      <c r="AF325" s="86">
        <f>IF(NFI_Expiration=1,IF($A325&lt;VLOOKUP(N$5,NFI,5,0),1,0)*Data_NFI_t[[#This Row],[Mosquito net]],0)</f>
        <v>0</v>
      </c>
      <c r="AG325" s="86">
        <f>IF(NFI_Expiration=1,IF($A325&lt;VLOOKUP(O$5,NFI,5,0),1,0)*Data_NFI_t[[#This Row],[Tarpaulin]],0)</f>
        <v>0</v>
      </c>
      <c r="AH325" s="86">
        <f>IF(NFI_Expiration=1,IF($A325&lt;VLOOKUP(P$5,NFI,5,0),1,0)*Data_NFI_t[[#This Row],[Blanket]],0)</f>
        <v>0</v>
      </c>
      <c r="AI325" s="86">
        <f>IF(NFI_Expiration=1,IF($A325&lt;VLOOKUP(Q$5,NFI,5,0),1,0)*Data_NFI_t[[#This Row],[Kitchen Set]],0)</f>
        <v>0</v>
      </c>
      <c r="AJ325" s="86">
        <f>IF(NFI_Expiration=1,IF($A325&lt;VLOOKUP(R$5,NFI,5,0),1,0)*Data_NFI_t[[#This Row],[Complementary Kit]],0)</f>
        <v>0</v>
      </c>
      <c r="AK325" s="86">
        <f>IF(NFI_Expiration=1,IF($A325&lt;VLOOKUP(S$5,NFI,5,0),1,0)*Data_NFI_t[[#This Row],[Plastic Bucket]],0)</f>
        <v>0</v>
      </c>
      <c r="AL325" s="86">
        <f>IF(NFI_Expiration=1,IF($A325&lt;VLOOKUP(T$5,NFI,5,0),1,0)*Data_NFI_t[[#This Row],[Jerry Can]],0)</f>
        <v>0</v>
      </c>
      <c r="AM325" s="105">
        <f>IF(NFI_Expiration=1,IF($A325&lt;VLOOKUP(U$5,NFI,5,0),1,0)*Data_NFI_t[[#This Row],[Plastic Mat]],0)*IF(Data_NFI_t[[#This Row],[Distribution Date]]&gt;"01-06-2015",1,2.5)</f>
        <v>0</v>
      </c>
      <c r="AN325" s="734">
        <f>IF(NFI_Expiration=1,IF($A325&lt;VLOOKUP(V$5,NFI,5,0),1,0)*Data_NFI_t[[#This Row],[Adult Clothes]],0)</f>
        <v>0</v>
      </c>
      <c r="AO325" s="105">
        <f>IF(NFI_Expiration=1,IF($A325&lt;VLOOKUP(W$5,NFI,5,0),1,0)*Data_NFI_t[[#This Row],[Children Clothes]],0)</f>
        <v>0</v>
      </c>
      <c r="AP325" s="105">
        <f>IF(NFI_Expiration=1,IF($A325&lt;VLOOKUP(X$5,NFI,5,0),1,0)*Data_NFI_t[[#This Row],[Sewing Kit]],0)</f>
        <v>0</v>
      </c>
      <c r="AQ325" s="734">
        <f>IF(NFI_Expiration=1,IF($A325&lt;VLOOKUP(X$5,NFI,5,0),1,0)*Data_NFI_t[[#This Row],[Solar Lantern]],0)</f>
        <v>0</v>
      </c>
      <c r="AR325" s="105" t="str">
        <f ca="1">IFERROR(OFFSET(Camp_List[P_Code],MATCH(Data_NFI_t[[#This Row],[Camp Name]],Camp_List[Camp Name],0)-1,0,1,1),"")</f>
        <v>MMR012CMP051</v>
      </c>
      <c r="AS325" s="421" t="str">
        <f ca="1">IFERROR(OFFSET(Camp_List[Status],MATCH(Data_NFI_t[[#This Row],[Camp Name]],Camp_List[Camp Name],0)-1,0,1,1),"")</f>
        <v>Close</v>
      </c>
      <c r="AT325" s="105"/>
    </row>
    <row r="326" spans="1:46" s="78" customFormat="1" ht="19.5" customHeight="1" x14ac:dyDescent="0.25">
      <c r="A326" s="208">
        <f t="shared" ref="A326:A389" si="5">IF(ISBLANK(C326),"",(Report_Date-C326)/30)</f>
        <v>60.56666666666667</v>
      </c>
      <c r="B326" s="208">
        <f>YEAR(Data_NFI_t[[#This Row],[Distribution Date]])</f>
        <v>2013</v>
      </c>
      <c r="C326" s="744">
        <v>41373</v>
      </c>
      <c r="D326" s="402" t="s">
        <v>270</v>
      </c>
      <c r="E326" s="401"/>
      <c r="F326" s="402" t="s">
        <v>7</v>
      </c>
      <c r="G326" s="670" t="s">
        <v>17</v>
      </c>
      <c r="H326" s="670" t="s">
        <v>71</v>
      </c>
      <c r="I326" s="670"/>
      <c r="J326" s="670"/>
      <c r="K326" s="670"/>
      <c r="L326" s="42"/>
      <c r="M326" s="42"/>
      <c r="N326" s="42"/>
      <c r="O326" s="42"/>
      <c r="P326" s="42">
        <v>90</v>
      </c>
      <c r="Q326" s="42"/>
      <c r="R326" s="42"/>
      <c r="S326" s="42"/>
      <c r="T326" s="419"/>
      <c r="U326" s="42"/>
      <c r="V326" s="42"/>
      <c r="W326" s="42"/>
      <c r="X326" s="42"/>
      <c r="Y326" s="42"/>
      <c r="Z326" s="42"/>
      <c r="AA326" s="42"/>
      <c r="AB326" s="42"/>
      <c r="AC326" s="105">
        <f>IF(NFI_Expiration=1,IF($A326&lt;VLOOKUP(I$5,NFI,5,0),1,0)*Data_NFI_t[[#This Row],[Hygiene Kit]],0)</f>
        <v>0</v>
      </c>
      <c r="AD326" s="105">
        <f>IF(NFI_Expiration=1,IF($A326&lt;VLOOKUP(L$5,NFI,5,0),1,0)*Data_NFI_t[[#This Row],[NFI Core Kit]],0)</f>
        <v>0</v>
      </c>
      <c r="AE326" s="86">
        <f>IF(NFI_Expiration=1,IF($A326&lt;VLOOKUP(M$5,NFI,5,0),1,0)*Data_NFI_t[[#This Row],[Sanitary Kit]],0)</f>
        <v>0</v>
      </c>
      <c r="AF326" s="86">
        <f>IF(NFI_Expiration=1,IF($A326&lt;VLOOKUP(N$5,NFI,5,0),1,0)*Data_NFI_t[[#This Row],[Mosquito net]],0)</f>
        <v>0</v>
      </c>
      <c r="AG326" s="86">
        <f>IF(NFI_Expiration=1,IF($A326&lt;VLOOKUP(O$5,NFI,5,0),1,0)*Data_NFI_t[[#This Row],[Tarpaulin]],0)</f>
        <v>0</v>
      </c>
      <c r="AH326" s="86">
        <f>IF(NFI_Expiration=1,IF($A326&lt;VLOOKUP(P$5,NFI,5,0),1,0)*Data_NFI_t[[#This Row],[Blanket]],0)</f>
        <v>0</v>
      </c>
      <c r="AI326" s="86">
        <f>IF(NFI_Expiration=1,IF($A326&lt;VLOOKUP(Q$5,NFI,5,0),1,0)*Data_NFI_t[[#This Row],[Kitchen Set]],0)</f>
        <v>0</v>
      </c>
      <c r="AJ326" s="86">
        <f>IF(NFI_Expiration=1,IF($A326&lt;VLOOKUP(R$5,NFI,5,0),1,0)*Data_NFI_t[[#This Row],[Complementary Kit]],0)</f>
        <v>0</v>
      </c>
      <c r="AK326" s="86">
        <f>IF(NFI_Expiration=1,IF($A326&lt;VLOOKUP(S$5,NFI,5,0),1,0)*Data_NFI_t[[#This Row],[Plastic Bucket]],0)</f>
        <v>0</v>
      </c>
      <c r="AL326" s="86">
        <f>IF(NFI_Expiration=1,IF($A326&lt;VLOOKUP(T$5,NFI,5,0),1,0)*Data_NFI_t[[#This Row],[Jerry Can]],0)</f>
        <v>0</v>
      </c>
      <c r="AM326" s="105">
        <f>IF(NFI_Expiration=1,IF($A326&lt;VLOOKUP(U$5,NFI,5,0),1,0)*Data_NFI_t[[#This Row],[Plastic Mat]],0)*IF(Data_NFI_t[[#This Row],[Distribution Date]]&gt;"01-06-2015",1,2.5)</f>
        <v>0</v>
      </c>
      <c r="AN326" s="734">
        <f>IF(NFI_Expiration=1,IF($A326&lt;VLOOKUP(V$5,NFI,5,0),1,0)*Data_NFI_t[[#This Row],[Adult Clothes]],0)</f>
        <v>0</v>
      </c>
      <c r="AO326" s="105">
        <f>IF(NFI_Expiration=1,IF($A326&lt;VLOOKUP(W$5,NFI,5,0),1,0)*Data_NFI_t[[#This Row],[Children Clothes]],0)</f>
        <v>0</v>
      </c>
      <c r="AP326" s="105">
        <f>IF(NFI_Expiration=1,IF($A326&lt;VLOOKUP(X$5,NFI,5,0),1,0)*Data_NFI_t[[#This Row],[Sewing Kit]],0)</f>
        <v>0</v>
      </c>
      <c r="AQ326" s="734">
        <f>IF(NFI_Expiration=1,IF($A326&lt;VLOOKUP(X$5,NFI,5,0),1,0)*Data_NFI_t[[#This Row],[Solar Lantern]],0)</f>
        <v>0</v>
      </c>
      <c r="AR326" s="105" t="str">
        <f ca="1">IFERROR(OFFSET(Camp_List[P_Code],MATCH(Data_NFI_t[[#This Row],[Camp Name]],Camp_List[Camp Name],0)-1,0,1,1),"")</f>
        <v>MMR012CMP051</v>
      </c>
      <c r="AS326" s="421" t="str">
        <f ca="1">IFERROR(OFFSET(Camp_List[Status],MATCH(Data_NFI_t[[#This Row],[Camp Name]],Camp_List[Camp Name],0)-1,0,1,1),"")</f>
        <v>Close</v>
      </c>
      <c r="AT326" s="105"/>
    </row>
    <row r="327" spans="1:46" s="78" customFormat="1" ht="19.5" customHeight="1" x14ac:dyDescent="0.25">
      <c r="A327" s="208">
        <f t="shared" si="5"/>
        <v>60.56666666666667</v>
      </c>
      <c r="B327" s="208">
        <f>YEAR(Data_NFI_t[[#This Row],[Distribution Date]])</f>
        <v>2013</v>
      </c>
      <c r="C327" s="744">
        <v>41373</v>
      </c>
      <c r="D327" s="402" t="s">
        <v>1025</v>
      </c>
      <c r="E327" s="401" t="s">
        <v>277</v>
      </c>
      <c r="F327" s="402" t="s">
        <v>7</v>
      </c>
      <c r="G327" s="670" t="s">
        <v>17</v>
      </c>
      <c r="H327" s="670" t="s">
        <v>61</v>
      </c>
      <c r="I327" s="670">
        <v>186</v>
      </c>
      <c r="J327" s="670"/>
      <c r="K327" s="670"/>
      <c r="L327" s="42"/>
      <c r="M327" s="42"/>
      <c r="N327" s="42"/>
      <c r="O327" s="42"/>
      <c r="P327" s="42"/>
      <c r="Q327" s="42"/>
      <c r="R327" s="42"/>
      <c r="S327" s="42"/>
      <c r="T327" s="419"/>
      <c r="U327" s="42"/>
      <c r="V327" s="42"/>
      <c r="W327" s="42"/>
      <c r="X327" s="42"/>
      <c r="Y327" s="42"/>
      <c r="Z327" s="42"/>
      <c r="AA327" s="42"/>
      <c r="AB327" s="42"/>
      <c r="AC327" s="105">
        <f>IF(NFI_Expiration=1,IF($A327&lt;VLOOKUP(I$5,NFI,5,0),1,0)*Data_NFI_t[[#This Row],[Hygiene Kit]],0)</f>
        <v>0</v>
      </c>
      <c r="AD327" s="105">
        <f>IF(NFI_Expiration=1,IF($A327&lt;VLOOKUP(L$5,NFI,5,0),1,0)*Data_NFI_t[[#This Row],[NFI Core Kit]],0)</f>
        <v>0</v>
      </c>
      <c r="AE327" s="86">
        <f>IF(NFI_Expiration=1,IF($A327&lt;VLOOKUP(M$5,NFI,5,0),1,0)*Data_NFI_t[[#This Row],[Sanitary Kit]],0)</f>
        <v>0</v>
      </c>
      <c r="AF327" s="86">
        <f>IF(NFI_Expiration=1,IF($A327&lt;VLOOKUP(N$5,NFI,5,0),1,0)*Data_NFI_t[[#This Row],[Mosquito net]],0)</f>
        <v>0</v>
      </c>
      <c r="AG327" s="86">
        <f>IF(NFI_Expiration=1,IF($A327&lt;VLOOKUP(O$5,NFI,5,0),1,0)*Data_NFI_t[[#This Row],[Tarpaulin]],0)</f>
        <v>0</v>
      </c>
      <c r="AH327" s="86">
        <f>IF(NFI_Expiration=1,IF($A327&lt;VLOOKUP(P$5,NFI,5,0),1,0)*Data_NFI_t[[#This Row],[Blanket]],0)</f>
        <v>0</v>
      </c>
      <c r="AI327" s="86">
        <f>IF(NFI_Expiration=1,IF($A327&lt;VLOOKUP(Q$5,NFI,5,0),1,0)*Data_NFI_t[[#This Row],[Kitchen Set]],0)</f>
        <v>0</v>
      </c>
      <c r="AJ327" s="86">
        <f>IF(NFI_Expiration=1,IF($A327&lt;VLOOKUP(R$5,NFI,5,0),1,0)*Data_NFI_t[[#This Row],[Complementary Kit]],0)</f>
        <v>0</v>
      </c>
      <c r="AK327" s="86">
        <f>IF(NFI_Expiration=1,IF($A327&lt;VLOOKUP(S$5,NFI,5,0),1,0)*Data_NFI_t[[#This Row],[Plastic Bucket]],0)</f>
        <v>0</v>
      </c>
      <c r="AL327" s="86">
        <f>IF(NFI_Expiration=1,IF($A327&lt;VLOOKUP(T$5,NFI,5,0),1,0)*Data_NFI_t[[#This Row],[Jerry Can]],0)</f>
        <v>0</v>
      </c>
      <c r="AM327" s="105">
        <f>IF(NFI_Expiration=1,IF($A327&lt;VLOOKUP(U$5,NFI,5,0),1,0)*Data_NFI_t[[#This Row],[Plastic Mat]],0)*IF(Data_NFI_t[[#This Row],[Distribution Date]]&gt;"01-06-2015",1,2.5)</f>
        <v>0</v>
      </c>
      <c r="AN327" s="734">
        <f>IF(NFI_Expiration=1,IF($A327&lt;VLOOKUP(V$5,NFI,5,0),1,0)*Data_NFI_t[[#This Row],[Adult Clothes]],0)</f>
        <v>0</v>
      </c>
      <c r="AO327" s="105">
        <f>IF(NFI_Expiration=1,IF($A327&lt;VLOOKUP(W$5,NFI,5,0),1,0)*Data_NFI_t[[#This Row],[Children Clothes]],0)</f>
        <v>0</v>
      </c>
      <c r="AP327" s="105">
        <f>IF(NFI_Expiration=1,IF($A327&lt;VLOOKUP(X$5,NFI,5,0),1,0)*Data_NFI_t[[#This Row],[Sewing Kit]],0)</f>
        <v>0</v>
      </c>
      <c r="AQ327" s="734">
        <f>IF(NFI_Expiration=1,IF($A327&lt;VLOOKUP(X$5,NFI,5,0),1,0)*Data_NFI_t[[#This Row],[Solar Lantern]],0)</f>
        <v>0</v>
      </c>
      <c r="AR327" s="105" t="str">
        <f ca="1">IFERROR(OFFSET(Camp_List[P_Code],MATCH(Data_NFI_t[[#This Row],[Camp Name]],Camp_List[Camp Name],0)-1,0,1,1),"")</f>
        <v>MMR012CMP041</v>
      </c>
      <c r="AS327" s="421" t="str">
        <f ca="1">IFERROR(OFFSET(Camp_List[Status],MATCH(Data_NFI_t[[#This Row],[Camp Name]],Camp_List[Camp Name],0)-1,0,1,1),"")</f>
        <v>Open</v>
      </c>
      <c r="AT327" s="105"/>
    </row>
    <row r="328" spans="1:46" s="78" customFormat="1" ht="19.5" customHeight="1" x14ac:dyDescent="0.25">
      <c r="A328" s="208">
        <f t="shared" si="5"/>
        <v>60.7</v>
      </c>
      <c r="B328" s="208">
        <f>YEAR(Data_NFI_t[[#This Row],[Distribution Date]])</f>
        <v>2013</v>
      </c>
      <c r="C328" s="744">
        <v>41369</v>
      </c>
      <c r="D328" s="402" t="s">
        <v>270</v>
      </c>
      <c r="E328" s="401"/>
      <c r="F328" s="402" t="s">
        <v>7</v>
      </c>
      <c r="G328" s="670" t="s">
        <v>17</v>
      </c>
      <c r="H328" s="670" t="s">
        <v>71</v>
      </c>
      <c r="I328" s="670"/>
      <c r="J328" s="670"/>
      <c r="K328" s="670"/>
      <c r="L328" s="42"/>
      <c r="M328" s="42"/>
      <c r="N328" s="42"/>
      <c r="O328" s="42"/>
      <c r="P328" s="42">
        <v>90</v>
      </c>
      <c r="Q328" s="42"/>
      <c r="R328" s="42"/>
      <c r="S328" s="42"/>
      <c r="T328" s="419"/>
      <c r="U328" s="42"/>
      <c r="V328" s="42"/>
      <c r="W328" s="42"/>
      <c r="X328" s="42"/>
      <c r="Y328" s="42"/>
      <c r="Z328" s="42"/>
      <c r="AA328" s="42"/>
      <c r="AB328" s="42"/>
      <c r="AC328" s="105">
        <f>IF(NFI_Expiration=1,IF($A328&lt;VLOOKUP(I$5,NFI,5,0),1,0)*Data_NFI_t[[#This Row],[Hygiene Kit]],0)</f>
        <v>0</v>
      </c>
      <c r="AD328" s="105">
        <f>IF(NFI_Expiration=1,IF($A328&lt;VLOOKUP(L$5,NFI,5,0),1,0)*Data_NFI_t[[#This Row],[NFI Core Kit]],0)</f>
        <v>0</v>
      </c>
      <c r="AE328" s="86">
        <f>IF(NFI_Expiration=1,IF($A328&lt;VLOOKUP(M$5,NFI,5,0),1,0)*Data_NFI_t[[#This Row],[Sanitary Kit]],0)</f>
        <v>0</v>
      </c>
      <c r="AF328" s="86">
        <f>IF(NFI_Expiration=1,IF($A328&lt;VLOOKUP(N$5,NFI,5,0),1,0)*Data_NFI_t[[#This Row],[Mosquito net]],0)</f>
        <v>0</v>
      </c>
      <c r="AG328" s="86">
        <f>IF(NFI_Expiration=1,IF($A328&lt;VLOOKUP(O$5,NFI,5,0),1,0)*Data_NFI_t[[#This Row],[Tarpaulin]],0)</f>
        <v>0</v>
      </c>
      <c r="AH328" s="86">
        <f>IF(NFI_Expiration=1,IF($A328&lt;VLOOKUP(P$5,NFI,5,0),1,0)*Data_NFI_t[[#This Row],[Blanket]],0)</f>
        <v>0</v>
      </c>
      <c r="AI328" s="86">
        <f>IF(NFI_Expiration=1,IF($A328&lt;VLOOKUP(Q$5,NFI,5,0),1,0)*Data_NFI_t[[#This Row],[Kitchen Set]],0)</f>
        <v>0</v>
      </c>
      <c r="AJ328" s="86">
        <f>IF(NFI_Expiration=1,IF($A328&lt;VLOOKUP(R$5,NFI,5,0),1,0)*Data_NFI_t[[#This Row],[Complementary Kit]],0)</f>
        <v>0</v>
      </c>
      <c r="AK328" s="86">
        <f>IF(NFI_Expiration=1,IF($A328&lt;VLOOKUP(S$5,NFI,5,0),1,0)*Data_NFI_t[[#This Row],[Plastic Bucket]],0)</f>
        <v>0</v>
      </c>
      <c r="AL328" s="86">
        <f>IF(NFI_Expiration=1,IF($A328&lt;VLOOKUP(T$5,NFI,5,0),1,0)*Data_NFI_t[[#This Row],[Jerry Can]],0)</f>
        <v>0</v>
      </c>
      <c r="AM328" s="105">
        <f>IF(NFI_Expiration=1,IF($A328&lt;VLOOKUP(U$5,NFI,5,0),1,0)*Data_NFI_t[[#This Row],[Plastic Mat]],0)*IF(Data_NFI_t[[#This Row],[Distribution Date]]&gt;"01-06-2015",1,2.5)</f>
        <v>0</v>
      </c>
      <c r="AN328" s="734">
        <f>IF(NFI_Expiration=1,IF($A328&lt;VLOOKUP(V$5,NFI,5,0),1,0)*Data_NFI_t[[#This Row],[Adult Clothes]],0)</f>
        <v>0</v>
      </c>
      <c r="AO328" s="105">
        <f>IF(NFI_Expiration=1,IF($A328&lt;VLOOKUP(W$5,NFI,5,0),1,0)*Data_NFI_t[[#This Row],[Children Clothes]],0)</f>
        <v>0</v>
      </c>
      <c r="AP328" s="105">
        <f>IF(NFI_Expiration=1,IF($A328&lt;VLOOKUP(X$5,NFI,5,0),1,0)*Data_NFI_t[[#This Row],[Sewing Kit]],0)</f>
        <v>0</v>
      </c>
      <c r="AQ328" s="734">
        <f>IF(NFI_Expiration=1,IF($A328&lt;VLOOKUP(X$5,NFI,5,0),1,0)*Data_NFI_t[[#This Row],[Solar Lantern]],0)</f>
        <v>0</v>
      </c>
      <c r="AR328" s="105" t="str">
        <f ca="1">IFERROR(OFFSET(Camp_List[P_Code],MATCH(Data_NFI_t[[#This Row],[Camp Name]],Camp_List[Camp Name],0)-1,0,1,1),"")</f>
        <v>MMR012CMP051</v>
      </c>
      <c r="AS328" s="421" t="str">
        <f ca="1">IFERROR(OFFSET(Camp_List[Status],MATCH(Data_NFI_t[[#This Row],[Camp Name]],Camp_List[Camp Name],0)-1,0,1,1),"")</f>
        <v>Close</v>
      </c>
      <c r="AT328" s="105"/>
    </row>
    <row r="329" spans="1:46" s="78" customFormat="1" ht="19.5" customHeight="1" x14ac:dyDescent="0.25">
      <c r="A329" s="208">
        <f t="shared" si="5"/>
        <v>60.733333333333334</v>
      </c>
      <c r="B329" s="208">
        <f>YEAR(Data_NFI_t[[#This Row],[Distribution Date]])</f>
        <v>2013</v>
      </c>
      <c r="C329" s="744">
        <v>41368</v>
      </c>
      <c r="D329" s="402" t="s">
        <v>270</v>
      </c>
      <c r="E329" s="401"/>
      <c r="F329" s="402" t="s">
        <v>7</v>
      </c>
      <c r="G329" s="670" t="s">
        <v>17</v>
      </c>
      <c r="H329" s="670" t="s">
        <v>71</v>
      </c>
      <c r="I329" s="670"/>
      <c r="J329" s="670"/>
      <c r="K329" s="670"/>
      <c r="L329" s="42"/>
      <c r="M329" s="42"/>
      <c r="N329" s="42"/>
      <c r="O329" s="42"/>
      <c r="P329" s="42">
        <v>45</v>
      </c>
      <c r="Q329" s="42"/>
      <c r="R329" s="42"/>
      <c r="S329" s="42"/>
      <c r="T329" s="419"/>
      <c r="U329" s="42"/>
      <c r="V329" s="42"/>
      <c r="W329" s="42"/>
      <c r="X329" s="42"/>
      <c r="Y329" s="42"/>
      <c r="Z329" s="42"/>
      <c r="AA329" s="42"/>
      <c r="AB329" s="42"/>
      <c r="AC329" s="105">
        <f>IF(NFI_Expiration=1,IF($A329&lt;VLOOKUP(I$5,NFI,5,0),1,0)*Data_NFI_t[[#This Row],[Hygiene Kit]],0)</f>
        <v>0</v>
      </c>
      <c r="AD329" s="105">
        <f>IF(NFI_Expiration=1,IF($A329&lt;VLOOKUP(L$5,NFI,5,0),1,0)*Data_NFI_t[[#This Row],[NFI Core Kit]],0)</f>
        <v>0</v>
      </c>
      <c r="AE329" s="86">
        <f>IF(NFI_Expiration=1,IF($A329&lt;VLOOKUP(M$5,NFI,5,0),1,0)*Data_NFI_t[[#This Row],[Sanitary Kit]],0)</f>
        <v>0</v>
      </c>
      <c r="AF329" s="86">
        <f>IF(NFI_Expiration=1,IF($A329&lt;VLOOKUP(N$5,NFI,5,0),1,0)*Data_NFI_t[[#This Row],[Mosquito net]],0)</f>
        <v>0</v>
      </c>
      <c r="AG329" s="86">
        <f>IF(NFI_Expiration=1,IF($A329&lt;VLOOKUP(O$5,NFI,5,0),1,0)*Data_NFI_t[[#This Row],[Tarpaulin]],0)</f>
        <v>0</v>
      </c>
      <c r="AH329" s="86">
        <f>IF(NFI_Expiration=1,IF($A329&lt;VLOOKUP(P$5,NFI,5,0),1,0)*Data_NFI_t[[#This Row],[Blanket]],0)</f>
        <v>0</v>
      </c>
      <c r="AI329" s="86">
        <f>IF(NFI_Expiration=1,IF($A329&lt;VLOOKUP(Q$5,NFI,5,0),1,0)*Data_NFI_t[[#This Row],[Kitchen Set]],0)</f>
        <v>0</v>
      </c>
      <c r="AJ329" s="86">
        <f>IF(NFI_Expiration=1,IF($A329&lt;VLOOKUP(R$5,NFI,5,0),1,0)*Data_NFI_t[[#This Row],[Complementary Kit]],0)</f>
        <v>0</v>
      </c>
      <c r="AK329" s="86">
        <f>IF(NFI_Expiration=1,IF($A329&lt;VLOOKUP(S$5,NFI,5,0),1,0)*Data_NFI_t[[#This Row],[Plastic Bucket]],0)</f>
        <v>0</v>
      </c>
      <c r="AL329" s="86">
        <f>IF(NFI_Expiration=1,IF($A329&lt;VLOOKUP(T$5,NFI,5,0),1,0)*Data_NFI_t[[#This Row],[Jerry Can]],0)</f>
        <v>0</v>
      </c>
      <c r="AM329" s="105">
        <f>IF(NFI_Expiration=1,IF($A329&lt;VLOOKUP(U$5,NFI,5,0),1,0)*Data_NFI_t[[#This Row],[Plastic Mat]],0)*IF(Data_NFI_t[[#This Row],[Distribution Date]]&gt;"01-06-2015",1,2.5)</f>
        <v>0</v>
      </c>
      <c r="AN329" s="734">
        <f>IF(NFI_Expiration=1,IF($A329&lt;VLOOKUP(V$5,NFI,5,0),1,0)*Data_NFI_t[[#This Row],[Adult Clothes]],0)</f>
        <v>0</v>
      </c>
      <c r="AO329" s="105">
        <f>IF(NFI_Expiration=1,IF($A329&lt;VLOOKUP(W$5,NFI,5,0),1,0)*Data_NFI_t[[#This Row],[Children Clothes]],0)</f>
        <v>0</v>
      </c>
      <c r="AP329" s="105">
        <f>IF(NFI_Expiration=1,IF($A329&lt;VLOOKUP(X$5,NFI,5,0),1,0)*Data_NFI_t[[#This Row],[Sewing Kit]],0)</f>
        <v>0</v>
      </c>
      <c r="AQ329" s="734">
        <f>IF(NFI_Expiration=1,IF($A329&lt;VLOOKUP(X$5,NFI,5,0),1,0)*Data_NFI_t[[#This Row],[Solar Lantern]],0)</f>
        <v>0</v>
      </c>
      <c r="AR329" s="105" t="str">
        <f ca="1">IFERROR(OFFSET(Camp_List[P_Code],MATCH(Data_NFI_t[[#This Row],[Camp Name]],Camp_List[Camp Name],0)-1,0,1,1),"")</f>
        <v>MMR012CMP051</v>
      </c>
      <c r="AS329" s="421" t="str">
        <f ca="1">IFERROR(OFFSET(Camp_List[Status],MATCH(Data_NFI_t[[#This Row],[Camp Name]],Camp_List[Camp Name],0)-1,0,1,1),"")</f>
        <v>Close</v>
      </c>
      <c r="AT329" s="105"/>
    </row>
    <row r="330" spans="1:46" s="78" customFormat="1" ht="19.5" customHeight="1" x14ac:dyDescent="0.25">
      <c r="A330" s="208">
        <f t="shared" si="5"/>
        <v>60.766666666666666</v>
      </c>
      <c r="B330" s="208">
        <f>YEAR(Data_NFI_t[[#This Row],[Distribution Date]])</f>
        <v>2013</v>
      </c>
      <c r="C330" s="744">
        <v>41367</v>
      </c>
      <c r="D330" s="402" t="s">
        <v>270</v>
      </c>
      <c r="E330" s="401"/>
      <c r="F330" s="402" t="s">
        <v>7</v>
      </c>
      <c r="G330" s="670" t="s">
        <v>17</v>
      </c>
      <c r="H330" s="670" t="s">
        <v>71</v>
      </c>
      <c r="I330" s="670"/>
      <c r="J330" s="670"/>
      <c r="K330" s="670"/>
      <c r="L330" s="42"/>
      <c r="M330" s="42"/>
      <c r="N330" s="42"/>
      <c r="O330" s="42"/>
      <c r="P330" s="42">
        <v>45</v>
      </c>
      <c r="Q330" s="42"/>
      <c r="R330" s="42"/>
      <c r="S330" s="42"/>
      <c r="T330" s="419"/>
      <c r="U330" s="42"/>
      <c r="V330" s="42"/>
      <c r="W330" s="42"/>
      <c r="X330" s="42"/>
      <c r="Y330" s="42"/>
      <c r="Z330" s="42"/>
      <c r="AA330" s="42"/>
      <c r="AB330" s="42"/>
      <c r="AC330" s="105">
        <f>IF(NFI_Expiration=1,IF($A330&lt;VLOOKUP(I$5,NFI,5,0),1,0)*Data_NFI_t[[#This Row],[Hygiene Kit]],0)</f>
        <v>0</v>
      </c>
      <c r="AD330" s="105">
        <f>IF(NFI_Expiration=1,IF($A330&lt;VLOOKUP(L$5,NFI,5,0),1,0)*Data_NFI_t[[#This Row],[NFI Core Kit]],0)</f>
        <v>0</v>
      </c>
      <c r="AE330" s="86">
        <f>IF(NFI_Expiration=1,IF($A330&lt;VLOOKUP(M$5,NFI,5,0),1,0)*Data_NFI_t[[#This Row],[Sanitary Kit]],0)</f>
        <v>0</v>
      </c>
      <c r="AF330" s="86">
        <f>IF(NFI_Expiration=1,IF($A330&lt;VLOOKUP(N$5,NFI,5,0),1,0)*Data_NFI_t[[#This Row],[Mosquito net]],0)</f>
        <v>0</v>
      </c>
      <c r="AG330" s="86">
        <f>IF(NFI_Expiration=1,IF($A330&lt;VLOOKUP(O$5,NFI,5,0),1,0)*Data_NFI_t[[#This Row],[Tarpaulin]],0)</f>
        <v>0</v>
      </c>
      <c r="AH330" s="86">
        <f>IF(NFI_Expiration=1,IF($A330&lt;VLOOKUP(P$5,NFI,5,0),1,0)*Data_NFI_t[[#This Row],[Blanket]],0)</f>
        <v>0</v>
      </c>
      <c r="AI330" s="86">
        <f>IF(NFI_Expiration=1,IF($A330&lt;VLOOKUP(Q$5,NFI,5,0),1,0)*Data_NFI_t[[#This Row],[Kitchen Set]],0)</f>
        <v>0</v>
      </c>
      <c r="AJ330" s="86">
        <f>IF(NFI_Expiration=1,IF($A330&lt;VLOOKUP(R$5,NFI,5,0),1,0)*Data_NFI_t[[#This Row],[Complementary Kit]],0)</f>
        <v>0</v>
      </c>
      <c r="AK330" s="86">
        <f>IF(NFI_Expiration=1,IF($A330&lt;VLOOKUP(S$5,NFI,5,0),1,0)*Data_NFI_t[[#This Row],[Plastic Bucket]],0)</f>
        <v>0</v>
      </c>
      <c r="AL330" s="86">
        <f>IF(NFI_Expiration=1,IF($A330&lt;VLOOKUP(T$5,NFI,5,0),1,0)*Data_NFI_t[[#This Row],[Jerry Can]],0)</f>
        <v>0</v>
      </c>
      <c r="AM330" s="105">
        <f>IF(NFI_Expiration=1,IF($A330&lt;VLOOKUP(U$5,NFI,5,0),1,0)*Data_NFI_t[[#This Row],[Plastic Mat]],0)*IF(Data_NFI_t[[#This Row],[Distribution Date]]&gt;"01-06-2015",1,2.5)</f>
        <v>0</v>
      </c>
      <c r="AN330" s="734">
        <f>IF(NFI_Expiration=1,IF($A330&lt;VLOOKUP(V$5,NFI,5,0),1,0)*Data_NFI_t[[#This Row],[Adult Clothes]],0)</f>
        <v>0</v>
      </c>
      <c r="AO330" s="105">
        <f>IF(NFI_Expiration=1,IF($A330&lt;VLOOKUP(W$5,NFI,5,0),1,0)*Data_NFI_t[[#This Row],[Children Clothes]],0)</f>
        <v>0</v>
      </c>
      <c r="AP330" s="105">
        <f>IF(NFI_Expiration=1,IF($A330&lt;VLOOKUP(X$5,NFI,5,0),1,0)*Data_NFI_t[[#This Row],[Sewing Kit]],0)</f>
        <v>0</v>
      </c>
      <c r="AQ330" s="734">
        <f>IF(NFI_Expiration=1,IF($A330&lt;VLOOKUP(X$5,NFI,5,0),1,0)*Data_NFI_t[[#This Row],[Solar Lantern]],0)</f>
        <v>0</v>
      </c>
      <c r="AR330" s="105" t="str">
        <f ca="1">IFERROR(OFFSET(Camp_List[P_Code],MATCH(Data_NFI_t[[#This Row],[Camp Name]],Camp_List[Camp Name],0)-1,0,1,1),"")</f>
        <v>MMR012CMP051</v>
      </c>
      <c r="AS330" s="421" t="str">
        <f ca="1">IFERROR(OFFSET(Camp_List[Status],MATCH(Data_NFI_t[[#This Row],[Camp Name]],Camp_List[Camp Name],0)-1,0,1,1),"")</f>
        <v>Close</v>
      </c>
      <c r="AT330" s="105"/>
    </row>
    <row r="331" spans="1:46" s="78" customFormat="1" ht="19.5" customHeight="1" x14ac:dyDescent="0.25">
      <c r="A331" s="208">
        <f t="shared" si="5"/>
        <v>60.8</v>
      </c>
      <c r="B331" s="208">
        <f>YEAR(Data_NFI_t[[#This Row],[Distribution Date]])</f>
        <v>2013</v>
      </c>
      <c r="C331" s="744">
        <v>41366</v>
      </c>
      <c r="D331" s="402" t="s">
        <v>473</v>
      </c>
      <c r="E331" s="401" t="s">
        <v>473</v>
      </c>
      <c r="F331" s="402" t="s">
        <v>7</v>
      </c>
      <c r="G331" s="670" t="s">
        <v>17</v>
      </c>
      <c r="H331" s="670" t="s">
        <v>68</v>
      </c>
      <c r="I331" s="670">
        <v>3100</v>
      </c>
      <c r="J331" s="670"/>
      <c r="K331" s="670"/>
      <c r="L331" s="42"/>
      <c r="M331" s="42"/>
      <c r="N331" s="42"/>
      <c r="O331" s="42"/>
      <c r="P331" s="42"/>
      <c r="Q331" s="42"/>
      <c r="R331" s="42"/>
      <c r="S331" s="42"/>
      <c r="T331" s="419"/>
      <c r="U331" s="42"/>
      <c r="V331" s="42"/>
      <c r="W331" s="42"/>
      <c r="X331" s="42"/>
      <c r="Y331" s="42"/>
      <c r="Z331" s="42"/>
      <c r="AA331" s="42"/>
      <c r="AB331" s="42"/>
      <c r="AC331" s="105">
        <f>IF(NFI_Expiration=1,IF($A331&lt;VLOOKUP(I$5,NFI,5,0),1,0)*Data_NFI_t[[#This Row],[Hygiene Kit]],0)</f>
        <v>0</v>
      </c>
      <c r="AD331" s="105">
        <f>IF(NFI_Expiration=1,IF($A331&lt;VLOOKUP(L$5,NFI,5,0),1,0)*Data_NFI_t[[#This Row],[NFI Core Kit]],0)</f>
        <v>0</v>
      </c>
      <c r="AE331" s="86">
        <f>IF(NFI_Expiration=1,IF($A331&lt;VLOOKUP(M$5,NFI,5,0),1,0)*Data_NFI_t[[#This Row],[Sanitary Kit]],0)</f>
        <v>0</v>
      </c>
      <c r="AF331" s="86">
        <f>IF(NFI_Expiration=1,IF($A331&lt;VLOOKUP(N$5,NFI,5,0),1,0)*Data_NFI_t[[#This Row],[Mosquito net]],0)</f>
        <v>0</v>
      </c>
      <c r="AG331" s="86">
        <f>IF(NFI_Expiration=1,IF($A331&lt;VLOOKUP(O$5,NFI,5,0),1,0)*Data_NFI_t[[#This Row],[Tarpaulin]],0)</f>
        <v>0</v>
      </c>
      <c r="AH331" s="86">
        <f>IF(NFI_Expiration=1,IF($A331&lt;VLOOKUP(P$5,NFI,5,0),1,0)*Data_NFI_t[[#This Row],[Blanket]],0)</f>
        <v>0</v>
      </c>
      <c r="AI331" s="86">
        <f>IF(NFI_Expiration=1,IF($A331&lt;VLOOKUP(Q$5,NFI,5,0),1,0)*Data_NFI_t[[#This Row],[Kitchen Set]],0)</f>
        <v>0</v>
      </c>
      <c r="AJ331" s="86">
        <f>IF(NFI_Expiration=1,IF($A331&lt;VLOOKUP(R$5,NFI,5,0),1,0)*Data_NFI_t[[#This Row],[Complementary Kit]],0)</f>
        <v>0</v>
      </c>
      <c r="AK331" s="86">
        <f>IF(NFI_Expiration=1,IF($A331&lt;VLOOKUP(S$5,NFI,5,0),1,0)*Data_NFI_t[[#This Row],[Plastic Bucket]],0)</f>
        <v>0</v>
      </c>
      <c r="AL331" s="86">
        <f>IF(NFI_Expiration=1,IF($A331&lt;VLOOKUP(T$5,NFI,5,0),1,0)*Data_NFI_t[[#This Row],[Jerry Can]],0)</f>
        <v>0</v>
      </c>
      <c r="AM331" s="105">
        <f>IF(NFI_Expiration=1,IF($A331&lt;VLOOKUP(U$5,NFI,5,0),1,0)*Data_NFI_t[[#This Row],[Plastic Mat]],0)*IF(Data_NFI_t[[#This Row],[Distribution Date]]&gt;"01-06-2015",1,2.5)</f>
        <v>0</v>
      </c>
      <c r="AN331" s="734">
        <f>IF(NFI_Expiration=1,IF($A331&lt;VLOOKUP(V$5,NFI,5,0),1,0)*Data_NFI_t[[#This Row],[Adult Clothes]],0)</f>
        <v>0</v>
      </c>
      <c r="AO331" s="105">
        <f>IF(NFI_Expiration=1,IF($A331&lt;VLOOKUP(W$5,NFI,5,0),1,0)*Data_NFI_t[[#This Row],[Children Clothes]],0)</f>
        <v>0</v>
      </c>
      <c r="AP331" s="105">
        <f>IF(NFI_Expiration=1,IF($A331&lt;VLOOKUP(X$5,NFI,5,0),1,0)*Data_NFI_t[[#This Row],[Sewing Kit]],0)</f>
        <v>0</v>
      </c>
      <c r="AQ331" s="734">
        <f>IF(NFI_Expiration=1,IF($A331&lt;VLOOKUP(X$5,NFI,5,0),1,0)*Data_NFI_t[[#This Row],[Solar Lantern]],0)</f>
        <v>0</v>
      </c>
      <c r="AR331" s="105" t="str">
        <f ca="1">IFERROR(OFFSET(Camp_List[P_Code],MATCH(Data_NFI_t[[#This Row],[Camp Name]],Camp_List[Camp Name],0)-1,0,1,1),"")</f>
        <v>MMR012CMP048</v>
      </c>
      <c r="AS331" s="421" t="str">
        <f ca="1">IFERROR(OFFSET(Camp_List[Status],MATCH(Data_NFI_t[[#This Row],[Camp Name]],Camp_List[Camp Name],0)-1,0,1,1),"")</f>
        <v>Open</v>
      </c>
      <c r="AT331" s="105"/>
    </row>
    <row r="332" spans="1:46" s="78" customFormat="1" ht="19.5" customHeight="1" x14ac:dyDescent="0.25">
      <c r="A332" s="208">
        <f t="shared" si="5"/>
        <v>61.43333333333333</v>
      </c>
      <c r="B332" s="208">
        <f>YEAR(Data_NFI_t[[#This Row],[Distribution Date]])</f>
        <v>2013</v>
      </c>
      <c r="C332" s="744">
        <v>41347</v>
      </c>
      <c r="D332" s="402" t="s">
        <v>270</v>
      </c>
      <c r="E332" s="401"/>
      <c r="F332" s="402" t="s">
        <v>7</v>
      </c>
      <c r="G332" s="670" t="s">
        <v>15</v>
      </c>
      <c r="H332" s="670" t="s">
        <v>54</v>
      </c>
      <c r="I332" s="670">
        <v>0</v>
      </c>
      <c r="J332" s="670"/>
      <c r="K332" s="670"/>
      <c r="L332" s="42">
        <v>68</v>
      </c>
      <c r="M332" s="42"/>
      <c r="N332" s="42">
        <v>136</v>
      </c>
      <c r="O332" s="42">
        <v>68</v>
      </c>
      <c r="P332" s="42">
        <v>136</v>
      </c>
      <c r="Q332" s="42">
        <v>68</v>
      </c>
      <c r="R332" s="42">
        <v>68</v>
      </c>
      <c r="S332" s="42">
        <v>68</v>
      </c>
      <c r="T332" s="419"/>
      <c r="U332" s="42">
        <v>136</v>
      </c>
      <c r="V332" s="42"/>
      <c r="W332" s="42"/>
      <c r="X332" s="42"/>
      <c r="Y332" s="42"/>
      <c r="Z332" s="42"/>
      <c r="AA332" s="42"/>
      <c r="AB332" s="42"/>
      <c r="AC332" s="105">
        <f>IF(NFI_Expiration=1,IF($A332&lt;VLOOKUP(I$5,NFI,5,0),1,0)*Data_NFI_t[[#This Row],[Hygiene Kit]],0)</f>
        <v>0</v>
      </c>
      <c r="AD332" s="105">
        <f>IF(NFI_Expiration=1,IF($A332&lt;VLOOKUP(L$5,NFI,5,0),1,0)*Data_NFI_t[[#This Row],[NFI Core Kit]],0)</f>
        <v>0</v>
      </c>
      <c r="AE332" s="86">
        <f>IF(NFI_Expiration=1,IF($A332&lt;VLOOKUP(M$5,NFI,5,0),1,0)*Data_NFI_t[[#This Row],[Sanitary Kit]],0)</f>
        <v>0</v>
      </c>
      <c r="AF332" s="86">
        <f>IF(NFI_Expiration=1,IF($A332&lt;VLOOKUP(N$5,NFI,5,0),1,0)*Data_NFI_t[[#This Row],[Mosquito net]],0)</f>
        <v>0</v>
      </c>
      <c r="AG332" s="86">
        <f>IF(NFI_Expiration=1,IF($A332&lt;VLOOKUP(O$5,NFI,5,0),1,0)*Data_NFI_t[[#This Row],[Tarpaulin]],0)</f>
        <v>0</v>
      </c>
      <c r="AH332" s="86">
        <f>IF(NFI_Expiration=1,IF($A332&lt;VLOOKUP(P$5,NFI,5,0),1,0)*Data_NFI_t[[#This Row],[Blanket]],0)</f>
        <v>0</v>
      </c>
      <c r="AI332" s="86">
        <f>IF(NFI_Expiration=1,IF($A332&lt;VLOOKUP(Q$5,NFI,5,0),1,0)*Data_NFI_t[[#This Row],[Kitchen Set]],0)</f>
        <v>0</v>
      </c>
      <c r="AJ332" s="86">
        <f>IF(NFI_Expiration=1,IF($A332&lt;VLOOKUP(R$5,NFI,5,0),1,0)*Data_NFI_t[[#This Row],[Complementary Kit]],0)</f>
        <v>0</v>
      </c>
      <c r="AK332" s="86">
        <f>IF(NFI_Expiration=1,IF($A332&lt;VLOOKUP(S$5,NFI,5,0),1,0)*Data_NFI_t[[#This Row],[Plastic Bucket]],0)</f>
        <v>0</v>
      </c>
      <c r="AL332" s="86">
        <f>IF(NFI_Expiration=1,IF($A332&lt;VLOOKUP(T$5,NFI,5,0),1,0)*Data_NFI_t[[#This Row],[Jerry Can]],0)</f>
        <v>0</v>
      </c>
      <c r="AM332" s="105">
        <f>IF(NFI_Expiration=1,IF($A332&lt;VLOOKUP(U$5,NFI,5,0),1,0)*Data_NFI_t[[#This Row],[Plastic Mat]],0)*IF(Data_NFI_t[[#This Row],[Distribution Date]]&gt;"01-06-2015",1,2.5)</f>
        <v>0</v>
      </c>
      <c r="AN332" s="734">
        <f>IF(NFI_Expiration=1,IF($A332&lt;VLOOKUP(V$5,NFI,5,0),1,0)*Data_NFI_t[[#This Row],[Adult Clothes]],0)</f>
        <v>0</v>
      </c>
      <c r="AO332" s="105">
        <f>IF(NFI_Expiration=1,IF($A332&lt;VLOOKUP(W$5,NFI,5,0),1,0)*Data_NFI_t[[#This Row],[Children Clothes]],0)</f>
        <v>0</v>
      </c>
      <c r="AP332" s="105">
        <f>IF(NFI_Expiration=1,IF($A332&lt;VLOOKUP(X$5,NFI,5,0),1,0)*Data_NFI_t[[#This Row],[Sewing Kit]],0)</f>
        <v>0</v>
      </c>
      <c r="AQ332" s="734">
        <f>IF(NFI_Expiration=1,IF($A332&lt;VLOOKUP(X$5,NFI,5,0),1,0)*Data_NFI_t[[#This Row],[Solar Lantern]],0)</f>
        <v>0</v>
      </c>
      <c r="AR332" s="105" t="str">
        <f ca="1">IFERROR(OFFSET(Camp_List[P_Code],MATCH(Data_NFI_t[[#This Row],[Camp Name]],Camp_List[Camp Name],0)-1,0,1,1),"")</f>
        <v>MMR012CMP032</v>
      </c>
      <c r="AS332" s="421" t="str">
        <f ca="1">IFERROR(OFFSET(Camp_List[Status],MATCH(Data_NFI_t[[#This Row],[Camp Name]],Camp_List[Camp Name],0)-1,0,1,1),"")</f>
        <v>Returned</v>
      </c>
      <c r="AT332" s="105"/>
    </row>
    <row r="333" spans="1:46" s="78" customFormat="1" ht="19.5" customHeight="1" x14ac:dyDescent="0.25">
      <c r="A333" s="208">
        <f t="shared" si="5"/>
        <v>61.43333333333333</v>
      </c>
      <c r="B333" s="208">
        <f>YEAR(Data_NFI_t[[#This Row],[Distribution Date]])</f>
        <v>2013</v>
      </c>
      <c r="C333" s="744">
        <v>41347</v>
      </c>
      <c r="D333" s="402" t="s">
        <v>270</v>
      </c>
      <c r="E333" s="401"/>
      <c r="F333" s="402" t="s">
        <v>7</v>
      </c>
      <c r="G333" s="670" t="s">
        <v>15</v>
      </c>
      <c r="H333" s="670" t="s">
        <v>54</v>
      </c>
      <c r="I333" s="670">
        <v>0</v>
      </c>
      <c r="J333" s="670"/>
      <c r="K333" s="670"/>
      <c r="L333" s="42"/>
      <c r="M333" s="42">
        <v>136</v>
      </c>
      <c r="N333" s="42">
        <v>136</v>
      </c>
      <c r="O333" s="42">
        <v>68</v>
      </c>
      <c r="P333" s="42">
        <v>0</v>
      </c>
      <c r="Q333" s="42"/>
      <c r="R333" s="42"/>
      <c r="S333" s="42"/>
      <c r="T333" s="419"/>
      <c r="U333" s="42"/>
      <c r="V333" s="42"/>
      <c r="W333" s="42"/>
      <c r="X333" s="42"/>
      <c r="Y333" s="42"/>
      <c r="Z333" s="42"/>
      <c r="AA333" s="42"/>
      <c r="AB333" s="42"/>
      <c r="AC333" s="105">
        <f>IF(NFI_Expiration=1,IF($A333&lt;VLOOKUP(I$5,NFI,5,0),1,0)*Data_NFI_t[[#This Row],[Hygiene Kit]],0)</f>
        <v>0</v>
      </c>
      <c r="AD333" s="105">
        <f>IF(NFI_Expiration=1,IF($A333&lt;VLOOKUP(L$5,NFI,5,0),1,0)*Data_NFI_t[[#This Row],[NFI Core Kit]],0)</f>
        <v>0</v>
      </c>
      <c r="AE333" s="86">
        <f>IF(NFI_Expiration=1,IF($A333&lt;VLOOKUP(M$5,NFI,5,0),1,0)*Data_NFI_t[[#This Row],[Sanitary Kit]],0)</f>
        <v>0</v>
      </c>
      <c r="AF333" s="86">
        <f>IF(NFI_Expiration=1,IF($A333&lt;VLOOKUP(N$5,NFI,5,0),1,0)*Data_NFI_t[[#This Row],[Mosquito net]],0)</f>
        <v>0</v>
      </c>
      <c r="AG333" s="86">
        <f>IF(NFI_Expiration=1,IF($A333&lt;VLOOKUP(O$5,NFI,5,0),1,0)*Data_NFI_t[[#This Row],[Tarpaulin]],0)</f>
        <v>0</v>
      </c>
      <c r="AH333" s="86">
        <f>IF(NFI_Expiration=1,IF($A333&lt;VLOOKUP(P$5,NFI,5,0),1,0)*Data_NFI_t[[#This Row],[Blanket]],0)</f>
        <v>0</v>
      </c>
      <c r="AI333" s="86">
        <f>IF(NFI_Expiration=1,IF($A333&lt;VLOOKUP(Q$5,NFI,5,0),1,0)*Data_NFI_t[[#This Row],[Kitchen Set]],0)</f>
        <v>0</v>
      </c>
      <c r="AJ333" s="86">
        <f>IF(NFI_Expiration=1,IF($A333&lt;VLOOKUP(R$5,NFI,5,0),1,0)*Data_NFI_t[[#This Row],[Complementary Kit]],0)</f>
        <v>0</v>
      </c>
      <c r="AK333" s="86">
        <f>IF(NFI_Expiration=1,IF($A333&lt;VLOOKUP(S$5,NFI,5,0),1,0)*Data_NFI_t[[#This Row],[Plastic Bucket]],0)</f>
        <v>0</v>
      </c>
      <c r="AL333" s="86">
        <f>IF(NFI_Expiration=1,IF($A333&lt;VLOOKUP(T$5,NFI,5,0),1,0)*Data_NFI_t[[#This Row],[Jerry Can]],0)</f>
        <v>0</v>
      </c>
      <c r="AM333" s="105">
        <f>IF(NFI_Expiration=1,IF($A333&lt;VLOOKUP(U$5,NFI,5,0),1,0)*Data_NFI_t[[#This Row],[Plastic Mat]],0)*IF(Data_NFI_t[[#This Row],[Distribution Date]]&gt;"01-06-2015",1,2.5)</f>
        <v>0</v>
      </c>
      <c r="AN333" s="734">
        <f>IF(NFI_Expiration=1,IF($A333&lt;VLOOKUP(V$5,NFI,5,0),1,0)*Data_NFI_t[[#This Row],[Adult Clothes]],0)</f>
        <v>0</v>
      </c>
      <c r="AO333" s="105">
        <f>IF(NFI_Expiration=1,IF($A333&lt;VLOOKUP(W$5,NFI,5,0),1,0)*Data_NFI_t[[#This Row],[Children Clothes]],0)</f>
        <v>0</v>
      </c>
      <c r="AP333" s="105">
        <f>IF(NFI_Expiration=1,IF($A333&lt;VLOOKUP(X$5,NFI,5,0),1,0)*Data_NFI_t[[#This Row],[Sewing Kit]],0)</f>
        <v>0</v>
      </c>
      <c r="AQ333" s="734">
        <f>IF(NFI_Expiration=1,IF($A333&lt;VLOOKUP(X$5,NFI,5,0),1,0)*Data_NFI_t[[#This Row],[Solar Lantern]],0)</f>
        <v>0</v>
      </c>
      <c r="AR333" s="105" t="str">
        <f ca="1">IFERROR(OFFSET(Camp_List[P_Code],MATCH(Data_NFI_t[[#This Row],[Camp Name]],Camp_List[Camp Name],0)-1,0,1,1),"")</f>
        <v>MMR012CMP032</v>
      </c>
      <c r="AS333" s="421" t="str">
        <f ca="1">IFERROR(OFFSET(Camp_List[Status],MATCH(Data_NFI_t[[#This Row],[Camp Name]],Camp_List[Camp Name],0)-1,0,1,1),"")</f>
        <v>Returned</v>
      </c>
      <c r="AT333" s="105"/>
    </row>
    <row r="334" spans="1:46" s="78" customFormat="1" ht="19.5" customHeight="1" x14ac:dyDescent="0.25">
      <c r="A334" s="208">
        <f t="shared" si="5"/>
        <v>61.43333333333333</v>
      </c>
      <c r="B334" s="208">
        <f>YEAR(Data_NFI_t[[#This Row],[Distribution Date]])</f>
        <v>2013</v>
      </c>
      <c r="C334" s="744">
        <v>41347</v>
      </c>
      <c r="D334" s="402" t="s">
        <v>270</v>
      </c>
      <c r="E334" s="401"/>
      <c r="F334" s="402" t="s">
        <v>7</v>
      </c>
      <c r="G334" s="670" t="s">
        <v>18</v>
      </c>
      <c r="H334" s="670" t="s">
        <v>103</v>
      </c>
      <c r="I334" s="670">
        <v>0</v>
      </c>
      <c r="J334" s="670"/>
      <c r="K334" s="670"/>
      <c r="L334" s="42">
        <v>79</v>
      </c>
      <c r="M334" s="42"/>
      <c r="N334" s="42">
        <v>158</v>
      </c>
      <c r="O334" s="42">
        <v>79</v>
      </c>
      <c r="P334" s="42">
        <v>158</v>
      </c>
      <c r="Q334" s="42">
        <v>79</v>
      </c>
      <c r="R334" s="42">
        <v>79</v>
      </c>
      <c r="S334" s="42">
        <v>79</v>
      </c>
      <c r="T334" s="419"/>
      <c r="U334" s="42">
        <v>158</v>
      </c>
      <c r="V334" s="42"/>
      <c r="W334" s="42"/>
      <c r="X334" s="42"/>
      <c r="Y334" s="42"/>
      <c r="Z334" s="42"/>
      <c r="AA334" s="42"/>
      <c r="AB334" s="42"/>
      <c r="AC334" s="105">
        <f>IF(NFI_Expiration=1,IF($A334&lt;VLOOKUP(I$5,NFI,5,0),1,0)*Data_NFI_t[[#This Row],[Hygiene Kit]],0)</f>
        <v>0</v>
      </c>
      <c r="AD334" s="105">
        <f>IF(NFI_Expiration=1,IF($A334&lt;VLOOKUP(L$5,NFI,5,0),1,0)*Data_NFI_t[[#This Row],[NFI Core Kit]],0)</f>
        <v>0</v>
      </c>
      <c r="AE334" s="86">
        <f>IF(NFI_Expiration=1,IF($A334&lt;VLOOKUP(M$5,NFI,5,0),1,0)*Data_NFI_t[[#This Row],[Sanitary Kit]],0)</f>
        <v>0</v>
      </c>
      <c r="AF334" s="86">
        <f>IF(NFI_Expiration=1,IF($A334&lt;VLOOKUP(N$5,NFI,5,0),1,0)*Data_NFI_t[[#This Row],[Mosquito net]],0)</f>
        <v>0</v>
      </c>
      <c r="AG334" s="86">
        <f>IF(NFI_Expiration=1,IF($A334&lt;VLOOKUP(O$5,NFI,5,0),1,0)*Data_NFI_t[[#This Row],[Tarpaulin]],0)</f>
        <v>0</v>
      </c>
      <c r="AH334" s="86">
        <f>IF(NFI_Expiration=1,IF($A334&lt;VLOOKUP(P$5,NFI,5,0),1,0)*Data_NFI_t[[#This Row],[Blanket]],0)</f>
        <v>0</v>
      </c>
      <c r="AI334" s="86">
        <f>IF(NFI_Expiration=1,IF($A334&lt;VLOOKUP(Q$5,NFI,5,0),1,0)*Data_NFI_t[[#This Row],[Kitchen Set]],0)</f>
        <v>0</v>
      </c>
      <c r="AJ334" s="86">
        <f>IF(NFI_Expiration=1,IF($A334&lt;VLOOKUP(R$5,NFI,5,0),1,0)*Data_NFI_t[[#This Row],[Complementary Kit]],0)</f>
        <v>0</v>
      </c>
      <c r="AK334" s="86">
        <f>IF(NFI_Expiration=1,IF($A334&lt;VLOOKUP(S$5,NFI,5,0),1,0)*Data_NFI_t[[#This Row],[Plastic Bucket]],0)</f>
        <v>0</v>
      </c>
      <c r="AL334" s="86">
        <f>IF(NFI_Expiration=1,IF($A334&lt;VLOOKUP(T$5,NFI,5,0),1,0)*Data_NFI_t[[#This Row],[Jerry Can]],0)</f>
        <v>0</v>
      </c>
      <c r="AM334" s="105">
        <f>IF(NFI_Expiration=1,IF($A334&lt;VLOOKUP(U$5,NFI,5,0),1,0)*Data_NFI_t[[#This Row],[Plastic Mat]],0)*IF(Data_NFI_t[[#This Row],[Distribution Date]]&gt;"01-06-2015",1,2.5)</f>
        <v>0</v>
      </c>
      <c r="AN334" s="734">
        <f>IF(NFI_Expiration=1,IF($A334&lt;VLOOKUP(V$5,NFI,5,0),1,0)*Data_NFI_t[[#This Row],[Adult Clothes]],0)</f>
        <v>0</v>
      </c>
      <c r="AO334" s="105">
        <f>IF(NFI_Expiration=1,IF($A334&lt;VLOOKUP(W$5,NFI,5,0),1,0)*Data_NFI_t[[#This Row],[Children Clothes]],0)</f>
        <v>0</v>
      </c>
      <c r="AP334" s="105">
        <f>IF(NFI_Expiration=1,IF($A334&lt;VLOOKUP(X$5,NFI,5,0),1,0)*Data_NFI_t[[#This Row],[Sewing Kit]],0)</f>
        <v>0</v>
      </c>
      <c r="AQ334" s="734">
        <f>IF(NFI_Expiration=1,IF($A334&lt;VLOOKUP(X$5,NFI,5,0),1,0)*Data_NFI_t[[#This Row],[Solar Lantern]],0)</f>
        <v>0</v>
      </c>
      <c r="AR334" s="105" t="str">
        <f ca="1">IFERROR(OFFSET(Camp_List[P_Code],MATCH(Data_NFI_t[[#This Row],[Camp Name]],Camp_List[Camp Name],0)-1,0,1,1),"")</f>
        <v/>
      </c>
      <c r="AS334" s="421" t="str">
        <f ca="1">IFERROR(OFFSET(Camp_List[Status],MATCH(Data_NFI_t[[#This Row],[Camp Name]],Camp_List[Camp Name],0)-1,0,1,1),"")</f>
        <v/>
      </c>
      <c r="AT334" s="105"/>
    </row>
    <row r="335" spans="1:46" s="78" customFormat="1" ht="19.5" customHeight="1" x14ac:dyDescent="0.25">
      <c r="A335" s="208">
        <f t="shared" si="5"/>
        <v>61.43333333333333</v>
      </c>
      <c r="B335" s="208">
        <f>YEAR(Data_NFI_t[[#This Row],[Distribution Date]])</f>
        <v>2013</v>
      </c>
      <c r="C335" s="744">
        <v>41347</v>
      </c>
      <c r="D335" s="402" t="s">
        <v>270</v>
      </c>
      <c r="E335" s="401"/>
      <c r="F335" s="402" t="s">
        <v>7</v>
      </c>
      <c r="G335" s="670" t="s">
        <v>18</v>
      </c>
      <c r="H335" s="670" t="s">
        <v>103</v>
      </c>
      <c r="I335" s="670">
        <v>0</v>
      </c>
      <c r="J335" s="670"/>
      <c r="K335" s="670"/>
      <c r="L335" s="42"/>
      <c r="M335" s="42">
        <v>158</v>
      </c>
      <c r="N335" s="42">
        <v>292</v>
      </c>
      <c r="O335" s="42">
        <v>79</v>
      </c>
      <c r="P335" s="42">
        <v>0</v>
      </c>
      <c r="Q335" s="42"/>
      <c r="R335" s="42"/>
      <c r="S335" s="42"/>
      <c r="T335" s="419"/>
      <c r="U335" s="42"/>
      <c r="V335" s="42"/>
      <c r="W335" s="42"/>
      <c r="X335" s="42"/>
      <c r="Y335" s="42"/>
      <c r="Z335" s="42"/>
      <c r="AA335" s="42"/>
      <c r="AB335" s="42"/>
      <c r="AC335" s="105">
        <f>IF(NFI_Expiration=1,IF($A335&lt;VLOOKUP(I$5,NFI,5,0),1,0)*Data_NFI_t[[#This Row],[Hygiene Kit]],0)</f>
        <v>0</v>
      </c>
      <c r="AD335" s="105">
        <f>IF(NFI_Expiration=1,IF($A335&lt;VLOOKUP(L$5,NFI,5,0),1,0)*Data_NFI_t[[#This Row],[NFI Core Kit]],0)</f>
        <v>0</v>
      </c>
      <c r="AE335" s="86">
        <f>IF(NFI_Expiration=1,IF($A335&lt;VLOOKUP(M$5,NFI,5,0),1,0)*Data_NFI_t[[#This Row],[Sanitary Kit]],0)</f>
        <v>0</v>
      </c>
      <c r="AF335" s="86">
        <f>IF(NFI_Expiration=1,IF($A335&lt;VLOOKUP(N$5,NFI,5,0),1,0)*Data_NFI_t[[#This Row],[Mosquito net]],0)</f>
        <v>0</v>
      </c>
      <c r="AG335" s="86">
        <f>IF(NFI_Expiration=1,IF($A335&lt;VLOOKUP(O$5,NFI,5,0),1,0)*Data_NFI_t[[#This Row],[Tarpaulin]],0)</f>
        <v>0</v>
      </c>
      <c r="AH335" s="86">
        <f>IF(NFI_Expiration=1,IF($A335&lt;VLOOKUP(P$5,NFI,5,0),1,0)*Data_NFI_t[[#This Row],[Blanket]],0)</f>
        <v>0</v>
      </c>
      <c r="AI335" s="86">
        <f>IF(NFI_Expiration=1,IF($A335&lt;VLOOKUP(Q$5,NFI,5,0),1,0)*Data_NFI_t[[#This Row],[Kitchen Set]],0)</f>
        <v>0</v>
      </c>
      <c r="AJ335" s="86">
        <f>IF(NFI_Expiration=1,IF($A335&lt;VLOOKUP(R$5,NFI,5,0),1,0)*Data_NFI_t[[#This Row],[Complementary Kit]],0)</f>
        <v>0</v>
      </c>
      <c r="AK335" s="86">
        <f>IF(NFI_Expiration=1,IF($A335&lt;VLOOKUP(S$5,NFI,5,0),1,0)*Data_NFI_t[[#This Row],[Plastic Bucket]],0)</f>
        <v>0</v>
      </c>
      <c r="AL335" s="86">
        <f>IF(NFI_Expiration=1,IF($A335&lt;VLOOKUP(T$5,NFI,5,0),1,0)*Data_NFI_t[[#This Row],[Jerry Can]],0)</f>
        <v>0</v>
      </c>
      <c r="AM335" s="105">
        <f>IF(NFI_Expiration=1,IF($A335&lt;VLOOKUP(U$5,NFI,5,0),1,0)*Data_NFI_t[[#This Row],[Plastic Mat]],0)*IF(Data_NFI_t[[#This Row],[Distribution Date]]&gt;"01-06-2015",1,2.5)</f>
        <v>0</v>
      </c>
      <c r="AN335" s="734">
        <f>IF(NFI_Expiration=1,IF($A335&lt;VLOOKUP(V$5,NFI,5,0),1,0)*Data_NFI_t[[#This Row],[Adult Clothes]],0)</f>
        <v>0</v>
      </c>
      <c r="AO335" s="105">
        <f>IF(NFI_Expiration=1,IF($A335&lt;VLOOKUP(W$5,NFI,5,0),1,0)*Data_NFI_t[[#This Row],[Children Clothes]],0)</f>
        <v>0</v>
      </c>
      <c r="AP335" s="105">
        <f>IF(NFI_Expiration=1,IF($A335&lt;VLOOKUP(X$5,NFI,5,0),1,0)*Data_NFI_t[[#This Row],[Sewing Kit]],0)</f>
        <v>0</v>
      </c>
      <c r="AQ335" s="734">
        <f>IF(NFI_Expiration=1,IF($A335&lt;VLOOKUP(X$5,NFI,5,0),1,0)*Data_NFI_t[[#This Row],[Solar Lantern]],0)</f>
        <v>0</v>
      </c>
      <c r="AR335" s="105" t="str">
        <f ca="1">IFERROR(OFFSET(Camp_List[P_Code],MATCH(Data_NFI_t[[#This Row],[Camp Name]],Camp_List[Camp Name],0)-1,0,1,1),"")</f>
        <v/>
      </c>
      <c r="AS335" s="421" t="str">
        <f ca="1">IFERROR(OFFSET(Camp_List[Status],MATCH(Data_NFI_t[[#This Row],[Camp Name]],Camp_List[Camp Name],0)-1,0,1,1),"")</f>
        <v/>
      </c>
      <c r="AT335" s="105"/>
    </row>
    <row r="336" spans="1:46" s="78" customFormat="1" ht="19.5" customHeight="1" x14ac:dyDescent="0.25">
      <c r="A336" s="208">
        <f t="shared" si="5"/>
        <v>61.43333333333333</v>
      </c>
      <c r="B336" s="208">
        <f>YEAR(Data_NFI_t[[#This Row],[Distribution Date]])</f>
        <v>2013</v>
      </c>
      <c r="C336" s="744">
        <v>41347</v>
      </c>
      <c r="D336" s="402" t="s">
        <v>273</v>
      </c>
      <c r="E336" s="401" t="s">
        <v>273</v>
      </c>
      <c r="F336" s="402" t="s">
        <v>7</v>
      </c>
      <c r="G336" s="670" t="s">
        <v>17</v>
      </c>
      <c r="H336" s="670" t="s">
        <v>65</v>
      </c>
      <c r="I336" s="670">
        <v>2907</v>
      </c>
      <c r="J336" s="670"/>
      <c r="K336" s="670"/>
      <c r="L336" s="42"/>
      <c r="M336" s="42"/>
      <c r="N336" s="42"/>
      <c r="O336" s="42"/>
      <c r="P336" s="42"/>
      <c r="Q336" s="42"/>
      <c r="R336" s="42"/>
      <c r="S336" s="42"/>
      <c r="T336" s="419"/>
      <c r="U336" s="42"/>
      <c r="V336" s="42"/>
      <c r="W336" s="42"/>
      <c r="X336" s="42"/>
      <c r="Y336" s="42"/>
      <c r="Z336" s="42"/>
      <c r="AA336" s="42"/>
      <c r="AB336" s="42"/>
      <c r="AC336" s="105">
        <f>IF(NFI_Expiration=1,IF($A336&lt;VLOOKUP(I$5,NFI,5,0),1,0)*Data_NFI_t[[#This Row],[Hygiene Kit]],0)</f>
        <v>0</v>
      </c>
      <c r="AD336" s="105">
        <f>IF(NFI_Expiration=1,IF($A336&lt;VLOOKUP(L$5,NFI,5,0),1,0)*Data_NFI_t[[#This Row],[NFI Core Kit]],0)</f>
        <v>0</v>
      </c>
      <c r="AE336" s="86">
        <f>IF(NFI_Expiration=1,IF($A336&lt;VLOOKUP(M$5,NFI,5,0),1,0)*Data_NFI_t[[#This Row],[Sanitary Kit]],0)</f>
        <v>0</v>
      </c>
      <c r="AF336" s="86">
        <f>IF(NFI_Expiration=1,IF($A336&lt;VLOOKUP(N$5,NFI,5,0),1,0)*Data_NFI_t[[#This Row],[Mosquito net]],0)</f>
        <v>0</v>
      </c>
      <c r="AG336" s="86">
        <f>IF(NFI_Expiration=1,IF($A336&lt;VLOOKUP(O$5,NFI,5,0),1,0)*Data_NFI_t[[#This Row],[Tarpaulin]],0)</f>
        <v>0</v>
      </c>
      <c r="AH336" s="86">
        <f>IF(NFI_Expiration=1,IF($A336&lt;VLOOKUP(P$5,NFI,5,0),1,0)*Data_NFI_t[[#This Row],[Blanket]],0)</f>
        <v>0</v>
      </c>
      <c r="AI336" s="86">
        <f>IF(NFI_Expiration=1,IF($A336&lt;VLOOKUP(Q$5,NFI,5,0),1,0)*Data_NFI_t[[#This Row],[Kitchen Set]],0)</f>
        <v>0</v>
      </c>
      <c r="AJ336" s="86">
        <f>IF(NFI_Expiration=1,IF($A336&lt;VLOOKUP(R$5,NFI,5,0),1,0)*Data_NFI_t[[#This Row],[Complementary Kit]],0)</f>
        <v>0</v>
      </c>
      <c r="AK336" s="86">
        <f>IF(NFI_Expiration=1,IF($A336&lt;VLOOKUP(S$5,NFI,5,0),1,0)*Data_NFI_t[[#This Row],[Plastic Bucket]],0)</f>
        <v>0</v>
      </c>
      <c r="AL336" s="86">
        <f>IF(NFI_Expiration=1,IF($A336&lt;VLOOKUP(T$5,NFI,5,0),1,0)*Data_NFI_t[[#This Row],[Jerry Can]],0)</f>
        <v>0</v>
      </c>
      <c r="AM336" s="105">
        <f>IF(NFI_Expiration=1,IF($A336&lt;VLOOKUP(U$5,NFI,5,0),1,0)*Data_NFI_t[[#This Row],[Plastic Mat]],0)*IF(Data_NFI_t[[#This Row],[Distribution Date]]&gt;"01-06-2015",1,2.5)</f>
        <v>0</v>
      </c>
      <c r="AN336" s="734">
        <f>IF(NFI_Expiration=1,IF($A336&lt;VLOOKUP(V$5,NFI,5,0),1,0)*Data_NFI_t[[#This Row],[Adult Clothes]],0)</f>
        <v>0</v>
      </c>
      <c r="AO336" s="105">
        <f>IF(NFI_Expiration=1,IF($A336&lt;VLOOKUP(W$5,NFI,5,0),1,0)*Data_NFI_t[[#This Row],[Children Clothes]],0)</f>
        <v>0</v>
      </c>
      <c r="AP336" s="105">
        <f>IF(NFI_Expiration=1,IF($A336&lt;VLOOKUP(X$5,NFI,5,0),1,0)*Data_NFI_t[[#This Row],[Sewing Kit]],0)</f>
        <v>0</v>
      </c>
      <c r="AQ336" s="734">
        <f>IF(NFI_Expiration=1,IF($A336&lt;VLOOKUP(X$5,NFI,5,0),1,0)*Data_NFI_t[[#This Row],[Solar Lantern]],0)</f>
        <v>0</v>
      </c>
      <c r="AR336" s="105" t="str">
        <f ca="1">IFERROR(OFFSET(Camp_List[P_Code],MATCH(Data_NFI_t[[#This Row],[Camp Name]],Camp_List[Camp Name],0)-1,0,1,1),"")</f>
        <v>MMR012CMP045</v>
      </c>
      <c r="AS336" s="421" t="str">
        <f ca="1">IFERROR(OFFSET(Camp_List[Status],MATCH(Data_NFI_t[[#This Row],[Camp Name]],Camp_List[Camp Name],0)-1,0,1,1),"")</f>
        <v>Open</v>
      </c>
      <c r="AT336" s="105"/>
    </row>
    <row r="337" spans="1:46" s="78" customFormat="1" ht="19.5" customHeight="1" x14ac:dyDescent="0.25">
      <c r="A337" s="208">
        <f t="shared" si="5"/>
        <v>61.733333333333334</v>
      </c>
      <c r="B337" s="208">
        <f>YEAR(Data_NFI_t[[#This Row],[Distribution Date]])</f>
        <v>2013</v>
      </c>
      <c r="C337" s="744">
        <v>41338</v>
      </c>
      <c r="D337" s="402" t="s">
        <v>270</v>
      </c>
      <c r="E337" s="401"/>
      <c r="F337" s="402" t="s">
        <v>7</v>
      </c>
      <c r="G337" s="670" t="s">
        <v>18</v>
      </c>
      <c r="H337" s="670" t="s">
        <v>102</v>
      </c>
      <c r="I337" s="670">
        <v>0</v>
      </c>
      <c r="J337" s="670"/>
      <c r="K337" s="670"/>
      <c r="L337" s="42">
        <v>0</v>
      </c>
      <c r="M337" s="42">
        <v>0</v>
      </c>
      <c r="N337" s="42">
        <v>34</v>
      </c>
      <c r="O337" s="42">
        <v>0</v>
      </c>
      <c r="P337" s="42">
        <v>0</v>
      </c>
      <c r="Q337" s="42"/>
      <c r="R337" s="42"/>
      <c r="S337" s="42"/>
      <c r="T337" s="419"/>
      <c r="U337" s="42"/>
      <c r="V337" s="42"/>
      <c r="W337" s="42"/>
      <c r="X337" s="42"/>
      <c r="Y337" s="42"/>
      <c r="Z337" s="42"/>
      <c r="AA337" s="42"/>
      <c r="AB337" s="42"/>
      <c r="AC337" s="105">
        <f>IF(NFI_Expiration=1,IF($A337&lt;VLOOKUP(I$5,NFI,5,0),1,0)*Data_NFI_t[[#This Row],[Hygiene Kit]],0)</f>
        <v>0</v>
      </c>
      <c r="AD337" s="105">
        <f>IF(NFI_Expiration=1,IF($A337&lt;VLOOKUP(L$5,NFI,5,0),1,0)*Data_NFI_t[[#This Row],[NFI Core Kit]],0)</f>
        <v>0</v>
      </c>
      <c r="AE337" s="86">
        <f>IF(NFI_Expiration=1,IF($A337&lt;VLOOKUP(M$5,NFI,5,0),1,0)*Data_NFI_t[[#This Row],[Sanitary Kit]],0)</f>
        <v>0</v>
      </c>
      <c r="AF337" s="86">
        <f>IF(NFI_Expiration=1,IF($A337&lt;VLOOKUP(N$5,NFI,5,0),1,0)*Data_NFI_t[[#This Row],[Mosquito net]],0)</f>
        <v>0</v>
      </c>
      <c r="AG337" s="86">
        <f>IF(NFI_Expiration=1,IF($A337&lt;VLOOKUP(O$5,NFI,5,0),1,0)*Data_NFI_t[[#This Row],[Tarpaulin]],0)</f>
        <v>0</v>
      </c>
      <c r="AH337" s="86">
        <f>IF(NFI_Expiration=1,IF($A337&lt;VLOOKUP(P$5,NFI,5,0),1,0)*Data_NFI_t[[#This Row],[Blanket]],0)</f>
        <v>0</v>
      </c>
      <c r="AI337" s="86">
        <f>IF(NFI_Expiration=1,IF($A337&lt;VLOOKUP(Q$5,NFI,5,0),1,0)*Data_NFI_t[[#This Row],[Kitchen Set]],0)</f>
        <v>0</v>
      </c>
      <c r="AJ337" s="86">
        <f>IF(NFI_Expiration=1,IF($A337&lt;VLOOKUP(R$5,NFI,5,0),1,0)*Data_NFI_t[[#This Row],[Complementary Kit]],0)</f>
        <v>0</v>
      </c>
      <c r="AK337" s="86">
        <f>IF(NFI_Expiration=1,IF($A337&lt;VLOOKUP(S$5,NFI,5,0),1,0)*Data_NFI_t[[#This Row],[Plastic Bucket]],0)</f>
        <v>0</v>
      </c>
      <c r="AL337" s="86">
        <f>IF(NFI_Expiration=1,IF($A337&lt;VLOOKUP(T$5,NFI,5,0),1,0)*Data_NFI_t[[#This Row],[Jerry Can]],0)</f>
        <v>0</v>
      </c>
      <c r="AM337" s="105">
        <f>IF(NFI_Expiration=1,IF($A337&lt;VLOOKUP(U$5,NFI,5,0),1,0)*Data_NFI_t[[#This Row],[Plastic Mat]],0)*IF(Data_NFI_t[[#This Row],[Distribution Date]]&gt;"01-06-2015",1,2.5)</f>
        <v>0</v>
      </c>
      <c r="AN337" s="734">
        <f>IF(NFI_Expiration=1,IF($A337&lt;VLOOKUP(V$5,NFI,5,0),1,0)*Data_NFI_t[[#This Row],[Adult Clothes]],0)</f>
        <v>0</v>
      </c>
      <c r="AO337" s="105">
        <f>IF(NFI_Expiration=1,IF($A337&lt;VLOOKUP(W$5,NFI,5,0),1,0)*Data_NFI_t[[#This Row],[Children Clothes]],0)</f>
        <v>0</v>
      </c>
      <c r="AP337" s="105">
        <f>IF(NFI_Expiration=1,IF($A337&lt;VLOOKUP(X$5,NFI,5,0),1,0)*Data_NFI_t[[#This Row],[Sewing Kit]],0)</f>
        <v>0</v>
      </c>
      <c r="AQ337" s="734">
        <f>IF(NFI_Expiration=1,IF($A337&lt;VLOOKUP(X$5,NFI,5,0),1,0)*Data_NFI_t[[#This Row],[Solar Lantern]],0)</f>
        <v>0</v>
      </c>
      <c r="AR337" s="105" t="str">
        <f ca="1">IFERROR(OFFSET(Camp_List[P_Code],MATCH(Data_NFI_t[[#This Row],[Camp Name]],Camp_List[Camp Name],0)-1,0,1,1),"")</f>
        <v/>
      </c>
      <c r="AS337" s="421" t="str">
        <f ca="1">IFERROR(OFFSET(Camp_List[Status],MATCH(Data_NFI_t[[#This Row],[Camp Name]],Camp_List[Camp Name],0)-1,0,1,1),"")</f>
        <v/>
      </c>
      <c r="AT337" s="105"/>
    </row>
    <row r="338" spans="1:46" s="78" customFormat="1" ht="19.5" customHeight="1" x14ac:dyDescent="0.25">
      <c r="A338" s="208">
        <f t="shared" si="5"/>
        <v>61.8</v>
      </c>
      <c r="B338" s="208">
        <f>YEAR(Data_NFI_t[[#This Row],[Distribution Date]])</f>
        <v>2013</v>
      </c>
      <c r="C338" s="744">
        <v>41336</v>
      </c>
      <c r="D338" s="402" t="s">
        <v>270</v>
      </c>
      <c r="E338" s="401"/>
      <c r="F338" s="402" t="s">
        <v>7</v>
      </c>
      <c r="G338" s="670" t="s">
        <v>11</v>
      </c>
      <c r="H338" s="670" t="s">
        <v>29</v>
      </c>
      <c r="I338" s="670"/>
      <c r="J338" s="670"/>
      <c r="K338" s="670"/>
      <c r="L338" s="42"/>
      <c r="M338" s="42"/>
      <c r="N338" s="42"/>
      <c r="O338" s="42"/>
      <c r="P338" s="42">
        <v>33</v>
      </c>
      <c r="Q338" s="42"/>
      <c r="R338" s="42"/>
      <c r="S338" s="42"/>
      <c r="T338" s="419"/>
      <c r="U338" s="42"/>
      <c r="V338" s="42"/>
      <c r="W338" s="42"/>
      <c r="X338" s="42"/>
      <c r="Y338" s="42"/>
      <c r="Z338" s="42"/>
      <c r="AA338" s="42"/>
      <c r="AB338" s="42"/>
      <c r="AC338" s="105">
        <f>IF(NFI_Expiration=1,IF($A338&lt;VLOOKUP(I$5,NFI,5,0),1,0)*Data_NFI_t[[#This Row],[Hygiene Kit]],0)</f>
        <v>0</v>
      </c>
      <c r="AD338" s="105">
        <f>IF(NFI_Expiration=1,IF($A338&lt;VLOOKUP(L$5,NFI,5,0),1,0)*Data_NFI_t[[#This Row],[NFI Core Kit]],0)</f>
        <v>0</v>
      </c>
      <c r="AE338" s="86">
        <f>IF(NFI_Expiration=1,IF($A338&lt;VLOOKUP(M$5,NFI,5,0),1,0)*Data_NFI_t[[#This Row],[Sanitary Kit]],0)</f>
        <v>0</v>
      </c>
      <c r="AF338" s="86">
        <f>IF(NFI_Expiration=1,IF($A338&lt;VLOOKUP(N$5,NFI,5,0),1,0)*Data_NFI_t[[#This Row],[Mosquito net]],0)</f>
        <v>0</v>
      </c>
      <c r="AG338" s="86">
        <f>IF(NFI_Expiration=1,IF($A338&lt;VLOOKUP(O$5,NFI,5,0),1,0)*Data_NFI_t[[#This Row],[Tarpaulin]],0)</f>
        <v>0</v>
      </c>
      <c r="AH338" s="86">
        <f>IF(NFI_Expiration=1,IF($A338&lt;VLOOKUP(P$5,NFI,5,0),1,0)*Data_NFI_t[[#This Row],[Blanket]],0)</f>
        <v>0</v>
      </c>
      <c r="AI338" s="86">
        <f>IF(NFI_Expiration=1,IF($A338&lt;VLOOKUP(Q$5,NFI,5,0),1,0)*Data_NFI_t[[#This Row],[Kitchen Set]],0)</f>
        <v>0</v>
      </c>
      <c r="AJ338" s="86">
        <f>IF(NFI_Expiration=1,IF($A338&lt;VLOOKUP(R$5,NFI,5,0),1,0)*Data_NFI_t[[#This Row],[Complementary Kit]],0)</f>
        <v>0</v>
      </c>
      <c r="AK338" s="86">
        <f>IF(NFI_Expiration=1,IF($A338&lt;VLOOKUP(S$5,NFI,5,0),1,0)*Data_NFI_t[[#This Row],[Plastic Bucket]],0)</f>
        <v>0</v>
      </c>
      <c r="AL338" s="86">
        <f>IF(NFI_Expiration=1,IF($A338&lt;VLOOKUP(T$5,NFI,5,0),1,0)*Data_NFI_t[[#This Row],[Jerry Can]],0)</f>
        <v>0</v>
      </c>
      <c r="AM338" s="105">
        <f>IF(NFI_Expiration=1,IF($A338&lt;VLOOKUP(U$5,NFI,5,0),1,0)*Data_NFI_t[[#This Row],[Plastic Mat]],0)*IF(Data_NFI_t[[#This Row],[Distribution Date]]&gt;"01-06-2015",1,2.5)</f>
        <v>0</v>
      </c>
      <c r="AN338" s="734">
        <f>IF(NFI_Expiration=1,IF($A338&lt;VLOOKUP(V$5,NFI,5,0),1,0)*Data_NFI_t[[#This Row],[Adult Clothes]],0)</f>
        <v>0</v>
      </c>
      <c r="AO338" s="105">
        <f>IF(NFI_Expiration=1,IF($A338&lt;VLOOKUP(W$5,NFI,5,0),1,0)*Data_NFI_t[[#This Row],[Children Clothes]],0)</f>
        <v>0</v>
      </c>
      <c r="AP338" s="105">
        <f>IF(NFI_Expiration=1,IF($A338&lt;VLOOKUP(X$5,NFI,5,0),1,0)*Data_NFI_t[[#This Row],[Sewing Kit]],0)</f>
        <v>0</v>
      </c>
      <c r="AQ338" s="734">
        <f>IF(NFI_Expiration=1,IF($A338&lt;VLOOKUP(X$5,NFI,5,0),1,0)*Data_NFI_t[[#This Row],[Solar Lantern]],0)</f>
        <v>0</v>
      </c>
      <c r="AR338" s="105" t="str">
        <f ca="1">IFERROR(OFFSET(Camp_List[P_Code],MATCH(Data_NFI_t[[#This Row],[Camp Name]],Camp_List[Camp Name],0)-1,0,1,1),"")</f>
        <v>MMR012CMP007</v>
      </c>
      <c r="AS338" s="421" t="str">
        <f ca="1">IFERROR(OFFSET(Camp_List[Status],MATCH(Data_NFI_t[[#This Row],[Camp Name]],Camp_List[Camp Name],0)-1,0,1,1),"")</f>
        <v>Close</v>
      </c>
      <c r="AT338" s="105"/>
    </row>
    <row r="339" spans="1:46" s="78" customFormat="1" ht="19.5" customHeight="1" x14ac:dyDescent="0.25">
      <c r="A339" s="208">
        <f t="shared" si="5"/>
        <v>61.866666666666667</v>
      </c>
      <c r="B339" s="208">
        <f>YEAR(Data_NFI_t[[#This Row],[Distribution Date]])</f>
        <v>2013</v>
      </c>
      <c r="C339" s="744">
        <v>41334</v>
      </c>
      <c r="D339" s="402" t="s">
        <v>270</v>
      </c>
      <c r="E339" s="401"/>
      <c r="F339" s="402" t="s">
        <v>7</v>
      </c>
      <c r="G339" s="670" t="s">
        <v>18</v>
      </c>
      <c r="H339" s="670" t="s">
        <v>105</v>
      </c>
      <c r="I339" s="670">
        <v>0</v>
      </c>
      <c r="J339" s="670"/>
      <c r="K339" s="670"/>
      <c r="L339" s="42">
        <v>51</v>
      </c>
      <c r="M339" s="42"/>
      <c r="N339" s="42">
        <v>102</v>
      </c>
      <c r="O339" s="42">
        <v>51</v>
      </c>
      <c r="P339" s="42">
        <v>102</v>
      </c>
      <c r="Q339" s="42">
        <v>51</v>
      </c>
      <c r="R339" s="42">
        <v>51</v>
      </c>
      <c r="S339" s="42">
        <v>51</v>
      </c>
      <c r="T339" s="419"/>
      <c r="U339" s="42">
        <v>102</v>
      </c>
      <c r="V339" s="42"/>
      <c r="W339" s="42"/>
      <c r="X339" s="42"/>
      <c r="Y339" s="42"/>
      <c r="Z339" s="42"/>
      <c r="AA339" s="42"/>
      <c r="AB339" s="42"/>
      <c r="AC339" s="105">
        <f>IF(NFI_Expiration=1,IF($A339&lt;VLOOKUP(I$5,NFI,5,0),1,0)*Data_NFI_t[[#This Row],[Hygiene Kit]],0)</f>
        <v>0</v>
      </c>
      <c r="AD339" s="105">
        <f>IF(NFI_Expiration=1,IF($A339&lt;VLOOKUP(L$5,NFI,5,0),1,0)*Data_NFI_t[[#This Row],[NFI Core Kit]],0)</f>
        <v>0</v>
      </c>
      <c r="AE339" s="86">
        <f>IF(NFI_Expiration=1,IF($A339&lt;VLOOKUP(M$5,NFI,5,0),1,0)*Data_NFI_t[[#This Row],[Sanitary Kit]],0)</f>
        <v>0</v>
      </c>
      <c r="AF339" s="86">
        <f>IF(NFI_Expiration=1,IF($A339&lt;VLOOKUP(N$5,NFI,5,0),1,0)*Data_NFI_t[[#This Row],[Mosquito net]],0)</f>
        <v>0</v>
      </c>
      <c r="AG339" s="86">
        <f>IF(NFI_Expiration=1,IF($A339&lt;VLOOKUP(O$5,NFI,5,0),1,0)*Data_NFI_t[[#This Row],[Tarpaulin]],0)</f>
        <v>0</v>
      </c>
      <c r="AH339" s="86">
        <f>IF(NFI_Expiration=1,IF($A339&lt;VLOOKUP(P$5,NFI,5,0),1,0)*Data_NFI_t[[#This Row],[Blanket]],0)</f>
        <v>0</v>
      </c>
      <c r="AI339" s="86">
        <f>IF(NFI_Expiration=1,IF($A339&lt;VLOOKUP(Q$5,NFI,5,0),1,0)*Data_NFI_t[[#This Row],[Kitchen Set]],0)</f>
        <v>0</v>
      </c>
      <c r="AJ339" s="86">
        <f>IF(NFI_Expiration=1,IF($A339&lt;VLOOKUP(R$5,NFI,5,0),1,0)*Data_NFI_t[[#This Row],[Complementary Kit]],0)</f>
        <v>0</v>
      </c>
      <c r="AK339" s="86">
        <f>IF(NFI_Expiration=1,IF($A339&lt;VLOOKUP(S$5,NFI,5,0),1,0)*Data_NFI_t[[#This Row],[Plastic Bucket]],0)</f>
        <v>0</v>
      </c>
      <c r="AL339" s="86">
        <f>IF(NFI_Expiration=1,IF($A339&lt;VLOOKUP(T$5,NFI,5,0),1,0)*Data_NFI_t[[#This Row],[Jerry Can]],0)</f>
        <v>0</v>
      </c>
      <c r="AM339" s="105">
        <f>IF(NFI_Expiration=1,IF($A339&lt;VLOOKUP(U$5,NFI,5,0),1,0)*Data_NFI_t[[#This Row],[Plastic Mat]],0)*IF(Data_NFI_t[[#This Row],[Distribution Date]]&gt;"01-06-2015",1,2.5)</f>
        <v>0</v>
      </c>
      <c r="AN339" s="734">
        <f>IF(NFI_Expiration=1,IF($A339&lt;VLOOKUP(V$5,NFI,5,0),1,0)*Data_NFI_t[[#This Row],[Adult Clothes]],0)</f>
        <v>0</v>
      </c>
      <c r="AO339" s="105">
        <f>IF(NFI_Expiration=1,IF($A339&lt;VLOOKUP(W$5,NFI,5,0),1,0)*Data_NFI_t[[#This Row],[Children Clothes]],0)</f>
        <v>0</v>
      </c>
      <c r="AP339" s="105">
        <f>IF(NFI_Expiration=1,IF($A339&lt;VLOOKUP(X$5,NFI,5,0),1,0)*Data_NFI_t[[#This Row],[Sewing Kit]],0)</f>
        <v>0</v>
      </c>
      <c r="AQ339" s="734">
        <f>IF(NFI_Expiration=1,IF($A339&lt;VLOOKUP(X$5,NFI,5,0),1,0)*Data_NFI_t[[#This Row],[Solar Lantern]],0)</f>
        <v>0</v>
      </c>
      <c r="AR339" s="105" t="str">
        <f ca="1">IFERROR(OFFSET(Camp_List[P_Code],MATCH(Data_NFI_t[[#This Row],[Camp Name]],Camp_List[Camp Name],0)-1,0,1,1),"")</f>
        <v/>
      </c>
      <c r="AS339" s="421" t="str">
        <f ca="1">IFERROR(OFFSET(Camp_List[Status],MATCH(Data_NFI_t[[#This Row],[Camp Name]],Camp_List[Camp Name],0)-1,0,1,1),"")</f>
        <v/>
      </c>
      <c r="AT339" s="105"/>
    </row>
    <row r="340" spans="1:46" s="78" customFormat="1" ht="19.5" customHeight="1" x14ac:dyDescent="0.25">
      <c r="A340" s="208">
        <f t="shared" si="5"/>
        <v>61.866666666666667</v>
      </c>
      <c r="B340" s="208">
        <f>YEAR(Data_NFI_t[[#This Row],[Distribution Date]])</f>
        <v>2013</v>
      </c>
      <c r="C340" s="744">
        <v>41334</v>
      </c>
      <c r="D340" s="402" t="s">
        <v>270</v>
      </c>
      <c r="E340" s="401"/>
      <c r="F340" s="402" t="s">
        <v>7</v>
      </c>
      <c r="G340" s="670" t="s">
        <v>18</v>
      </c>
      <c r="H340" s="670" t="s">
        <v>105</v>
      </c>
      <c r="I340" s="670">
        <v>0</v>
      </c>
      <c r="J340" s="670"/>
      <c r="K340" s="670"/>
      <c r="L340" s="42"/>
      <c r="M340" s="42">
        <v>102</v>
      </c>
      <c r="N340" s="42">
        <v>156</v>
      </c>
      <c r="O340" s="42">
        <v>51</v>
      </c>
      <c r="P340" s="42">
        <v>0</v>
      </c>
      <c r="Q340" s="42"/>
      <c r="R340" s="42"/>
      <c r="S340" s="42"/>
      <c r="T340" s="419"/>
      <c r="U340" s="42"/>
      <c r="V340" s="42"/>
      <c r="W340" s="42"/>
      <c r="X340" s="42"/>
      <c r="Y340" s="42"/>
      <c r="Z340" s="42"/>
      <c r="AA340" s="42"/>
      <c r="AB340" s="42"/>
      <c r="AC340" s="105">
        <f>IF(NFI_Expiration=1,IF($A340&lt;VLOOKUP(I$5,NFI,5,0),1,0)*Data_NFI_t[[#This Row],[Hygiene Kit]],0)</f>
        <v>0</v>
      </c>
      <c r="AD340" s="105">
        <f>IF(NFI_Expiration=1,IF($A340&lt;VLOOKUP(L$5,NFI,5,0),1,0)*Data_NFI_t[[#This Row],[NFI Core Kit]],0)</f>
        <v>0</v>
      </c>
      <c r="AE340" s="86">
        <f>IF(NFI_Expiration=1,IF($A340&lt;VLOOKUP(M$5,NFI,5,0),1,0)*Data_NFI_t[[#This Row],[Sanitary Kit]],0)</f>
        <v>0</v>
      </c>
      <c r="AF340" s="86">
        <f>IF(NFI_Expiration=1,IF($A340&lt;VLOOKUP(N$5,NFI,5,0),1,0)*Data_NFI_t[[#This Row],[Mosquito net]],0)</f>
        <v>0</v>
      </c>
      <c r="AG340" s="86">
        <f>IF(NFI_Expiration=1,IF($A340&lt;VLOOKUP(O$5,NFI,5,0),1,0)*Data_NFI_t[[#This Row],[Tarpaulin]],0)</f>
        <v>0</v>
      </c>
      <c r="AH340" s="86">
        <f>IF(NFI_Expiration=1,IF($A340&lt;VLOOKUP(P$5,NFI,5,0),1,0)*Data_NFI_t[[#This Row],[Blanket]],0)</f>
        <v>0</v>
      </c>
      <c r="AI340" s="86">
        <f>IF(NFI_Expiration=1,IF($A340&lt;VLOOKUP(Q$5,NFI,5,0),1,0)*Data_NFI_t[[#This Row],[Kitchen Set]],0)</f>
        <v>0</v>
      </c>
      <c r="AJ340" s="86">
        <f>IF(NFI_Expiration=1,IF($A340&lt;VLOOKUP(R$5,NFI,5,0),1,0)*Data_NFI_t[[#This Row],[Complementary Kit]],0)</f>
        <v>0</v>
      </c>
      <c r="AK340" s="86">
        <f>IF(NFI_Expiration=1,IF($A340&lt;VLOOKUP(S$5,NFI,5,0),1,0)*Data_NFI_t[[#This Row],[Plastic Bucket]],0)</f>
        <v>0</v>
      </c>
      <c r="AL340" s="86">
        <f>IF(NFI_Expiration=1,IF($A340&lt;VLOOKUP(T$5,NFI,5,0),1,0)*Data_NFI_t[[#This Row],[Jerry Can]],0)</f>
        <v>0</v>
      </c>
      <c r="AM340" s="105">
        <f>IF(NFI_Expiration=1,IF($A340&lt;VLOOKUP(U$5,NFI,5,0),1,0)*Data_NFI_t[[#This Row],[Plastic Mat]],0)*IF(Data_NFI_t[[#This Row],[Distribution Date]]&gt;"01-06-2015",1,2.5)</f>
        <v>0</v>
      </c>
      <c r="AN340" s="734">
        <f>IF(NFI_Expiration=1,IF($A340&lt;VLOOKUP(V$5,NFI,5,0),1,0)*Data_NFI_t[[#This Row],[Adult Clothes]],0)</f>
        <v>0</v>
      </c>
      <c r="AO340" s="105">
        <f>IF(NFI_Expiration=1,IF($A340&lt;VLOOKUP(W$5,NFI,5,0),1,0)*Data_NFI_t[[#This Row],[Children Clothes]],0)</f>
        <v>0</v>
      </c>
      <c r="AP340" s="105">
        <f>IF(NFI_Expiration=1,IF($A340&lt;VLOOKUP(X$5,NFI,5,0),1,0)*Data_NFI_t[[#This Row],[Sewing Kit]],0)</f>
        <v>0</v>
      </c>
      <c r="AQ340" s="734">
        <f>IF(NFI_Expiration=1,IF($A340&lt;VLOOKUP(X$5,NFI,5,0),1,0)*Data_NFI_t[[#This Row],[Solar Lantern]],0)</f>
        <v>0</v>
      </c>
      <c r="AR340" s="105" t="str">
        <f ca="1">IFERROR(OFFSET(Camp_List[P_Code],MATCH(Data_NFI_t[[#This Row],[Camp Name]],Camp_List[Camp Name],0)-1,0,1,1),"")</f>
        <v/>
      </c>
      <c r="AS340" s="421" t="str">
        <f ca="1">IFERROR(OFFSET(Camp_List[Status],MATCH(Data_NFI_t[[#This Row],[Camp Name]],Camp_List[Camp Name],0)-1,0,1,1),"")</f>
        <v/>
      </c>
      <c r="AT340" s="105"/>
    </row>
    <row r="341" spans="1:46" s="78" customFormat="1" ht="19.5" customHeight="1" x14ac:dyDescent="0.25">
      <c r="A341" s="208">
        <f t="shared" si="5"/>
        <v>61.93333333333333</v>
      </c>
      <c r="B341" s="208">
        <f>YEAR(Data_NFI_t[[#This Row],[Distribution Date]])</f>
        <v>2013</v>
      </c>
      <c r="C341" s="744">
        <v>41332</v>
      </c>
      <c r="D341" s="402" t="s">
        <v>270</v>
      </c>
      <c r="E341" s="401"/>
      <c r="F341" s="402" t="s">
        <v>7</v>
      </c>
      <c r="G341" s="670" t="s">
        <v>18</v>
      </c>
      <c r="H341" s="670" t="s">
        <v>103</v>
      </c>
      <c r="I341" s="670">
        <v>0</v>
      </c>
      <c r="J341" s="670"/>
      <c r="K341" s="670"/>
      <c r="L341" s="42">
        <v>50</v>
      </c>
      <c r="M341" s="42"/>
      <c r="N341" s="42">
        <v>100</v>
      </c>
      <c r="O341" s="42">
        <v>50</v>
      </c>
      <c r="P341" s="42">
        <v>100</v>
      </c>
      <c r="Q341" s="42">
        <v>50</v>
      </c>
      <c r="R341" s="42">
        <v>50</v>
      </c>
      <c r="S341" s="42">
        <v>50</v>
      </c>
      <c r="T341" s="419"/>
      <c r="U341" s="42">
        <v>100</v>
      </c>
      <c r="V341" s="42"/>
      <c r="W341" s="42"/>
      <c r="X341" s="42"/>
      <c r="Y341" s="42"/>
      <c r="Z341" s="42"/>
      <c r="AA341" s="42"/>
      <c r="AB341" s="42"/>
      <c r="AC341" s="105">
        <f>IF(NFI_Expiration=1,IF($A341&lt;VLOOKUP(I$5,NFI,5,0),1,0)*Data_NFI_t[[#This Row],[Hygiene Kit]],0)</f>
        <v>0</v>
      </c>
      <c r="AD341" s="105">
        <f>IF(NFI_Expiration=1,IF($A341&lt;VLOOKUP(L$5,NFI,5,0),1,0)*Data_NFI_t[[#This Row],[NFI Core Kit]],0)</f>
        <v>0</v>
      </c>
      <c r="AE341" s="86">
        <f>IF(NFI_Expiration=1,IF($A341&lt;VLOOKUP(M$5,NFI,5,0),1,0)*Data_NFI_t[[#This Row],[Sanitary Kit]],0)</f>
        <v>0</v>
      </c>
      <c r="AF341" s="86">
        <f>IF(NFI_Expiration=1,IF($A341&lt;VLOOKUP(N$5,NFI,5,0),1,0)*Data_NFI_t[[#This Row],[Mosquito net]],0)</f>
        <v>0</v>
      </c>
      <c r="AG341" s="86">
        <f>IF(NFI_Expiration=1,IF($A341&lt;VLOOKUP(O$5,NFI,5,0),1,0)*Data_NFI_t[[#This Row],[Tarpaulin]],0)</f>
        <v>0</v>
      </c>
      <c r="AH341" s="86">
        <f>IF(NFI_Expiration=1,IF($A341&lt;VLOOKUP(P$5,NFI,5,0),1,0)*Data_NFI_t[[#This Row],[Blanket]],0)</f>
        <v>0</v>
      </c>
      <c r="AI341" s="86">
        <f>IF(NFI_Expiration=1,IF($A341&lt;VLOOKUP(Q$5,NFI,5,0),1,0)*Data_NFI_t[[#This Row],[Kitchen Set]],0)</f>
        <v>0</v>
      </c>
      <c r="AJ341" s="86">
        <f>IF(NFI_Expiration=1,IF($A341&lt;VLOOKUP(R$5,NFI,5,0),1,0)*Data_NFI_t[[#This Row],[Complementary Kit]],0)</f>
        <v>0</v>
      </c>
      <c r="AK341" s="86">
        <f>IF(NFI_Expiration=1,IF($A341&lt;VLOOKUP(S$5,NFI,5,0),1,0)*Data_NFI_t[[#This Row],[Plastic Bucket]],0)</f>
        <v>0</v>
      </c>
      <c r="AL341" s="86">
        <f>IF(NFI_Expiration=1,IF($A341&lt;VLOOKUP(T$5,NFI,5,0),1,0)*Data_NFI_t[[#This Row],[Jerry Can]],0)</f>
        <v>0</v>
      </c>
      <c r="AM341" s="105">
        <f>IF(NFI_Expiration=1,IF($A341&lt;VLOOKUP(U$5,NFI,5,0),1,0)*Data_NFI_t[[#This Row],[Plastic Mat]],0)*IF(Data_NFI_t[[#This Row],[Distribution Date]]&gt;"01-06-2015",1,2.5)</f>
        <v>0</v>
      </c>
      <c r="AN341" s="734">
        <f>IF(NFI_Expiration=1,IF($A341&lt;VLOOKUP(V$5,NFI,5,0),1,0)*Data_NFI_t[[#This Row],[Adult Clothes]],0)</f>
        <v>0</v>
      </c>
      <c r="AO341" s="105">
        <f>IF(NFI_Expiration=1,IF($A341&lt;VLOOKUP(W$5,NFI,5,0),1,0)*Data_NFI_t[[#This Row],[Children Clothes]],0)</f>
        <v>0</v>
      </c>
      <c r="AP341" s="105">
        <f>IF(NFI_Expiration=1,IF($A341&lt;VLOOKUP(X$5,NFI,5,0),1,0)*Data_NFI_t[[#This Row],[Sewing Kit]],0)</f>
        <v>0</v>
      </c>
      <c r="AQ341" s="734">
        <f>IF(NFI_Expiration=1,IF($A341&lt;VLOOKUP(X$5,NFI,5,0),1,0)*Data_NFI_t[[#This Row],[Solar Lantern]],0)</f>
        <v>0</v>
      </c>
      <c r="AR341" s="105" t="str">
        <f ca="1">IFERROR(OFFSET(Camp_List[P_Code],MATCH(Data_NFI_t[[#This Row],[Camp Name]],Camp_List[Camp Name],0)-1,0,1,1),"")</f>
        <v/>
      </c>
      <c r="AS341" s="421" t="str">
        <f ca="1">IFERROR(OFFSET(Camp_List[Status],MATCH(Data_NFI_t[[#This Row],[Camp Name]],Camp_List[Camp Name],0)-1,0,1,1),"")</f>
        <v/>
      </c>
      <c r="AT341" s="105"/>
    </row>
    <row r="342" spans="1:46" s="78" customFormat="1" ht="19.5" customHeight="1" x14ac:dyDescent="0.25">
      <c r="A342" s="208">
        <f t="shared" si="5"/>
        <v>61.93333333333333</v>
      </c>
      <c r="B342" s="208">
        <f>YEAR(Data_NFI_t[[#This Row],[Distribution Date]])</f>
        <v>2013</v>
      </c>
      <c r="C342" s="744">
        <v>41332</v>
      </c>
      <c r="D342" s="402" t="s">
        <v>270</v>
      </c>
      <c r="E342" s="401"/>
      <c r="F342" s="402" t="s">
        <v>7</v>
      </c>
      <c r="G342" s="670" t="s">
        <v>18</v>
      </c>
      <c r="H342" s="670" t="s">
        <v>103</v>
      </c>
      <c r="I342" s="670">
        <v>0</v>
      </c>
      <c r="J342" s="670"/>
      <c r="K342" s="670"/>
      <c r="L342" s="42"/>
      <c r="M342" s="42">
        <v>100</v>
      </c>
      <c r="N342" s="42">
        <v>171</v>
      </c>
      <c r="O342" s="42">
        <v>50</v>
      </c>
      <c r="P342" s="42">
        <v>0</v>
      </c>
      <c r="Q342" s="42"/>
      <c r="R342" s="42"/>
      <c r="S342" s="42"/>
      <c r="T342" s="419"/>
      <c r="U342" s="42"/>
      <c r="V342" s="42"/>
      <c r="W342" s="42"/>
      <c r="X342" s="42"/>
      <c r="Y342" s="42"/>
      <c r="Z342" s="42"/>
      <c r="AA342" s="42"/>
      <c r="AB342" s="42"/>
      <c r="AC342" s="105">
        <f>IF(NFI_Expiration=1,IF($A342&lt;VLOOKUP(I$5,NFI,5,0),1,0)*Data_NFI_t[[#This Row],[Hygiene Kit]],0)</f>
        <v>0</v>
      </c>
      <c r="AD342" s="105">
        <f>IF(NFI_Expiration=1,IF($A342&lt;VLOOKUP(L$5,NFI,5,0),1,0)*Data_NFI_t[[#This Row],[NFI Core Kit]],0)</f>
        <v>0</v>
      </c>
      <c r="AE342" s="86">
        <f>IF(NFI_Expiration=1,IF($A342&lt;VLOOKUP(M$5,NFI,5,0),1,0)*Data_NFI_t[[#This Row],[Sanitary Kit]],0)</f>
        <v>0</v>
      </c>
      <c r="AF342" s="86">
        <f>IF(NFI_Expiration=1,IF($A342&lt;VLOOKUP(N$5,NFI,5,0),1,0)*Data_NFI_t[[#This Row],[Mosquito net]],0)</f>
        <v>0</v>
      </c>
      <c r="AG342" s="86">
        <f>IF(NFI_Expiration=1,IF($A342&lt;VLOOKUP(O$5,NFI,5,0),1,0)*Data_NFI_t[[#This Row],[Tarpaulin]],0)</f>
        <v>0</v>
      </c>
      <c r="AH342" s="86">
        <f>IF(NFI_Expiration=1,IF($A342&lt;VLOOKUP(P$5,NFI,5,0),1,0)*Data_NFI_t[[#This Row],[Blanket]],0)</f>
        <v>0</v>
      </c>
      <c r="AI342" s="86">
        <f>IF(NFI_Expiration=1,IF($A342&lt;VLOOKUP(Q$5,NFI,5,0),1,0)*Data_NFI_t[[#This Row],[Kitchen Set]],0)</f>
        <v>0</v>
      </c>
      <c r="AJ342" s="86">
        <f>IF(NFI_Expiration=1,IF($A342&lt;VLOOKUP(R$5,NFI,5,0),1,0)*Data_NFI_t[[#This Row],[Complementary Kit]],0)</f>
        <v>0</v>
      </c>
      <c r="AK342" s="86">
        <f>IF(NFI_Expiration=1,IF($A342&lt;VLOOKUP(S$5,NFI,5,0),1,0)*Data_NFI_t[[#This Row],[Plastic Bucket]],0)</f>
        <v>0</v>
      </c>
      <c r="AL342" s="86">
        <f>IF(NFI_Expiration=1,IF($A342&lt;VLOOKUP(T$5,NFI,5,0),1,0)*Data_NFI_t[[#This Row],[Jerry Can]],0)</f>
        <v>0</v>
      </c>
      <c r="AM342" s="105">
        <f>IF(NFI_Expiration=1,IF($A342&lt;VLOOKUP(U$5,NFI,5,0),1,0)*Data_NFI_t[[#This Row],[Plastic Mat]],0)*IF(Data_NFI_t[[#This Row],[Distribution Date]]&gt;"01-06-2015",1,2.5)</f>
        <v>0</v>
      </c>
      <c r="AN342" s="734">
        <f>IF(NFI_Expiration=1,IF($A342&lt;VLOOKUP(V$5,NFI,5,0),1,0)*Data_NFI_t[[#This Row],[Adult Clothes]],0)</f>
        <v>0</v>
      </c>
      <c r="AO342" s="105">
        <f>IF(NFI_Expiration=1,IF($A342&lt;VLOOKUP(W$5,NFI,5,0),1,0)*Data_NFI_t[[#This Row],[Children Clothes]],0)</f>
        <v>0</v>
      </c>
      <c r="AP342" s="105">
        <f>IF(NFI_Expiration=1,IF($A342&lt;VLOOKUP(X$5,NFI,5,0),1,0)*Data_NFI_t[[#This Row],[Sewing Kit]],0)</f>
        <v>0</v>
      </c>
      <c r="AQ342" s="734">
        <f>IF(NFI_Expiration=1,IF($A342&lt;VLOOKUP(X$5,NFI,5,0),1,0)*Data_NFI_t[[#This Row],[Solar Lantern]],0)</f>
        <v>0</v>
      </c>
      <c r="AR342" s="105" t="str">
        <f ca="1">IFERROR(OFFSET(Camp_List[P_Code],MATCH(Data_NFI_t[[#This Row],[Camp Name]],Camp_List[Camp Name],0)-1,0,1,1),"")</f>
        <v/>
      </c>
      <c r="AS342" s="421" t="str">
        <f ca="1">IFERROR(OFFSET(Camp_List[Status],MATCH(Data_NFI_t[[#This Row],[Camp Name]],Camp_List[Camp Name],0)-1,0,1,1),"")</f>
        <v/>
      </c>
      <c r="AT342" s="105"/>
    </row>
    <row r="343" spans="1:46" s="78" customFormat="1" ht="19.5" customHeight="1" x14ac:dyDescent="0.25">
      <c r="A343" s="208">
        <f t="shared" si="5"/>
        <v>61.93333333333333</v>
      </c>
      <c r="B343" s="208">
        <f>YEAR(Data_NFI_t[[#This Row],[Distribution Date]])</f>
        <v>2013</v>
      </c>
      <c r="C343" s="744">
        <v>41332</v>
      </c>
      <c r="D343" s="402" t="s">
        <v>271</v>
      </c>
      <c r="E343" s="401"/>
      <c r="F343" s="402" t="s">
        <v>7</v>
      </c>
      <c r="G343" s="670" t="s">
        <v>17</v>
      </c>
      <c r="H343" s="670" t="s">
        <v>63</v>
      </c>
      <c r="I343" s="670">
        <v>0</v>
      </c>
      <c r="J343" s="670"/>
      <c r="K343" s="670"/>
      <c r="L343" s="42">
        <v>800</v>
      </c>
      <c r="M343" s="42"/>
      <c r="N343" s="42">
        <v>1600</v>
      </c>
      <c r="O343" s="42">
        <v>800</v>
      </c>
      <c r="P343" s="42">
        <v>1600</v>
      </c>
      <c r="Q343" s="42">
        <v>800</v>
      </c>
      <c r="R343" s="42">
        <v>800</v>
      </c>
      <c r="S343" s="42">
        <v>800</v>
      </c>
      <c r="T343" s="419"/>
      <c r="U343" s="42">
        <v>1600</v>
      </c>
      <c r="V343" s="42"/>
      <c r="W343" s="42"/>
      <c r="X343" s="42"/>
      <c r="Y343" s="42"/>
      <c r="Z343" s="42"/>
      <c r="AA343" s="42"/>
      <c r="AB343" s="42"/>
      <c r="AC343" s="105">
        <f>IF(NFI_Expiration=1,IF($A343&lt;VLOOKUP(I$5,NFI,5,0),1,0)*Data_NFI_t[[#This Row],[Hygiene Kit]],0)</f>
        <v>0</v>
      </c>
      <c r="AD343" s="105">
        <f>IF(NFI_Expiration=1,IF($A343&lt;VLOOKUP(L$5,NFI,5,0),1,0)*Data_NFI_t[[#This Row],[NFI Core Kit]],0)</f>
        <v>0</v>
      </c>
      <c r="AE343" s="86">
        <f>IF(NFI_Expiration=1,IF($A343&lt;VLOOKUP(M$5,NFI,5,0),1,0)*Data_NFI_t[[#This Row],[Sanitary Kit]],0)</f>
        <v>0</v>
      </c>
      <c r="AF343" s="86">
        <f>IF(NFI_Expiration=1,IF($A343&lt;VLOOKUP(N$5,NFI,5,0),1,0)*Data_NFI_t[[#This Row],[Mosquito net]],0)</f>
        <v>0</v>
      </c>
      <c r="AG343" s="86">
        <f>IF(NFI_Expiration=1,IF($A343&lt;VLOOKUP(O$5,NFI,5,0),1,0)*Data_NFI_t[[#This Row],[Tarpaulin]],0)</f>
        <v>0</v>
      </c>
      <c r="AH343" s="86">
        <f>IF(NFI_Expiration=1,IF($A343&lt;VLOOKUP(P$5,NFI,5,0),1,0)*Data_NFI_t[[#This Row],[Blanket]],0)</f>
        <v>0</v>
      </c>
      <c r="AI343" s="86">
        <f>IF(NFI_Expiration=1,IF($A343&lt;VLOOKUP(Q$5,NFI,5,0),1,0)*Data_NFI_t[[#This Row],[Kitchen Set]],0)</f>
        <v>0</v>
      </c>
      <c r="AJ343" s="86">
        <f>IF(NFI_Expiration=1,IF($A343&lt;VLOOKUP(R$5,NFI,5,0),1,0)*Data_NFI_t[[#This Row],[Complementary Kit]],0)</f>
        <v>0</v>
      </c>
      <c r="AK343" s="86">
        <f>IF(NFI_Expiration=1,IF($A343&lt;VLOOKUP(S$5,NFI,5,0),1,0)*Data_NFI_t[[#This Row],[Plastic Bucket]],0)</f>
        <v>0</v>
      </c>
      <c r="AL343" s="86">
        <f>IF(NFI_Expiration=1,IF($A343&lt;VLOOKUP(T$5,NFI,5,0),1,0)*Data_NFI_t[[#This Row],[Jerry Can]],0)</f>
        <v>0</v>
      </c>
      <c r="AM343" s="105">
        <f>IF(NFI_Expiration=1,IF($A343&lt;VLOOKUP(U$5,NFI,5,0),1,0)*Data_NFI_t[[#This Row],[Plastic Mat]],0)*IF(Data_NFI_t[[#This Row],[Distribution Date]]&gt;"01-06-2015",1,2.5)</f>
        <v>0</v>
      </c>
      <c r="AN343" s="734">
        <f>IF(NFI_Expiration=1,IF($A343&lt;VLOOKUP(V$5,NFI,5,0),1,0)*Data_NFI_t[[#This Row],[Adult Clothes]],0)</f>
        <v>0</v>
      </c>
      <c r="AO343" s="105">
        <f>IF(NFI_Expiration=1,IF($A343&lt;VLOOKUP(W$5,NFI,5,0),1,0)*Data_NFI_t[[#This Row],[Children Clothes]],0)</f>
        <v>0</v>
      </c>
      <c r="AP343" s="105">
        <f>IF(NFI_Expiration=1,IF($A343&lt;VLOOKUP(X$5,NFI,5,0),1,0)*Data_NFI_t[[#This Row],[Sewing Kit]],0)</f>
        <v>0</v>
      </c>
      <c r="AQ343" s="734">
        <f>IF(NFI_Expiration=1,IF($A343&lt;VLOOKUP(X$5,NFI,5,0),1,0)*Data_NFI_t[[#This Row],[Solar Lantern]],0)</f>
        <v>0</v>
      </c>
      <c r="AR343" s="105" t="str">
        <f ca="1">IFERROR(OFFSET(Camp_List[P_Code],MATCH(Data_NFI_t[[#This Row],[Camp Name]],Camp_List[Camp Name],0)-1,0,1,1),"")</f>
        <v>MMR012CMP043</v>
      </c>
      <c r="AS343" s="421" t="str">
        <f ca="1">IFERROR(OFFSET(Camp_List[Status],MATCH(Data_NFI_t[[#This Row],[Camp Name]],Camp_List[Camp Name],0)-1,0,1,1),"")</f>
        <v>Close</v>
      </c>
      <c r="AT343" s="105"/>
    </row>
    <row r="344" spans="1:46" s="78" customFormat="1" ht="19.5" customHeight="1" x14ac:dyDescent="0.25">
      <c r="A344" s="208">
        <f t="shared" si="5"/>
        <v>61.93333333333333</v>
      </c>
      <c r="B344" s="208">
        <f>YEAR(Data_NFI_t[[#This Row],[Distribution Date]])</f>
        <v>2013</v>
      </c>
      <c r="C344" s="744">
        <v>41332</v>
      </c>
      <c r="D344" s="402" t="s">
        <v>271</v>
      </c>
      <c r="E344" s="401"/>
      <c r="F344" s="402" t="s">
        <v>7</v>
      </c>
      <c r="G344" s="670" t="s">
        <v>17</v>
      </c>
      <c r="H344" s="670" t="s">
        <v>63</v>
      </c>
      <c r="I344" s="670">
        <v>0</v>
      </c>
      <c r="J344" s="670"/>
      <c r="K344" s="670"/>
      <c r="L344" s="42"/>
      <c r="M344" s="42"/>
      <c r="N344" s="42"/>
      <c r="O344" s="42"/>
      <c r="P344" s="42"/>
      <c r="Q344" s="42"/>
      <c r="R344" s="42"/>
      <c r="S344" s="42"/>
      <c r="T344" s="419"/>
      <c r="U344" s="42"/>
      <c r="V344" s="42"/>
      <c r="W344" s="42"/>
      <c r="X344" s="42"/>
      <c r="Y344" s="42"/>
      <c r="Z344" s="42"/>
      <c r="AA344" s="42"/>
      <c r="AB344" s="42"/>
      <c r="AC344" s="105">
        <f>IF(NFI_Expiration=1,IF($A344&lt;VLOOKUP(I$5,NFI,5,0),1,0)*Data_NFI_t[[#This Row],[Hygiene Kit]],0)</f>
        <v>0</v>
      </c>
      <c r="AD344" s="105">
        <f>IF(NFI_Expiration=1,IF($A344&lt;VLOOKUP(L$5,NFI,5,0),1,0)*Data_NFI_t[[#This Row],[NFI Core Kit]],0)</f>
        <v>0</v>
      </c>
      <c r="AE344" s="86">
        <f>IF(NFI_Expiration=1,IF($A344&lt;VLOOKUP(M$5,NFI,5,0),1,0)*Data_NFI_t[[#This Row],[Sanitary Kit]],0)</f>
        <v>0</v>
      </c>
      <c r="AF344" s="86">
        <f>IF(NFI_Expiration=1,IF($A344&lt;VLOOKUP(N$5,NFI,5,0),1,0)*Data_NFI_t[[#This Row],[Mosquito net]],0)</f>
        <v>0</v>
      </c>
      <c r="AG344" s="86">
        <f>IF(NFI_Expiration=1,IF($A344&lt;VLOOKUP(O$5,NFI,5,0),1,0)*Data_NFI_t[[#This Row],[Tarpaulin]],0)</f>
        <v>0</v>
      </c>
      <c r="AH344" s="86">
        <f>IF(NFI_Expiration=1,IF($A344&lt;VLOOKUP(P$5,NFI,5,0),1,0)*Data_NFI_t[[#This Row],[Blanket]],0)</f>
        <v>0</v>
      </c>
      <c r="AI344" s="86">
        <f>IF(NFI_Expiration=1,IF($A344&lt;VLOOKUP(Q$5,NFI,5,0),1,0)*Data_NFI_t[[#This Row],[Kitchen Set]],0)</f>
        <v>0</v>
      </c>
      <c r="AJ344" s="86">
        <f>IF(NFI_Expiration=1,IF($A344&lt;VLOOKUP(R$5,NFI,5,0),1,0)*Data_NFI_t[[#This Row],[Complementary Kit]],0)</f>
        <v>0</v>
      </c>
      <c r="AK344" s="86">
        <f>IF(NFI_Expiration=1,IF($A344&lt;VLOOKUP(S$5,NFI,5,0),1,0)*Data_NFI_t[[#This Row],[Plastic Bucket]],0)</f>
        <v>0</v>
      </c>
      <c r="AL344" s="86">
        <f>IF(NFI_Expiration=1,IF($A344&lt;VLOOKUP(T$5,NFI,5,0),1,0)*Data_NFI_t[[#This Row],[Jerry Can]],0)</f>
        <v>0</v>
      </c>
      <c r="AM344" s="105">
        <f>IF(NFI_Expiration=1,IF($A344&lt;VLOOKUP(U$5,NFI,5,0),1,0)*Data_NFI_t[[#This Row],[Plastic Mat]],0)*IF(Data_NFI_t[[#This Row],[Distribution Date]]&gt;"01-06-2015",1,2.5)</f>
        <v>0</v>
      </c>
      <c r="AN344" s="734">
        <f>IF(NFI_Expiration=1,IF($A344&lt;VLOOKUP(V$5,NFI,5,0),1,0)*Data_NFI_t[[#This Row],[Adult Clothes]],0)</f>
        <v>0</v>
      </c>
      <c r="AO344" s="105">
        <f>IF(NFI_Expiration=1,IF($A344&lt;VLOOKUP(W$5,NFI,5,0),1,0)*Data_NFI_t[[#This Row],[Children Clothes]],0)</f>
        <v>0</v>
      </c>
      <c r="AP344" s="105">
        <f>IF(NFI_Expiration=1,IF($A344&lt;VLOOKUP(X$5,NFI,5,0),1,0)*Data_NFI_t[[#This Row],[Sewing Kit]],0)</f>
        <v>0</v>
      </c>
      <c r="AQ344" s="734">
        <f>IF(NFI_Expiration=1,IF($A344&lt;VLOOKUP(X$5,NFI,5,0),1,0)*Data_NFI_t[[#This Row],[Solar Lantern]],0)</f>
        <v>0</v>
      </c>
      <c r="AR344" s="105" t="str">
        <f ca="1">IFERROR(OFFSET(Camp_List[P_Code],MATCH(Data_NFI_t[[#This Row],[Camp Name]],Camp_List[Camp Name],0)-1,0,1,1),"")</f>
        <v>MMR012CMP043</v>
      </c>
      <c r="AS344" s="421" t="str">
        <f ca="1">IFERROR(OFFSET(Camp_List[Status],MATCH(Data_NFI_t[[#This Row],[Camp Name]],Camp_List[Camp Name],0)-1,0,1,1),"")</f>
        <v>Close</v>
      </c>
      <c r="AT344" s="105"/>
    </row>
    <row r="345" spans="1:46" s="78" customFormat="1" ht="19.5" customHeight="1" x14ac:dyDescent="0.25">
      <c r="A345" s="208">
        <f t="shared" si="5"/>
        <v>61.93333333333333</v>
      </c>
      <c r="B345" s="208">
        <f>YEAR(Data_NFI_t[[#This Row],[Distribution Date]])</f>
        <v>2013</v>
      </c>
      <c r="C345" s="744">
        <v>41332</v>
      </c>
      <c r="D345" s="402" t="s">
        <v>271</v>
      </c>
      <c r="E345" s="401"/>
      <c r="F345" s="402" t="s">
        <v>7</v>
      </c>
      <c r="G345" s="670" t="s">
        <v>17</v>
      </c>
      <c r="H345" s="670" t="s">
        <v>76</v>
      </c>
      <c r="I345" s="670">
        <v>0</v>
      </c>
      <c r="J345" s="670"/>
      <c r="K345" s="670"/>
      <c r="L345" s="42">
        <v>200</v>
      </c>
      <c r="M345" s="42"/>
      <c r="N345" s="42">
        <v>400</v>
      </c>
      <c r="O345" s="42">
        <v>200</v>
      </c>
      <c r="P345" s="42">
        <v>400</v>
      </c>
      <c r="Q345" s="42">
        <v>200</v>
      </c>
      <c r="R345" s="42">
        <v>200</v>
      </c>
      <c r="S345" s="42">
        <v>200</v>
      </c>
      <c r="T345" s="419"/>
      <c r="U345" s="42">
        <v>400</v>
      </c>
      <c r="V345" s="42"/>
      <c r="W345" s="42"/>
      <c r="X345" s="42"/>
      <c r="Y345" s="42"/>
      <c r="Z345" s="42"/>
      <c r="AA345" s="42"/>
      <c r="AB345" s="42"/>
      <c r="AC345" s="105">
        <f>IF(NFI_Expiration=1,IF($A345&lt;VLOOKUP(I$5,NFI,5,0),1,0)*Data_NFI_t[[#This Row],[Hygiene Kit]],0)</f>
        <v>0</v>
      </c>
      <c r="AD345" s="105">
        <f>IF(NFI_Expiration=1,IF($A345&lt;VLOOKUP(L$5,NFI,5,0),1,0)*Data_NFI_t[[#This Row],[NFI Core Kit]],0)</f>
        <v>0</v>
      </c>
      <c r="AE345" s="86">
        <f>IF(NFI_Expiration=1,IF($A345&lt;VLOOKUP(M$5,NFI,5,0),1,0)*Data_NFI_t[[#This Row],[Sanitary Kit]],0)</f>
        <v>0</v>
      </c>
      <c r="AF345" s="86">
        <f>IF(NFI_Expiration=1,IF($A345&lt;VLOOKUP(N$5,NFI,5,0),1,0)*Data_NFI_t[[#This Row],[Mosquito net]],0)</f>
        <v>0</v>
      </c>
      <c r="AG345" s="86">
        <f>IF(NFI_Expiration=1,IF($A345&lt;VLOOKUP(O$5,NFI,5,0),1,0)*Data_NFI_t[[#This Row],[Tarpaulin]],0)</f>
        <v>0</v>
      </c>
      <c r="AH345" s="86">
        <f>IF(NFI_Expiration=1,IF($A345&lt;VLOOKUP(P$5,NFI,5,0),1,0)*Data_NFI_t[[#This Row],[Blanket]],0)</f>
        <v>0</v>
      </c>
      <c r="AI345" s="86">
        <f>IF(NFI_Expiration=1,IF($A345&lt;VLOOKUP(Q$5,NFI,5,0),1,0)*Data_NFI_t[[#This Row],[Kitchen Set]],0)</f>
        <v>0</v>
      </c>
      <c r="AJ345" s="86">
        <f>IF(NFI_Expiration=1,IF($A345&lt;VLOOKUP(R$5,NFI,5,0),1,0)*Data_NFI_t[[#This Row],[Complementary Kit]],0)</f>
        <v>0</v>
      </c>
      <c r="AK345" s="86">
        <f>IF(NFI_Expiration=1,IF($A345&lt;VLOOKUP(S$5,NFI,5,0),1,0)*Data_NFI_t[[#This Row],[Plastic Bucket]],0)</f>
        <v>0</v>
      </c>
      <c r="AL345" s="86">
        <f>IF(NFI_Expiration=1,IF($A345&lt;VLOOKUP(T$5,NFI,5,0),1,0)*Data_NFI_t[[#This Row],[Jerry Can]],0)</f>
        <v>0</v>
      </c>
      <c r="AM345" s="105">
        <f>IF(NFI_Expiration=1,IF($A345&lt;VLOOKUP(U$5,NFI,5,0),1,0)*Data_NFI_t[[#This Row],[Plastic Mat]],0)*IF(Data_NFI_t[[#This Row],[Distribution Date]]&gt;"01-06-2015",1,2.5)</f>
        <v>0</v>
      </c>
      <c r="AN345" s="734">
        <f>IF(NFI_Expiration=1,IF($A345&lt;VLOOKUP(V$5,NFI,5,0),1,0)*Data_NFI_t[[#This Row],[Adult Clothes]],0)</f>
        <v>0</v>
      </c>
      <c r="AO345" s="105">
        <f>IF(NFI_Expiration=1,IF($A345&lt;VLOOKUP(W$5,NFI,5,0),1,0)*Data_NFI_t[[#This Row],[Children Clothes]],0)</f>
        <v>0</v>
      </c>
      <c r="AP345" s="105">
        <f>IF(NFI_Expiration=1,IF($A345&lt;VLOOKUP(X$5,NFI,5,0),1,0)*Data_NFI_t[[#This Row],[Sewing Kit]],0)</f>
        <v>0</v>
      </c>
      <c r="AQ345" s="734">
        <f>IF(NFI_Expiration=1,IF($A345&lt;VLOOKUP(X$5,NFI,5,0),1,0)*Data_NFI_t[[#This Row],[Solar Lantern]],0)</f>
        <v>0</v>
      </c>
      <c r="AR345" s="105" t="str">
        <f ca="1">IFERROR(OFFSET(Camp_List[P_Code],MATCH(Data_NFI_t[[#This Row],[Camp Name]],Camp_List[Camp Name],0)-1,0,1,1),"")</f>
        <v>MMR012CMP056</v>
      </c>
      <c r="AS345" s="421" t="str">
        <f ca="1">IFERROR(OFFSET(Camp_List[Status],MATCH(Data_NFI_t[[#This Row],[Camp Name]],Camp_List[Camp Name],0)-1,0,1,1),"")</f>
        <v>Relocated</v>
      </c>
      <c r="AT345" s="105"/>
    </row>
    <row r="346" spans="1:46" s="78" customFormat="1" ht="19.5" customHeight="1" x14ac:dyDescent="0.25">
      <c r="A346" s="208">
        <f t="shared" si="5"/>
        <v>61.93333333333333</v>
      </c>
      <c r="B346" s="208">
        <f>YEAR(Data_NFI_t[[#This Row],[Distribution Date]])</f>
        <v>2013</v>
      </c>
      <c r="C346" s="744">
        <v>41332</v>
      </c>
      <c r="D346" s="402" t="s">
        <v>271</v>
      </c>
      <c r="E346" s="401"/>
      <c r="F346" s="402" t="s">
        <v>7</v>
      </c>
      <c r="G346" s="670" t="s">
        <v>17</v>
      </c>
      <c r="H346" s="670" t="s">
        <v>76</v>
      </c>
      <c r="I346" s="670">
        <v>0</v>
      </c>
      <c r="J346" s="670"/>
      <c r="K346" s="670"/>
      <c r="L346" s="42"/>
      <c r="M346" s="42"/>
      <c r="N346" s="42"/>
      <c r="O346" s="42"/>
      <c r="P346" s="42"/>
      <c r="Q346" s="42"/>
      <c r="R346" s="42"/>
      <c r="S346" s="42"/>
      <c r="T346" s="419"/>
      <c r="U346" s="42"/>
      <c r="V346" s="42"/>
      <c r="W346" s="42"/>
      <c r="X346" s="42"/>
      <c r="Y346" s="42"/>
      <c r="Z346" s="42"/>
      <c r="AA346" s="42"/>
      <c r="AB346" s="42"/>
      <c r="AC346" s="105">
        <f>IF(NFI_Expiration=1,IF($A346&lt;VLOOKUP(I$5,NFI,5,0),1,0)*Data_NFI_t[[#This Row],[Hygiene Kit]],0)</f>
        <v>0</v>
      </c>
      <c r="AD346" s="105">
        <f>IF(NFI_Expiration=1,IF($A346&lt;VLOOKUP(L$5,NFI,5,0),1,0)*Data_NFI_t[[#This Row],[NFI Core Kit]],0)</f>
        <v>0</v>
      </c>
      <c r="AE346" s="86">
        <f>IF(NFI_Expiration=1,IF($A346&lt;VLOOKUP(M$5,NFI,5,0),1,0)*Data_NFI_t[[#This Row],[Sanitary Kit]],0)</f>
        <v>0</v>
      </c>
      <c r="AF346" s="86">
        <f>IF(NFI_Expiration=1,IF($A346&lt;VLOOKUP(N$5,NFI,5,0),1,0)*Data_NFI_t[[#This Row],[Mosquito net]],0)</f>
        <v>0</v>
      </c>
      <c r="AG346" s="86">
        <f>IF(NFI_Expiration=1,IF($A346&lt;VLOOKUP(O$5,NFI,5,0),1,0)*Data_NFI_t[[#This Row],[Tarpaulin]],0)</f>
        <v>0</v>
      </c>
      <c r="AH346" s="86">
        <f>IF(NFI_Expiration=1,IF($A346&lt;VLOOKUP(P$5,NFI,5,0),1,0)*Data_NFI_t[[#This Row],[Blanket]],0)</f>
        <v>0</v>
      </c>
      <c r="AI346" s="86">
        <f>IF(NFI_Expiration=1,IF($A346&lt;VLOOKUP(Q$5,NFI,5,0),1,0)*Data_NFI_t[[#This Row],[Kitchen Set]],0)</f>
        <v>0</v>
      </c>
      <c r="AJ346" s="86">
        <f>IF(NFI_Expiration=1,IF($A346&lt;VLOOKUP(R$5,NFI,5,0),1,0)*Data_NFI_t[[#This Row],[Complementary Kit]],0)</f>
        <v>0</v>
      </c>
      <c r="AK346" s="86">
        <f>IF(NFI_Expiration=1,IF($A346&lt;VLOOKUP(S$5,NFI,5,0),1,0)*Data_NFI_t[[#This Row],[Plastic Bucket]],0)</f>
        <v>0</v>
      </c>
      <c r="AL346" s="86">
        <f>IF(NFI_Expiration=1,IF($A346&lt;VLOOKUP(T$5,NFI,5,0),1,0)*Data_NFI_t[[#This Row],[Jerry Can]],0)</f>
        <v>0</v>
      </c>
      <c r="AM346" s="105">
        <f>IF(NFI_Expiration=1,IF($A346&lt;VLOOKUP(U$5,NFI,5,0),1,0)*Data_NFI_t[[#This Row],[Plastic Mat]],0)*IF(Data_NFI_t[[#This Row],[Distribution Date]]&gt;"01-06-2015",1,2.5)</f>
        <v>0</v>
      </c>
      <c r="AN346" s="734">
        <f>IF(NFI_Expiration=1,IF($A346&lt;VLOOKUP(V$5,NFI,5,0),1,0)*Data_NFI_t[[#This Row],[Adult Clothes]],0)</f>
        <v>0</v>
      </c>
      <c r="AO346" s="105">
        <f>IF(NFI_Expiration=1,IF($A346&lt;VLOOKUP(W$5,NFI,5,0),1,0)*Data_NFI_t[[#This Row],[Children Clothes]],0)</f>
        <v>0</v>
      </c>
      <c r="AP346" s="105">
        <f>IF(NFI_Expiration=1,IF($A346&lt;VLOOKUP(X$5,NFI,5,0),1,0)*Data_NFI_t[[#This Row],[Sewing Kit]],0)</f>
        <v>0</v>
      </c>
      <c r="AQ346" s="734">
        <f>IF(NFI_Expiration=1,IF($A346&lt;VLOOKUP(X$5,NFI,5,0),1,0)*Data_NFI_t[[#This Row],[Solar Lantern]],0)</f>
        <v>0</v>
      </c>
      <c r="AR346" s="105" t="str">
        <f ca="1">IFERROR(OFFSET(Camp_List[P_Code],MATCH(Data_NFI_t[[#This Row],[Camp Name]],Camp_List[Camp Name],0)-1,0,1,1),"")</f>
        <v>MMR012CMP056</v>
      </c>
      <c r="AS346" s="421" t="str">
        <f ca="1">IFERROR(OFFSET(Camp_List[Status],MATCH(Data_NFI_t[[#This Row],[Camp Name]],Camp_List[Camp Name],0)-1,0,1,1),"")</f>
        <v>Relocated</v>
      </c>
      <c r="AT346" s="105"/>
    </row>
    <row r="347" spans="1:46" s="78" customFormat="1" ht="19.5" customHeight="1" x14ac:dyDescent="0.25">
      <c r="A347" s="208">
        <f t="shared" si="5"/>
        <v>62.1</v>
      </c>
      <c r="B347" s="208">
        <f>YEAR(Data_NFI_t[[#This Row],[Distribution Date]])</f>
        <v>2013</v>
      </c>
      <c r="C347" s="744">
        <v>41327</v>
      </c>
      <c r="D347" s="402" t="s">
        <v>272</v>
      </c>
      <c r="E347" s="401"/>
      <c r="F347" s="402" t="s">
        <v>7</v>
      </c>
      <c r="G347" s="670" t="s">
        <v>13</v>
      </c>
      <c r="H347" s="670" t="s">
        <v>37</v>
      </c>
      <c r="I347" s="670">
        <v>23</v>
      </c>
      <c r="J347" s="670"/>
      <c r="K347" s="670"/>
      <c r="L347" s="42">
        <v>0</v>
      </c>
      <c r="M347" s="42"/>
      <c r="N347" s="42"/>
      <c r="O347" s="42"/>
      <c r="P347" s="42"/>
      <c r="Q347" s="42"/>
      <c r="R347" s="42"/>
      <c r="S347" s="42"/>
      <c r="T347" s="419"/>
      <c r="U347" s="42"/>
      <c r="V347" s="42"/>
      <c r="W347" s="42"/>
      <c r="X347" s="42"/>
      <c r="Y347" s="42"/>
      <c r="Z347" s="42"/>
      <c r="AA347" s="42"/>
      <c r="AB347" s="42"/>
      <c r="AC347" s="105">
        <f>IF(NFI_Expiration=1,IF($A347&lt;VLOOKUP(I$5,NFI,5,0),1,0)*Data_NFI_t[[#This Row],[Hygiene Kit]],0)</f>
        <v>0</v>
      </c>
      <c r="AD347" s="105">
        <f>IF(NFI_Expiration=1,IF($A347&lt;VLOOKUP(L$5,NFI,5,0),1,0)*Data_NFI_t[[#This Row],[NFI Core Kit]],0)</f>
        <v>0</v>
      </c>
      <c r="AE347" s="86">
        <f>IF(NFI_Expiration=1,IF($A347&lt;VLOOKUP(M$5,NFI,5,0),1,0)*Data_NFI_t[[#This Row],[Sanitary Kit]],0)</f>
        <v>0</v>
      </c>
      <c r="AF347" s="86">
        <f>IF(NFI_Expiration=1,IF($A347&lt;VLOOKUP(N$5,NFI,5,0),1,0)*Data_NFI_t[[#This Row],[Mosquito net]],0)</f>
        <v>0</v>
      </c>
      <c r="AG347" s="86">
        <f>IF(NFI_Expiration=1,IF($A347&lt;VLOOKUP(O$5,NFI,5,0),1,0)*Data_NFI_t[[#This Row],[Tarpaulin]],0)</f>
        <v>0</v>
      </c>
      <c r="AH347" s="86">
        <f>IF(NFI_Expiration=1,IF($A347&lt;VLOOKUP(P$5,NFI,5,0),1,0)*Data_NFI_t[[#This Row],[Blanket]],0)</f>
        <v>0</v>
      </c>
      <c r="AI347" s="86">
        <f>IF(NFI_Expiration=1,IF($A347&lt;VLOOKUP(Q$5,NFI,5,0),1,0)*Data_NFI_t[[#This Row],[Kitchen Set]],0)</f>
        <v>0</v>
      </c>
      <c r="AJ347" s="86">
        <f>IF(NFI_Expiration=1,IF($A347&lt;VLOOKUP(R$5,NFI,5,0),1,0)*Data_NFI_t[[#This Row],[Complementary Kit]],0)</f>
        <v>0</v>
      </c>
      <c r="AK347" s="86">
        <f>IF(NFI_Expiration=1,IF($A347&lt;VLOOKUP(S$5,NFI,5,0),1,0)*Data_NFI_t[[#This Row],[Plastic Bucket]],0)</f>
        <v>0</v>
      </c>
      <c r="AL347" s="86">
        <f>IF(NFI_Expiration=1,IF($A347&lt;VLOOKUP(T$5,NFI,5,0),1,0)*Data_NFI_t[[#This Row],[Jerry Can]],0)</f>
        <v>0</v>
      </c>
      <c r="AM347" s="105">
        <f>IF(NFI_Expiration=1,IF($A347&lt;VLOOKUP(U$5,NFI,5,0),1,0)*Data_NFI_t[[#This Row],[Plastic Mat]],0)*IF(Data_NFI_t[[#This Row],[Distribution Date]]&gt;"01-06-2015",1,2.5)</f>
        <v>0</v>
      </c>
      <c r="AN347" s="734">
        <f>IF(NFI_Expiration=1,IF($A347&lt;VLOOKUP(V$5,NFI,5,0),1,0)*Data_NFI_t[[#This Row],[Adult Clothes]],0)</f>
        <v>0</v>
      </c>
      <c r="AO347" s="105">
        <f>IF(NFI_Expiration=1,IF($A347&lt;VLOOKUP(W$5,NFI,5,0),1,0)*Data_NFI_t[[#This Row],[Children Clothes]],0)</f>
        <v>0</v>
      </c>
      <c r="AP347" s="105">
        <f>IF(NFI_Expiration=1,IF($A347&lt;VLOOKUP(X$5,NFI,5,0),1,0)*Data_NFI_t[[#This Row],[Sewing Kit]],0)</f>
        <v>0</v>
      </c>
      <c r="AQ347" s="734">
        <f>IF(NFI_Expiration=1,IF($A347&lt;VLOOKUP(X$5,NFI,5,0),1,0)*Data_NFI_t[[#This Row],[Solar Lantern]],0)</f>
        <v>0</v>
      </c>
      <c r="AR347" s="105" t="str">
        <f ca="1">IFERROR(OFFSET(Camp_List[P_Code],MATCH(Data_NFI_t[[#This Row],[Camp Name]],Camp_List[Camp Name],0)-1,0,1,1),"")</f>
        <v>MMR012CMP015</v>
      </c>
      <c r="AS347" s="421" t="str">
        <f ca="1">IFERROR(OFFSET(Camp_List[Status],MATCH(Data_NFI_t[[#This Row],[Camp Name]],Camp_List[Camp Name],0)-1,0,1,1),"")</f>
        <v>Relocated</v>
      </c>
      <c r="AT347" s="105"/>
    </row>
    <row r="348" spans="1:46" s="78" customFormat="1" ht="19.5" customHeight="1" x14ac:dyDescent="0.25">
      <c r="A348" s="208">
        <f t="shared" si="5"/>
        <v>62.1</v>
      </c>
      <c r="B348" s="208">
        <f>YEAR(Data_NFI_t[[#This Row],[Distribution Date]])</f>
        <v>2013</v>
      </c>
      <c r="C348" s="744">
        <v>41327</v>
      </c>
      <c r="D348" s="402" t="s">
        <v>272</v>
      </c>
      <c r="E348" s="401"/>
      <c r="F348" s="402" t="s">
        <v>7</v>
      </c>
      <c r="G348" s="670" t="s">
        <v>13</v>
      </c>
      <c r="H348" s="670" t="s">
        <v>39</v>
      </c>
      <c r="I348" s="670">
        <v>1306</v>
      </c>
      <c r="J348" s="670"/>
      <c r="K348" s="670"/>
      <c r="L348" s="42">
        <v>0</v>
      </c>
      <c r="M348" s="42"/>
      <c r="N348" s="42"/>
      <c r="O348" s="42"/>
      <c r="P348" s="42"/>
      <c r="Q348" s="42"/>
      <c r="R348" s="42"/>
      <c r="S348" s="42"/>
      <c r="T348" s="419"/>
      <c r="U348" s="42"/>
      <c r="V348" s="42"/>
      <c r="W348" s="42"/>
      <c r="X348" s="42"/>
      <c r="Y348" s="42"/>
      <c r="Z348" s="42"/>
      <c r="AA348" s="42"/>
      <c r="AB348" s="42"/>
      <c r="AC348" s="105">
        <f>IF(NFI_Expiration=1,IF($A348&lt;VLOOKUP(I$5,NFI,5,0),1,0)*Data_NFI_t[[#This Row],[Hygiene Kit]],0)</f>
        <v>0</v>
      </c>
      <c r="AD348" s="105">
        <f>IF(NFI_Expiration=1,IF($A348&lt;VLOOKUP(L$5,NFI,5,0),1,0)*Data_NFI_t[[#This Row],[NFI Core Kit]],0)</f>
        <v>0</v>
      </c>
      <c r="AE348" s="86">
        <f>IF(NFI_Expiration=1,IF($A348&lt;VLOOKUP(M$5,NFI,5,0),1,0)*Data_NFI_t[[#This Row],[Sanitary Kit]],0)</f>
        <v>0</v>
      </c>
      <c r="AF348" s="86">
        <f>IF(NFI_Expiration=1,IF($A348&lt;VLOOKUP(N$5,NFI,5,0),1,0)*Data_NFI_t[[#This Row],[Mosquito net]],0)</f>
        <v>0</v>
      </c>
      <c r="AG348" s="86">
        <f>IF(NFI_Expiration=1,IF($A348&lt;VLOOKUP(O$5,NFI,5,0),1,0)*Data_NFI_t[[#This Row],[Tarpaulin]],0)</f>
        <v>0</v>
      </c>
      <c r="AH348" s="86">
        <f>IF(NFI_Expiration=1,IF($A348&lt;VLOOKUP(P$5,NFI,5,0),1,0)*Data_NFI_t[[#This Row],[Blanket]],0)</f>
        <v>0</v>
      </c>
      <c r="AI348" s="86">
        <f>IF(NFI_Expiration=1,IF($A348&lt;VLOOKUP(Q$5,NFI,5,0),1,0)*Data_NFI_t[[#This Row],[Kitchen Set]],0)</f>
        <v>0</v>
      </c>
      <c r="AJ348" s="86">
        <f>IF(NFI_Expiration=1,IF($A348&lt;VLOOKUP(R$5,NFI,5,0),1,0)*Data_NFI_t[[#This Row],[Complementary Kit]],0)</f>
        <v>0</v>
      </c>
      <c r="AK348" s="86">
        <f>IF(NFI_Expiration=1,IF($A348&lt;VLOOKUP(S$5,NFI,5,0),1,0)*Data_NFI_t[[#This Row],[Plastic Bucket]],0)</f>
        <v>0</v>
      </c>
      <c r="AL348" s="86">
        <f>IF(NFI_Expiration=1,IF($A348&lt;VLOOKUP(T$5,NFI,5,0),1,0)*Data_NFI_t[[#This Row],[Jerry Can]],0)</f>
        <v>0</v>
      </c>
      <c r="AM348" s="105">
        <f>IF(NFI_Expiration=1,IF($A348&lt;VLOOKUP(U$5,NFI,5,0),1,0)*Data_NFI_t[[#This Row],[Plastic Mat]],0)*IF(Data_NFI_t[[#This Row],[Distribution Date]]&gt;"01-06-2015",1,2.5)</f>
        <v>0</v>
      </c>
      <c r="AN348" s="734">
        <f>IF(NFI_Expiration=1,IF($A348&lt;VLOOKUP(V$5,NFI,5,0),1,0)*Data_NFI_t[[#This Row],[Adult Clothes]],0)</f>
        <v>0</v>
      </c>
      <c r="AO348" s="105">
        <f>IF(NFI_Expiration=1,IF($A348&lt;VLOOKUP(W$5,NFI,5,0),1,0)*Data_NFI_t[[#This Row],[Children Clothes]],0)</f>
        <v>0</v>
      </c>
      <c r="AP348" s="105">
        <f>IF(NFI_Expiration=1,IF($A348&lt;VLOOKUP(X$5,NFI,5,0),1,0)*Data_NFI_t[[#This Row],[Sewing Kit]],0)</f>
        <v>0</v>
      </c>
      <c r="AQ348" s="734">
        <f>IF(NFI_Expiration=1,IF($A348&lt;VLOOKUP(X$5,NFI,5,0),1,0)*Data_NFI_t[[#This Row],[Solar Lantern]],0)</f>
        <v>0</v>
      </c>
      <c r="AR348" s="105" t="str">
        <f ca="1">IFERROR(OFFSET(Camp_List[P_Code],MATCH(Data_NFI_t[[#This Row],[Camp Name]],Camp_List[Camp Name],0)-1,0,1,1),"")</f>
        <v/>
      </c>
      <c r="AS348" s="421" t="str">
        <f ca="1">IFERROR(OFFSET(Camp_List[Status],MATCH(Data_NFI_t[[#This Row],[Camp Name]],Camp_List[Camp Name],0)-1,0,1,1),"")</f>
        <v/>
      </c>
      <c r="AT348" s="105"/>
    </row>
    <row r="349" spans="1:46" s="78" customFormat="1" ht="19.5" customHeight="1" x14ac:dyDescent="0.25">
      <c r="A349" s="208">
        <f t="shared" si="5"/>
        <v>62.1</v>
      </c>
      <c r="B349" s="208">
        <f>YEAR(Data_NFI_t[[#This Row],[Distribution Date]])</f>
        <v>2013</v>
      </c>
      <c r="C349" s="744">
        <v>41327</v>
      </c>
      <c r="D349" s="402" t="s">
        <v>270</v>
      </c>
      <c r="E349" s="401"/>
      <c r="F349" s="402" t="s">
        <v>7</v>
      </c>
      <c r="G349" s="670" t="s">
        <v>18</v>
      </c>
      <c r="H349" s="670" t="s">
        <v>101</v>
      </c>
      <c r="I349" s="670">
        <v>0</v>
      </c>
      <c r="J349" s="670"/>
      <c r="K349" s="670"/>
      <c r="L349" s="42">
        <v>15</v>
      </c>
      <c r="M349" s="42"/>
      <c r="N349" s="42">
        <v>30</v>
      </c>
      <c r="O349" s="42">
        <v>15</v>
      </c>
      <c r="P349" s="42">
        <v>30</v>
      </c>
      <c r="Q349" s="42">
        <v>15</v>
      </c>
      <c r="R349" s="42">
        <v>15</v>
      </c>
      <c r="S349" s="42">
        <v>15</v>
      </c>
      <c r="T349" s="419"/>
      <c r="U349" s="42">
        <v>30</v>
      </c>
      <c r="V349" s="42"/>
      <c r="W349" s="42"/>
      <c r="X349" s="42"/>
      <c r="Y349" s="42"/>
      <c r="Z349" s="42"/>
      <c r="AA349" s="42"/>
      <c r="AB349" s="42"/>
      <c r="AC349" s="105">
        <f>IF(NFI_Expiration=1,IF($A349&lt;VLOOKUP(I$5,NFI,5,0),1,0)*Data_NFI_t[[#This Row],[Hygiene Kit]],0)</f>
        <v>0</v>
      </c>
      <c r="AD349" s="105">
        <f>IF(NFI_Expiration=1,IF($A349&lt;VLOOKUP(L$5,NFI,5,0),1,0)*Data_NFI_t[[#This Row],[NFI Core Kit]],0)</f>
        <v>0</v>
      </c>
      <c r="AE349" s="86">
        <f>IF(NFI_Expiration=1,IF($A349&lt;VLOOKUP(M$5,NFI,5,0),1,0)*Data_NFI_t[[#This Row],[Sanitary Kit]],0)</f>
        <v>0</v>
      </c>
      <c r="AF349" s="86">
        <f>IF(NFI_Expiration=1,IF($A349&lt;VLOOKUP(N$5,NFI,5,0),1,0)*Data_NFI_t[[#This Row],[Mosquito net]],0)</f>
        <v>0</v>
      </c>
      <c r="AG349" s="86">
        <f>IF(NFI_Expiration=1,IF($A349&lt;VLOOKUP(O$5,NFI,5,0),1,0)*Data_NFI_t[[#This Row],[Tarpaulin]],0)</f>
        <v>0</v>
      </c>
      <c r="AH349" s="86">
        <f>IF(NFI_Expiration=1,IF($A349&lt;VLOOKUP(P$5,NFI,5,0),1,0)*Data_NFI_t[[#This Row],[Blanket]],0)</f>
        <v>0</v>
      </c>
      <c r="AI349" s="86">
        <f>IF(NFI_Expiration=1,IF($A349&lt;VLOOKUP(Q$5,NFI,5,0),1,0)*Data_NFI_t[[#This Row],[Kitchen Set]],0)</f>
        <v>0</v>
      </c>
      <c r="AJ349" s="86">
        <f>IF(NFI_Expiration=1,IF($A349&lt;VLOOKUP(R$5,NFI,5,0),1,0)*Data_NFI_t[[#This Row],[Complementary Kit]],0)</f>
        <v>0</v>
      </c>
      <c r="AK349" s="86">
        <f>IF(NFI_Expiration=1,IF($A349&lt;VLOOKUP(S$5,NFI,5,0),1,0)*Data_NFI_t[[#This Row],[Plastic Bucket]],0)</f>
        <v>0</v>
      </c>
      <c r="AL349" s="86">
        <f>IF(NFI_Expiration=1,IF($A349&lt;VLOOKUP(T$5,NFI,5,0),1,0)*Data_NFI_t[[#This Row],[Jerry Can]],0)</f>
        <v>0</v>
      </c>
      <c r="AM349" s="105">
        <f>IF(NFI_Expiration=1,IF($A349&lt;VLOOKUP(U$5,NFI,5,0),1,0)*Data_NFI_t[[#This Row],[Plastic Mat]],0)*IF(Data_NFI_t[[#This Row],[Distribution Date]]&gt;"01-06-2015",1,2.5)</f>
        <v>0</v>
      </c>
      <c r="AN349" s="734">
        <f>IF(NFI_Expiration=1,IF($A349&lt;VLOOKUP(V$5,NFI,5,0),1,0)*Data_NFI_t[[#This Row],[Adult Clothes]],0)</f>
        <v>0</v>
      </c>
      <c r="AO349" s="105">
        <f>IF(NFI_Expiration=1,IF($A349&lt;VLOOKUP(W$5,NFI,5,0),1,0)*Data_NFI_t[[#This Row],[Children Clothes]],0)</f>
        <v>0</v>
      </c>
      <c r="AP349" s="105">
        <f>IF(NFI_Expiration=1,IF($A349&lt;VLOOKUP(X$5,NFI,5,0),1,0)*Data_NFI_t[[#This Row],[Sewing Kit]],0)</f>
        <v>0</v>
      </c>
      <c r="AQ349" s="734">
        <f>IF(NFI_Expiration=1,IF($A349&lt;VLOOKUP(X$5,NFI,5,0),1,0)*Data_NFI_t[[#This Row],[Solar Lantern]],0)</f>
        <v>0</v>
      </c>
      <c r="AR349" s="105" t="str">
        <f ca="1">IFERROR(OFFSET(Camp_List[P_Code],MATCH(Data_NFI_t[[#This Row],[Camp Name]],Camp_List[Camp Name],0)-1,0,1,1),"")</f>
        <v>MMR012CMP082</v>
      </c>
      <c r="AS349" s="421" t="str">
        <f ca="1">IFERROR(OFFSET(Camp_List[Status],MATCH(Data_NFI_t[[#This Row],[Camp Name]],Camp_List[Camp Name],0)-1,0,1,1),"")</f>
        <v>Returned</v>
      </c>
      <c r="AT349" s="105"/>
    </row>
    <row r="350" spans="1:46" s="78" customFormat="1" ht="19.5" customHeight="1" x14ac:dyDescent="0.25">
      <c r="A350" s="208">
        <f t="shared" si="5"/>
        <v>62.1</v>
      </c>
      <c r="B350" s="208">
        <f>YEAR(Data_NFI_t[[#This Row],[Distribution Date]])</f>
        <v>2013</v>
      </c>
      <c r="C350" s="744">
        <v>41327</v>
      </c>
      <c r="D350" s="402" t="s">
        <v>270</v>
      </c>
      <c r="E350" s="401"/>
      <c r="F350" s="402" t="s">
        <v>7</v>
      </c>
      <c r="G350" s="670" t="s">
        <v>18</v>
      </c>
      <c r="H350" s="670" t="s">
        <v>101</v>
      </c>
      <c r="I350" s="670">
        <v>0</v>
      </c>
      <c r="J350" s="670"/>
      <c r="K350" s="670"/>
      <c r="L350" s="42"/>
      <c r="M350" s="42">
        <v>30</v>
      </c>
      <c r="N350" s="42">
        <v>52</v>
      </c>
      <c r="O350" s="42">
        <v>15</v>
      </c>
      <c r="P350" s="42">
        <v>0</v>
      </c>
      <c r="Q350" s="42"/>
      <c r="R350" s="42"/>
      <c r="S350" s="42"/>
      <c r="T350" s="419"/>
      <c r="U350" s="42"/>
      <c r="V350" s="42"/>
      <c r="W350" s="42"/>
      <c r="X350" s="42"/>
      <c r="Y350" s="42"/>
      <c r="Z350" s="42"/>
      <c r="AA350" s="42"/>
      <c r="AB350" s="42"/>
      <c r="AC350" s="105">
        <f>IF(NFI_Expiration=1,IF($A350&lt;VLOOKUP(I$5,NFI,5,0),1,0)*Data_NFI_t[[#This Row],[Hygiene Kit]],0)</f>
        <v>0</v>
      </c>
      <c r="AD350" s="105">
        <f>IF(NFI_Expiration=1,IF($A350&lt;VLOOKUP(L$5,NFI,5,0),1,0)*Data_NFI_t[[#This Row],[NFI Core Kit]],0)</f>
        <v>0</v>
      </c>
      <c r="AE350" s="86">
        <f>IF(NFI_Expiration=1,IF($A350&lt;VLOOKUP(M$5,NFI,5,0),1,0)*Data_NFI_t[[#This Row],[Sanitary Kit]],0)</f>
        <v>0</v>
      </c>
      <c r="AF350" s="86">
        <f>IF(NFI_Expiration=1,IF($A350&lt;VLOOKUP(N$5,NFI,5,0),1,0)*Data_NFI_t[[#This Row],[Mosquito net]],0)</f>
        <v>0</v>
      </c>
      <c r="AG350" s="86">
        <f>IF(NFI_Expiration=1,IF($A350&lt;VLOOKUP(O$5,NFI,5,0),1,0)*Data_NFI_t[[#This Row],[Tarpaulin]],0)</f>
        <v>0</v>
      </c>
      <c r="AH350" s="86">
        <f>IF(NFI_Expiration=1,IF($A350&lt;VLOOKUP(P$5,NFI,5,0),1,0)*Data_NFI_t[[#This Row],[Blanket]],0)</f>
        <v>0</v>
      </c>
      <c r="AI350" s="86">
        <f>IF(NFI_Expiration=1,IF($A350&lt;VLOOKUP(Q$5,NFI,5,0),1,0)*Data_NFI_t[[#This Row],[Kitchen Set]],0)</f>
        <v>0</v>
      </c>
      <c r="AJ350" s="86">
        <f>IF(NFI_Expiration=1,IF($A350&lt;VLOOKUP(R$5,NFI,5,0),1,0)*Data_NFI_t[[#This Row],[Complementary Kit]],0)</f>
        <v>0</v>
      </c>
      <c r="AK350" s="86">
        <f>IF(NFI_Expiration=1,IF($A350&lt;VLOOKUP(S$5,NFI,5,0),1,0)*Data_NFI_t[[#This Row],[Plastic Bucket]],0)</f>
        <v>0</v>
      </c>
      <c r="AL350" s="86">
        <f>IF(NFI_Expiration=1,IF($A350&lt;VLOOKUP(T$5,NFI,5,0),1,0)*Data_NFI_t[[#This Row],[Jerry Can]],0)</f>
        <v>0</v>
      </c>
      <c r="AM350" s="105">
        <f>IF(NFI_Expiration=1,IF($A350&lt;VLOOKUP(U$5,NFI,5,0),1,0)*Data_NFI_t[[#This Row],[Plastic Mat]],0)*IF(Data_NFI_t[[#This Row],[Distribution Date]]&gt;"01-06-2015",1,2.5)</f>
        <v>0</v>
      </c>
      <c r="AN350" s="734">
        <f>IF(NFI_Expiration=1,IF($A350&lt;VLOOKUP(V$5,NFI,5,0),1,0)*Data_NFI_t[[#This Row],[Adult Clothes]],0)</f>
        <v>0</v>
      </c>
      <c r="AO350" s="105">
        <f>IF(NFI_Expiration=1,IF($A350&lt;VLOOKUP(W$5,NFI,5,0),1,0)*Data_NFI_t[[#This Row],[Children Clothes]],0)</f>
        <v>0</v>
      </c>
      <c r="AP350" s="105">
        <f>IF(NFI_Expiration=1,IF($A350&lt;VLOOKUP(X$5,NFI,5,0),1,0)*Data_NFI_t[[#This Row],[Sewing Kit]],0)</f>
        <v>0</v>
      </c>
      <c r="AQ350" s="734">
        <f>IF(NFI_Expiration=1,IF($A350&lt;VLOOKUP(X$5,NFI,5,0),1,0)*Data_NFI_t[[#This Row],[Solar Lantern]],0)</f>
        <v>0</v>
      </c>
      <c r="AR350" s="105" t="str">
        <f ca="1">IFERROR(OFFSET(Camp_List[P_Code],MATCH(Data_NFI_t[[#This Row],[Camp Name]],Camp_List[Camp Name],0)-1,0,1,1),"")</f>
        <v>MMR012CMP082</v>
      </c>
      <c r="AS350" s="421" t="str">
        <f ca="1">IFERROR(OFFSET(Camp_List[Status],MATCH(Data_NFI_t[[#This Row],[Camp Name]],Camp_List[Camp Name],0)-1,0,1,1),"")</f>
        <v>Returned</v>
      </c>
      <c r="AT350" s="105"/>
    </row>
    <row r="351" spans="1:46" s="78" customFormat="1" ht="19.5" customHeight="1" x14ac:dyDescent="0.25">
      <c r="A351" s="208">
        <f t="shared" si="5"/>
        <v>62.133333333333333</v>
      </c>
      <c r="B351" s="208">
        <f>YEAR(Data_NFI_t[[#This Row],[Distribution Date]])</f>
        <v>2013</v>
      </c>
      <c r="C351" s="744">
        <v>41326</v>
      </c>
      <c r="D351" s="402" t="s">
        <v>1025</v>
      </c>
      <c r="E351" s="401" t="s">
        <v>277</v>
      </c>
      <c r="F351" s="402" t="s">
        <v>7</v>
      </c>
      <c r="G351" s="670" t="s">
        <v>17</v>
      </c>
      <c r="H351" s="670" t="s">
        <v>66</v>
      </c>
      <c r="I351" s="670">
        <v>1542</v>
      </c>
      <c r="J351" s="670"/>
      <c r="K351" s="670"/>
      <c r="L351" s="42"/>
      <c r="M351" s="42"/>
      <c r="N351" s="42"/>
      <c r="O351" s="42"/>
      <c r="P351" s="42"/>
      <c r="Q351" s="42"/>
      <c r="R351" s="42"/>
      <c r="S351" s="42"/>
      <c r="T351" s="419"/>
      <c r="U351" s="42"/>
      <c r="V351" s="42"/>
      <c r="W351" s="42"/>
      <c r="X351" s="42"/>
      <c r="Y351" s="42"/>
      <c r="Z351" s="42"/>
      <c r="AA351" s="42"/>
      <c r="AB351" s="42"/>
      <c r="AC351" s="105">
        <f>IF(NFI_Expiration=1,IF($A351&lt;VLOOKUP(I$5,NFI,5,0),1,0)*Data_NFI_t[[#This Row],[Hygiene Kit]],0)</f>
        <v>0</v>
      </c>
      <c r="AD351" s="105">
        <f>IF(NFI_Expiration=1,IF($A351&lt;VLOOKUP(L$5,NFI,5,0),1,0)*Data_NFI_t[[#This Row],[NFI Core Kit]],0)</f>
        <v>0</v>
      </c>
      <c r="AE351" s="86">
        <f>IF(NFI_Expiration=1,IF($A351&lt;VLOOKUP(M$5,NFI,5,0),1,0)*Data_NFI_t[[#This Row],[Sanitary Kit]],0)</f>
        <v>0</v>
      </c>
      <c r="AF351" s="86">
        <f>IF(NFI_Expiration=1,IF($A351&lt;VLOOKUP(N$5,NFI,5,0),1,0)*Data_NFI_t[[#This Row],[Mosquito net]],0)</f>
        <v>0</v>
      </c>
      <c r="AG351" s="86">
        <f>IF(NFI_Expiration=1,IF($A351&lt;VLOOKUP(O$5,NFI,5,0),1,0)*Data_NFI_t[[#This Row],[Tarpaulin]],0)</f>
        <v>0</v>
      </c>
      <c r="AH351" s="86">
        <f>IF(NFI_Expiration=1,IF($A351&lt;VLOOKUP(P$5,NFI,5,0),1,0)*Data_NFI_t[[#This Row],[Blanket]],0)</f>
        <v>0</v>
      </c>
      <c r="AI351" s="86">
        <f>IF(NFI_Expiration=1,IF($A351&lt;VLOOKUP(Q$5,NFI,5,0),1,0)*Data_NFI_t[[#This Row],[Kitchen Set]],0)</f>
        <v>0</v>
      </c>
      <c r="AJ351" s="86">
        <f>IF(NFI_Expiration=1,IF($A351&lt;VLOOKUP(R$5,NFI,5,0),1,0)*Data_NFI_t[[#This Row],[Complementary Kit]],0)</f>
        <v>0</v>
      </c>
      <c r="AK351" s="86">
        <f>IF(NFI_Expiration=1,IF($A351&lt;VLOOKUP(S$5,NFI,5,0),1,0)*Data_NFI_t[[#This Row],[Plastic Bucket]],0)</f>
        <v>0</v>
      </c>
      <c r="AL351" s="86">
        <f>IF(NFI_Expiration=1,IF($A351&lt;VLOOKUP(T$5,NFI,5,0),1,0)*Data_NFI_t[[#This Row],[Jerry Can]],0)</f>
        <v>0</v>
      </c>
      <c r="AM351" s="105">
        <f>IF(NFI_Expiration=1,IF($A351&lt;VLOOKUP(U$5,NFI,5,0),1,0)*Data_NFI_t[[#This Row],[Plastic Mat]],0)*IF(Data_NFI_t[[#This Row],[Distribution Date]]&gt;"01-06-2015",1,2.5)</f>
        <v>0</v>
      </c>
      <c r="AN351" s="734">
        <f>IF(NFI_Expiration=1,IF($A351&lt;VLOOKUP(V$5,NFI,5,0),1,0)*Data_NFI_t[[#This Row],[Adult Clothes]],0)</f>
        <v>0</v>
      </c>
      <c r="AO351" s="105">
        <f>IF(NFI_Expiration=1,IF($A351&lt;VLOOKUP(W$5,NFI,5,0),1,0)*Data_NFI_t[[#This Row],[Children Clothes]],0)</f>
        <v>0</v>
      </c>
      <c r="AP351" s="105">
        <f>IF(NFI_Expiration=1,IF($A351&lt;VLOOKUP(X$5,NFI,5,0),1,0)*Data_NFI_t[[#This Row],[Sewing Kit]],0)</f>
        <v>0</v>
      </c>
      <c r="AQ351" s="734">
        <f>IF(NFI_Expiration=1,IF($A351&lt;VLOOKUP(X$5,NFI,5,0),1,0)*Data_NFI_t[[#This Row],[Solar Lantern]],0)</f>
        <v>0</v>
      </c>
      <c r="AR351" s="105" t="str">
        <f ca="1">IFERROR(OFFSET(Camp_List[P_Code],MATCH(Data_NFI_t[[#This Row],[Camp Name]],Camp_List[Camp Name],0)-1,0,1,1),"")</f>
        <v>MMR012CMP046</v>
      </c>
      <c r="AS351" s="421" t="str">
        <f ca="1">IFERROR(OFFSET(Camp_List[Status],MATCH(Data_NFI_t[[#This Row],[Camp Name]],Camp_List[Camp Name],0)-1,0,1,1),"")</f>
        <v>Open</v>
      </c>
      <c r="AT351" s="105"/>
    </row>
    <row r="352" spans="1:46" s="78" customFormat="1" ht="19.5" customHeight="1" x14ac:dyDescent="0.25">
      <c r="A352" s="208">
        <f t="shared" si="5"/>
        <v>62.333333333333336</v>
      </c>
      <c r="B352" s="208">
        <f>YEAR(Data_NFI_t[[#This Row],[Distribution Date]])</f>
        <v>2013</v>
      </c>
      <c r="C352" s="744">
        <v>41320</v>
      </c>
      <c r="D352" s="402" t="s">
        <v>272</v>
      </c>
      <c r="E352" s="401"/>
      <c r="F352" s="402" t="s">
        <v>7</v>
      </c>
      <c r="G352" s="670" t="s">
        <v>11</v>
      </c>
      <c r="H352" s="670" t="s">
        <v>28</v>
      </c>
      <c r="I352" s="670">
        <v>90</v>
      </c>
      <c r="J352" s="670"/>
      <c r="K352" s="670"/>
      <c r="L352" s="42"/>
      <c r="M352" s="42"/>
      <c r="N352" s="42"/>
      <c r="O352" s="42"/>
      <c r="P352" s="42"/>
      <c r="Q352" s="42"/>
      <c r="R352" s="42"/>
      <c r="S352" s="42"/>
      <c r="T352" s="419"/>
      <c r="U352" s="42"/>
      <c r="V352" s="42"/>
      <c r="W352" s="42"/>
      <c r="X352" s="42"/>
      <c r="Y352" s="42"/>
      <c r="Z352" s="42"/>
      <c r="AA352" s="42"/>
      <c r="AB352" s="42"/>
      <c r="AC352" s="105">
        <f>IF(NFI_Expiration=1,IF($A352&lt;VLOOKUP(I$5,NFI,5,0),1,0)*Data_NFI_t[[#This Row],[Hygiene Kit]],0)</f>
        <v>0</v>
      </c>
      <c r="AD352" s="105">
        <f>IF(NFI_Expiration=1,IF($A352&lt;VLOOKUP(L$5,NFI,5,0),1,0)*Data_NFI_t[[#This Row],[NFI Core Kit]],0)</f>
        <v>0</v>
      </c>
      <c r="AE352" s="86">
        <f>IF(NFI_Expiration=1,IF($A352&lt;VLOOKUP(M$5,NFI,5,0),1,0)*Data_NFI_t[[#This Row],[Sanitary Kit]],0)</f>
        <v>0</v>
      </c>
      <c r="AF352" s="86">
        <f>IF(NFI_Expiration=1,IF($A352&lt;VLOOKUP(N$5,NFI,5,0),1,0)*Data_NFI_t[[#This Row],[Mosquito net]],0)</f>
        <v>0</v>
      </c>
      <c r="AG352" s="86">
        <f>IF(NFI_Expiration=1,IF($A352&lt;VLOOKUP(O$5,NFI,5,0),1,0)*Data_NFI_t[[#This Row],[Tarpaulin]],0)</f>
        <v>0</v>
      </c>
      <c r="AH352" s="86">
        <f>IF(NFI_Expiration=1,IF($A352&lt;VLOOKUP(P$5,NFI,5,0),1,0)*Data_NFI_t[[#This Row],[Blanket]],0)</f>
        <v>0</v>
      </c>
      <c r="AI352" s="86">
        <f>IF(NFI_Expiration=1,IF($A352&lt;VLOOKUP(Q$5,NFI,5,0),1,0)*Data_NFI_t[[#This Row],[Kitchen Set]],0)</f>
        <v>0</v>
      </c>
      <c r="AJ352" s="86">
        <f>IF(NFI_Expiration=1,IF($A352&lt;VLOOKUP(R$5,NFI,5,0),1,0)*Data_NFI_t[[#This Row],[Complementary Kit]],0)</f>
        <v>0</v>
      </c>
      <c r="AK352" s="86">
        <f>IF(NFI_Expiration=1,IF($A352&lt;VLOOKUP(S$5,NFI,5,0),1,0)*Data_NFI_t[[#This Row],[Plastic Bucket]],0)</f>
        <v>0</v>
      </c>
      <c r="AL352" s="86">
        <f>IF(NFI_Expiration=1,IF($A352&lt;VLOOKUP(T$5,NFI,5,0),1,0)*Data_NFI_t[[#This Row],[Jerry Can]],0)</f>
        <v>0</v>
      </c>
      <c r="AM352" s="105">
        <f>IF(NFI_Expiration=1,IF($A352&lt;VLOOKUP(U$5,NFI,5,0),1,0)*Data_NFI_t[[#This Row],[Plastic Mat]],0)*IF(Data_NFI_t[[#This Row],[Distribution Date]]&gt;"01-06-2015",1,2.5)</f>
        <v>0</v>
      </c>
      <c r="AN352" s="734">
        <f>IF(NFI_Expiration=1,IF($A352&lt;VLOOKUP(V$5,NFI,5,0),1,0)*Data_NFI_t[[#This Row],[Adult Clothes]],0)</f>
        <v>0</v>
      </c>
      <c r="AO352" s="105">
        <f>IF(NFI_Expiration=1,IF($A352&lt;VLOOKUP(W$5,NFI,5,0),1,0)*Data_NFI_t[[#This Row],[Children Clothes]],0)</f>
        <v>0</v>
      </c>
      <c r="AP352" s="105">
        <f>IF(NFI_Expiration=1,IF($A352&lt;VLOOKUP(X$5,NFI,5,0),1,0)*Data_NFI_t[[#This Row],[Sewing Kit]],0)</f>
        <v>0</v>
      </c>
      <c r="AQ352" s="734">
        <f>IF(NFI_Expiration=1,IF($A352&lt;VLOOKUP(X$5,NFI,5,0),1,0)*Data_NFI_t[[#This Row],[Solar Lantern]],0)</f>
        <v>0</v>
      </c>
      <c r="AR352" s="105" t="str">
        <f ca="1">IFERROR(OFFSET(Camp_List[P_Code],MATCH(Data_NFI_t[[#This Row],[Camp Name]],Camp_List[Camp Name],0)-1,0,1,1),"")</f>
        <v>MMR012CMP006</v>
      </c>
      <c r="AS352" s="421" t="str">
        <f ca="1">IFERROR(OFFSET(Camp_List[Status],MATCH(Data_NFI_t[[#This Row],[Camp Name]],Camp_List[Camp Name],0)-1,0,1,1),"")</f>
        <v>Returned</v>
      </c>
      <c r="AT352" s="105"/>
    </row>
    <row r="353" spans="1:46" s="78" customFormat="1" ht="19.5" customHeight="1" x14ac:dyDescent="0.25">
      <c r="A353" s="208">
        <f t="shared" si="5"/>
        <v>62.333333333333336</v>
      </c>
      <c r="B353" s="208">
        <f>YEAR(Data_NFI_t[[#This Row],[Distribution Date]])</f>
        <v>2013</v>
      </c>
      <c r="C353" s="744">
        <v>41320</v>
      </c>
      <c r="D353" s="402" t="s">
        <v>272</v>
      </c>
      <c r="E353" s="401"/>
      <c r="F353" s="402" t="s">
        <v>7</v>
      </c>
      <c r="G353" s="670" t="s">
        <v>941</v>
      </c>
      <c r="H353" s="670" t="s">
        <v>33</v>
      </c>
      <c r="I353" s="670">
        <v>35</v>
      </c>
      <c r="J353" s="670"/>
      <c r="K353" s="670"/>
      <c r="L353" s="42"/>
      <c r="M353" s="42"/>
      <c r="N353" s="42"/>
      <c r="O353" s="42"/>
      <c r="P353" s="42"/>
      <c r="Q353" s="42"/>
      <c r="R353" s="42"/>
      <c r="S353" s="42"/>
      <c r="T353" s="419"/>
      <c r="U353" s="42"/>
      <c r="V353" s="42"/>
      <c r="W353" s="42"/>
      <c r="X353" s="42"/>
      <c r="Y353" s="42"/>
      <c r="Z353" s="42"/>
      <c r="AA353" s="42"/>
      <c r="AB353" s="42"/>
      <c r="AC353" s="105">
        <f>IF(NFI_Expiration=1,IF($A353&lt;VLOOKUP(I$5,NFI,5,0),1,0)*Data_NFI_t[[#This Row],[Hygiene Kit]],0)</f>
        <v>0</v>
      </c>
      <c r="AD353" s="105">
        <f>IF(NFI_Expiration=1,IF($A353&lt;VLOOKUP(L$5,NFI,5,0),1,0)*Data_NFI_t[[#This Row],[NFI Core Kit]],0)</f>
        <v>0</v>
      </c>
      <c r="AE353" s="86">
        <f>IF(NFI_Expiration=1,IF($A353&lt;VLOOKUP(M$5,NFI,5,0),1,0)*Data_NFI_t[[#This Row],[Sanitary Kit]],0)</f>
        <v>0</v>
      </c>
      <c r="AF353" s="86">
        <f>IF(NFI_Expiration=1,IF($A353&lt;VLOOKUP(N$5,NFI,5,0),1,0)*Data_NFI_t[[#This Row],[Mosquito net]],0)</f>
        <v>0</v>
      </c>
      <c r="AG353" s="86">
        <f>IF(NFI_Expiration=1,IF($A353&lt;VLOOKUP(O$5,NFI,5,0),1,0)*Data_NFI_t[[#This Row],[Tarpaulin]],0)</f>
        <v>0</v>
      </c>
      <c r="AH353" s="86">
        <f>IF(NFI_Expiration=1,IF($A353&lt;VLOOKUP(P$5,NFI,5,0),1,0)*Data_NFI_t[[#This Row],[Blanket]],0)</f>
        <v>0</v>
      </c>
      <c r="AI353" s="86">
        <f>IF(NFI_Expiration=1,IF($A353&lt;VLOOKUP(Q$5,NFI,5,0),1,0)*Data_NFI_t[[#This Row],[Kitchen Set]],0)</f>
        <v>0</v>
      </c>
      <c r="AJ353" s="86">
        <f>IF(NFI_Expiration=1,IF($A353&lt;VLOOKUP(R$5,NFI,5,0),1,0)*Data_NFI_t[[#This Row],[Complementary Kit]],0)</f>
        <v>0</v>
      </c>
      <c r="AK353" s="86">
        <f>IF(NFI_Expiration=1,IF($A353&lt;VLOOKUP(S$5,NFI,5,0),1,0)*Data_NFI_t[[#This Row],[Plastic Bucket]],0)</f>
        <v>0</v>
      </c>
      <c r="AL353" s="86">
        <f>IF(NFI_Expiration=1,IF($A353&lt;VLOOKUP(T$5,NFI,5,0),1,0)*Data_NFI_t[[#This Row],[Jerry Can]],0)</f>
        <v>0</v>
      </c>
      <c r="AM353" s="105">
        <f>IF(NFI_Expiration=1,IF($A353&lt;VLOOKUP(U$5,NFI,5,0),1,0)*Data_NFI_t[[#This Row],[Plastic Mat]],0)*IF(Data_NFI_t[[#This Row],[Distribution Date]]&gt;"01-06-2015",1,2.5)</f>
        <v>0</v>
      </c>
      <c r="AN353" s="734">
        <f>IF(NFI_Expiration=1,IF($A353&lt;VLOOKUP(V$5,NFI,5,0),1,0)*Data_NFI_t[[#This Row],[Adult Clothes]],0)</f>
        <v>0</v>
      </c>
      <c r="AO353" s="105">
        <f>IF(NFI_Expiration=1,IF($A353&lt;VLOOKUP(W$5,NFI,5,0),1,0)*Data_NFI_t[[#This Row],[Children Clothes]],0)</f>
        <v>0</v>
      </c>
      <c r="AP353" s="105">
        <f>IF(NFI_Expiration=1,IF($A353&lt;VLOOKUP(X$5,NFI,5,0),1,0)*Data_NFI_t[[#This Row],[Sewing Kit]],0)</f>
        <v>0</v>
      </c>
      <c r="AQ353" s="734">
        <f>IF(NFI_Expiration=1,IF($A353&lt;VLOOKUP(X$5,NFI,5,0),1,0)*Data_NFI_t[[#This Row],[Solar Lantern]],0)</f>
        <v>0</v>
      </c>
      <c r="AR353" s="105" t="str">
        <f ca="1">IFERROR(OFFSET(Camp_List[P_Code],MATCH(Data_NFI_t[[#This Row],[Camp Name]],Camp_List[Camp Name],0)-1,0,1,1),"")</f>
        <v>MMR012CMP011</v>
      </c>
      <c r="AS353" s="421" t="str">
        <f ca="1">IFERROR(OFFSET(Camp_List[Status],MATCH(Data_NFI_t[[#This Row],[Camp Name]],Camp_List[Camp Name],0)-1,0,1,1),"")</f>
        <v>Close</v>
      </c>
      <c r="AT353" s="105"/>
    </row>
    <row r="354" spans="1:46" s="78" customFormat="1" ht="19.5" customHeight="1" x14ac:dyDescent="0.25">
      <c r="A354" s="208">
        <f t="shared" si="5"/>
        <v>62.333333333333336</v>
      </c>
      <c r="B354" s="208">
        <f>YEAR(Data_NFI_t[[#This Row],[Distribution Date]])</f>
        <v>2013</v>
      </c>
      <c r="C354" s="744">
        <v>41320</v>
      </c>
      <c r="D354" s="402" t="s">
        <v>272</v>
      </c>
      <c r="E354" s="401"/>
      <c r="F354" s="402" t="s">
        <v>7</v>
      </c>
      <c r="G354" s="670" t="s">
        <v>11</v>
      </c>
      <c r="H354" s="670" t="s">
        <v>26</v>
      </c>
      <c r="I354" s="670">
        <v>230</v>
      </c>
      <c r="J354" s="670"/>
      <c r="K354" s="670"/>
      <c r="L354" s="42"/>
      <c r="M354" s="42"/>
      <c r="N354" s="42"/>
      <c r="O354" s="42"/>
      <c r="P354" s="42"/>
      <c r="Q354" s="42"/>
      <c r="R354" s="42"/>
      <c r="S354" s="42"/>
      <c r="T354" s="419"/>
      <c r="U354" s="42"/>
      <c r="V354" s="42"/>
      <c r="W354" s="42"/>
      <c r="X354" s="42"/>
      <c r="Y354" s="42"/>
      <c r="Z354" s="42"/>
      <c r="AA354" s="42"/>
      <c r="AB354" s="42"/>
      <c r="AC354" s="105">
        <f>IF(NFI_Expiration=1,IF($A354&lt;VLOOKUP(I$5,NFI,5,0),1,0)*Data_NFI_t[[#This Row],[Hygiene Kit]],0)</f>
        <v>0</v>
      </c>
      <c r="AD354" s="105">
        <f>IF(NFI_Expiration=1,IF($A354&lt;VLOOKUP(L$5,NFI,5,0),1,0)*Data_NFI_t[[#This Row],[NFI Core Kit]],0)</f>
        <v>0</v>
      </c>
      <c r="AE354" s="86">
        <f>IF(NFI_Expiration=1,IF($A354&lt;VLOOKUP(M$5,NFI,5,0),1,0)*Data_NFI_t[[#This Row],[Sanitary Kit]],0)</f>
        <v>0</v>
      </c>
      <c r="AF354" s="86">
        <f>IF(NFI_Expiration=1,IF($A354&lt;VLOOKUP(N$5,NFI,5,0),1,0)*Data_NFI_t[[#This Row],[Mosquito net]],0)</f>
        <v>0</v>
      </c>
      <c r="AG354" s="86">
        <f>IF(NFI_Expiration=1,IF($A354&lt;VLOOKUP(O$5,NFI,5,0),1,0)*Data_NFI_t[[#This Row],[Tarpaulin]],0)</f>
        <v>0</v>
      </c>
      <c r="AH354" s="86">
        <f>IF(NFI_Expiration=1,IF($A354&lt;VLOOKUP(P$5,NFI,5,0),1,0)*Data_NFI_t[[#This Row],[Blanket]],0)</f>
        <v>0</v>
      </c>
      <c r="AI354" s="86">
        <f>IF(NFI_Expiration=1,IF($A354&lt;VLOOKUP(Q$5,NFI,5,0),1,0)*Data_NFI_t[[#This Row],[Kitchen Set]],0)</f>
        <v>0</v>
      </c>
      <c r="AJ354" s="86">
        <f>IF(NFI_Expiration=1,IF($A354&lt;VLOOKUP(R$5,NFI,5,0),1,0)*Data_NFI_t[[#This Row],[Complementary Kit]],0)</f>
        <v>0</v>
      </c>
      <c r="AK354" s="86">
        <f>IF(NFI_Expiration=1,IF($A354&lt;VLOOKUP(S$5,NFI,5,0),1,0)*Data_NFI_t[[#This Row],[Plastic Bucket]],0)</f>
        <v>0</v>
      </c>
      <c r="AL354" s="86">
        <f>IF(NFI_Expiration=1,IF($A354&lt;VLOOKUP(T$5,NFI,5,0),1,0)*Data_NFI_t[[#This Row],[Jerry Can]],0)</f>
        <v>0</v>
      </c>
      <c r="AM354" s="105">
        <f>IF(NFI_Expiration=1,IF($A354&lt;VLOOKUP(U$5,NFI,5,0),1,0)*Data_NFI_t[[#This Row],[Plastic Mat]],0)*IF(Data_NFI_t[[#This Row],[Distribution Date]]&gt;"01-06-2015",1,2.5)</f>
        <v>0</v>
      </c>
      <c r="AN354" s="734">
        <f>IF(NFI_Expiration=1,IF($A354&lt;VLOOKUP(V$5,NFI,5,0),1,0)*Data_NFI_t[[#This Row],[Adult Clothes]],0)</f>
        <v>0</v>
      </c>
      <c r="AO354" s="105">
        <f>IF(NFI_Expiration=1,IF($A354&lt;VLOOKUP(W$5,NFI,5,0),1,0)*Data_NFI_t[[#This Row],[Children Clothes]],0)</f>
        <v>0</v>
      </c>
      <c r="AP354" s="105">
        <f>IF(NFI_Expiration=1,IF($A354&lt;VLOOKUP(X$5,NFI,5,0),1,0)*Data_NFI_t[[#This Row],[Sewing Kit]],0)</f>
        <v>0</v>
      </c>
      <c r="AQ354" s="734">
        <f>IF(NFI_Expiration=1,IF($A354&lt;VLOOKUP(X$5,NFI,5,0),1,0)*Data_NFI_t[[#This Row],[Solar Lantern]],0)</f>
        <v>0</v>
      </c>
      <c r="AR354" s="105" t="str">
        <f ca="1">IFERROR(OFFSET(Camp_List[P_Code],MATCH(Data_NFI_t[[#This Row],[Camp Name]],Camp_List[Camp Name],0)-1,0,1,1),"")</f>
        <v>MMR012CMP004</v>
      </c>
      <c r="AS354" s="421" t="str">
        <f ca="1">IFERROR(OFFSET(Camp_List[Status],MATCH(Data_NFI_t[[#This Row],[Camp Name]],Camp_List[Camp Name],0)-1,0,1,1),"")</f>
        <v>Close</v>
      </c>
      <c r="AT354" s="105"/>
    </row>
    <row r="355" spans="1:46" s="78" customFormat="1" ht="19.5" customHeight="1" x14ac:dyDescent="0.25">
      <c r="A355" s="208">
        <f t="shared" si="5"/>
        <v>62.333333333333336</v>
      </c>
      <c r="B355" s="208">
        <f>YEAR(Data_NFI_t[[#This Row],[Distribution Date]])</f>
        <v>2013</v>
      </c>
      <c r="C355" s="744">
        <v>41320</v>
      </c>
      <c r="D355" s="402" t="s">
        <v>272</v>
      </c>
      <c r="E355" s="401"/>
      <c r="F355" s="402" t="s">
        <v>7</v>
      </c>
      <c r="G355" s="670" t="s">
        <v>941</v>
      </c>
      <c r="H355" s="670" t="s">
        <v>31</v>
      </c>
      <c r="I355" s="670">
        <v>245</v>
      </c>
      <c r="J355" s="670"/>
      <c r="K355" s="670"/>
      <c r="L355" s="42"/>
      <c r="M355" s="42"/>
      <c r="N355" s="42"/>
      <c r="O355" s="42"/>
      <c r="P355" s="42"/>
      <c r="Q355" s="42"/>
      <c r="R355" s="42"/>
      <c r="S355" s="42"/>
      <c r="T355" s="419"/>
      <c r="U355" s="42"/>
      <c r="V355" s="42"/>
      <c r="W355" s="42"/>
      <c r="X355" s="42"/>
      <c r="Y355" s="42"/>
      <c r="Z355" s="42"/>
      <c r="AA355" s="42"/>
      <c r="AB355" s="42"/>
      <c r="AC355" s="105">
        <f>IF(NFI_Expiration=1,IF($A355&lt;VLOOKUP(I$5,NFI,5,0),1,0)*Data_NFI_t[[#This Row],[Hygiene Kit]],0)</f>
        <v>0</v>
      </c>
      <c r="AD355" s="105">
        <f>IF(NFI_Expiration=1,IF($A355&lt;VLOOKUP(L$5,NFI,5,0),1,0)*Data_NFI_t[[#This Row],[NFI Core Kit]],0)</f>
        <v>0</v>
      </c>
      <c r="AE355" s="86">
        <f>IF(NFI_Expiration=1,IF($A355&lt;VLOOKUP(M$5,NFI,5,0),1,0)*Data_NFI_t[[#This Row],[Sanitary Kit]],0)</f>
        <v>0</v>
      </c>
      <c r="AF355" s="86">
        <f>IF(NFI_Expiration=1,IF($A355&lt;VLOOKUP(N$5,NFI,5,0),1,0)*Data_NFI_t[[#This Row],[Mosquito net]],0)</f>
        <v>0</v>
      </c>
      <c r="AG355" s="86">
        <f>IF(NFI_Expiration=1,IF($A355&lt;VLOOKUP(O$5,NFI,5,0),1,0)*Data_NFI_t[[#This Row],[Tarpaulin]],0)</f>
        <v>0</v>
      </c>
      <c r="AH355" s="86">
        <f>IF(NFI_Expiration=1,IF($A355&lt;VLOOKUP(P$5,NFI,5,0),1,0)*Data_NFI_t[[#This Row],[Blanket]],0)</f>
        <v>0</v>
      </c>
      <c r="AI355" s="86">
        <f>IF(NFI_Expiration=1,IF($A355&lt;VLOOKUP(Q$5,NFI,5,0),1,0)*Data_NFI_t[[#This Row],[Kitchen Set]],0)</f>
        <v>0</v>
      </c>
      <c r="AJ355" s="86">
        <f>IF(NFI_Expiration=1,IF($A355&lt;VLOOKUP(R$5,NFI,5,0),1,0)*Data_NFI_t[[#This Row],[Complementary Kit]],0)</f>
        <v>0</v>
      </c>
      <c r="AK355" s="86">
        <f>IF(NFI_Expiration=1,IF($A355&lt;VLOOKUP(S$5,NFI,5,0),1,0)*Data_NFI_t[[#This Row],[Plastic Bucket]],0)</f>
        <v>0</v>
      </c>
      <c r="AL355" s="86">
        <f>IF(NFI_Expiration=1,IF($A355&lt;VLOOKUP(T$5,NFI,5,0),1,0)*Data_NFI_t[[#This Row],[Jerry Can]],0)</f>
        <v>0</v>
      </c>
      <c r="AM355" s="105">
        <f>IF(NFI_Expiration=1,IF($A355&lt;VLOOKUP(U$5,NFI,5,0),1,0)*Data_NFI_t[[#This Row],[Plastic Mat]],0)*IF(Data_NFI_t[[#This Row],[Distribution Date]]&gt;"01-06-2015",1,2.5)</f>
        <v>0</v>
      </c>
      <c r="AN355" s="734">
        <f>IF(NFI_Expiration=1,IF($A355&lt;VLOOKUP(V$5,NFI,5,0),1,0)*Data_NFI_t[[#This Row],[Adult Clothes]],0)</f>
        <v>0</v>
      </c>
      <c r="AO355" s="105">
        <f>IF(NFI_Expiration=1,IF($A355&lt;VLOOKUP(W$5,NFI,5,0),1,0)*Data_NFI_t[[#This Row],[Children Clothes]],0)</f>
        <v>0</v>
      </c>
      <c r="AP355" s="105">
        <f>IF(NFI_Expiration=1,IF($A355&lt;VLOOKUP(X$5,NFI,5,0),1,0)*Data_NFI_t[[#This Row],[Sewing Kit]],0)</f>
        <v>0</v>
      </c>
      <c r="AQ355" s="734">
        <f>IF(NFI_Expiration=1,IF($A355&lt;VLOOKUP(X$5,NFI,5,0),1,0)*Data_NFI_t[[#This Row],[Solar Lantern]],0)</f>
        <v>0</v>
      </c>
      <c r="AR355" s="105" t="str">
        <f ca="1">IFERROR(OFFSET(Camp_List[P_Code],MATCH(Data_NFI_t[[#This Row],[Camp Name]],Camp_List[Camp Name],0)-1,0,1,1),"")</f>
        <v>MMR012CMP009</v>
      </c>
      <c r="AS355" s="421" t="str">
        <f ca="1">IFERROR(OFFSET(Camp_List[Status],MATCH(Data_NFI_t[[#This Row],[Camp Name]],Camp_List[Camp Name],0)-1,0,1,1),"")</f>
        <v>Returned</v>
      </c>
      <c r="AT355" s="105"/>
    </row>
    <row r="356" spans="1:46" s="78" customFormat="1" ht="19.5" customHeight="1" x14ac:dyDescent="0.25">
      <c r="A356" s="208">
        <f t="shared" si="5"/>
        <v>62.333333333333336</v>
      </c>
      <c r="B356" s="208">
        <f>YEAR(Data_NFI_t[[#This Row],[Distribution Date]])</f>
        <v>2013</v>
      </c>
      <c r="C356" s="744">
        <v>41320</v>
      </c>
      <c r="D356" s="402" t="s">
        <v>272</v>
      </c>
      <c r="E356" s="401"/>
      <c r="F356" s="402" t="s">
        <v>7</v>
      </c>
      <c r="G356" s="670" t="s">
        <v>11</v>
      </c>
      <c r="H356" s="670" t="s">
        <v>23</v>
      </c>
      <c r="I356" s="670">
        <v>20</v>
      </c>
      <c r="J356" s="670"/>
      <c r="K356" s="670"/>
      <c r="L356" s="42"/>
      <c r="M356" s="42"/>
      <c r="N356" s="42"/>
      <c r="O356" s="42"/>
      <c r="P356" s="42"/>
      <c r="Q356" s="42"/>
      <c r="R356" s="42"/>
      <c r="S356" s="42"/>
      <c r="T356" s="419"/>
      <c r="U356" s="42"/>
      <c r="V356" s="42"/>
      <c r="W356" s="42"/>
      <c r="X356" s="42"/>
      <c r="Y356" s="42"/>
      <c r="Z356" s="42"/>
      <c r="AA356" s="42"/>
      <c r="AB356" s="42"/>
      <c r="AC356" s="105">
        <f>IF(NFI_Expiration=1,IF($A356&lt;VLOOKUP(I$5,NFI,5,0),1,0)*Data_NFI_t[[#This Row],[Hygiene Kit]],0)</f>
        <v>0</v>
      </c>
      <c r="AD356" s="105">
        <f>IF(NFI_Expiration=1,IF($A356&lt;VLOOKUP(L$5,NFI,5,0),1,0)*Data_NFI_t[[#This Row],[NFI Core Kit]],0)</f>
        <v>0</v>
      </c>
      <c r="AE356" s="86">
        <f>IF(NFI_Expiration=1,IF($A356&lt;VLOOKUP(M$5,NFI,5,0),1,0)*Data_NFI_t[[#This Row],[Sanitary Kit]],0)</f>
        <v>0</v>
      </c>
      <c r="AF356" s="86">
        <f>IF(NFI_Expiration=1,IF($A356&lt;VLOOKUP(N$5,NFI,5,0),1,0)*Data_NFI_t[[#This Row],[Mosquito net]],0)</f>
        <v>0</v>
      </c>
      <c r="AG356" s="86">
        <f>IF(NFI_Expiration=1,IF($A356&lt;VLOOKUP(O$5,NFI,5,0),1,0)*Data_NFI_t[[#This Row],[Tarpaulin]],0)</f>
        <v>0</v>
      </c>
      <c r="AH356" s="86">
        <f>IF(NFI_Expiration=1,IF($A356&lt;VLOOKUP(P$5,NFI,5,0),1,0)*Data_NFI_t[[#This Row],[Blanket]],0)</f>
        <v>0</v>
      </c>
      <c r="AI356" s="86">
        <f>IF(NFI_Expiration=1,IF($A356&lt;VLOOKUP(Q$5,NFI,5,0),1,0)*Data_NFI_t[[#This Row],[Kitchen Set]],0)</f>
        <v>0</v>
      </c>
      <c r="AJ356" s="86">
        <f>IF(NFI_Expiration=1,IF($A356&lt;VLOOKUP(R$5,NFI,5,0),1,0)*Data_NFI_t[[#This Row],[Complementary Kit]],0)</f>
        <v>0</v>
      </c>
      <c r="AK356" s="86">
        <f>IF(NFI_Expiration=1,IF($A356&lt;VLOOKUP(S$5,NFI,5,0),1,0)*Data_NFI_t[[#This Row],[Plastic Bucket]],0)</f>
        <v>0</v>
      </c>
      <c r="AL356" s="86">
        <f>IF(NFI_Expiration=1,IF($A356&lt;VLOOKUP(T$5,NFI,5,0),1,0)*Data_NFI_t[[#This Row],[Jerry Can]],0)</f>
        <v>0</v>
      </c>
      <c r="AM356" s="105">
        <f>IF(NFI_Expiration=1,IF($A356&lt;VLOOKUP(U$5,NFI,5,0),1,0)*Data_NFI_t[[#This Row],[Plastic Mat]],0)*IF(Data_NFI_t[[#This Row],[Distribution Date]]&gt;"01-06-2015",1,2.5)</f>
        <v>0</v>
      </c>
      <c r="AN356" s="734">
        <f>IF(NFI_Expiration=1,IF($A356&lt;VLOOKUP(V$5,NFI,5,0),1,0)*Data_NFI_t[[#This Row],[Adult Clothes]],0)</f>
        <v>0</v>
      </c>
      <c r="AO356" s="105">
        <f>IF(NFI_Expiration=1,IF($A356&lt;VLOOKUP(W$5,NFI,5,0),1,0)*Data_NFI_t[[#This Row],[Children Clothes]],0)</f>
        <v>0</v>
      </c>
      <c r="AP356" s="105">
        <f>IF(NFI_Expiration=1,IF($A356&lt;VLOOKUP(X$5,NFI,5,0),1,0)*Data_NFI_t[[#This Row],[Sewing Kit]],0)</f>
        <v>0</v>
      </c>
      <c r="AQ356" s="734">
        <f>IF(NFI_Expiration=1,IF($A356&lt;VLOOKUP(X$5,NFI,5,0),1,0)*Data_NFI_t[[#This Row],[Solar Lantern]],0)</f>
        <v>0</v>
      </c>
      <c r="AR356" s="105" t="str">
        <f ca="1">IFERROR(OFFSET(Camp_List[P_Code],MATCH(Data_NFI_t[[#This Row],[Camp Name]],Camp_List[Camp Name],0)-1,0,1,1),"")</f>
        <v>MMR012CMP001</v>
      </c>
      <c r="AS356" s="421" t="str">
        <f ca="1">IFERROR(OFFSET(Camp_List[Status],MATCH(Data_NFI_t[[#This Row],[Camp Name]],Camp_List[Camp Name],0)-1,0,1,1),"")</f>
        <v>Returned</v>
      </c>
      <c r="AT356" s="105"/>
    </row>
    <row r="357" spans="1:46" s="78" customFormat="1" ht="19.5" customHeight="1" x14ac:dyDescent="0.25">
      <c r="A357" s="208">
        <f t="shared" si="5"/>
        <v>62.333333333333336</v>
      </c>
      <c r="B357" s="208">
        <f>YEAR(Data_NFI_t[[#This Row],[Distribution Date]])</f>
        <v>2013</v>
      </c>
      <c r="C357" s="744">
        <v>41320</v>
      </c>
      <c r="D357" s="402" t="s">
        <v>272</v>
      </c>
      <c r="E357" s="401"/>
      <c r="F357" s="402" t="s">
        <v>7</v>
      </c>
      <c r="G357" s="670" t="s">
        <v>11</v>
      </c>
      <c r="H357" s="670" t="s">
        <v>30</v>
      </c>
      <c r="I357" s="670">
        <v>230</v>
      </c>
      <c r="J357" s="670"/>
      <c r="K357" s="670"/>
      <c r="L357" s="42"/>
      <c r="M357" s="42"/>
      <c r="N357" s="42"/>
      <c r="O357" s="42"/>
      <c r="P357" s="42"/>
      <c r="Q357" s="42"/>
      <c r="R357" s="42"/>
      <c r="S357" s="42"/>
      <c r="T357" s="419"/>
      <c r="U357" s="42"/>
      <c r="V357" s="42"/>
      <c r="W357" s="42"/>
      <c r="X357" s="42"/>
      <c r="Y357" s="42"/>
      <c r="Z357" s="42"/>
      <c r="AA357" s="42"/>
      <c r="AB357" s="42"/>
      <c r="AC357" s="105">
        <f>IF(NFI_Expiration=1,IF($A357&lt;VLOOKUP(I$5,NFI,5,0),1,0)*Data_NFI_t[[#This Row],[Hygiene Kit]],0)</f>
        <v>0</v>
      </c>
      <c r="AD357" s="105">
        <f>IF(NFI_Expiration=1,IF($A357&lt;VLOOKUP(L$5,NFI,5,0),1,0)*Data_NFI_t[[#This Row],[NFI Core Kit]],0)</f>
        <v>0</v>
      </c>
      <c r="AE357" s="86">
        <f>IF(NFI_Expiration=1,IF($A357&lt;VLOOKUP(M$5,NFI,5,0),1,0)*Data_NFI_t[[#This Row],[Sanitary Kit]],0)</f>
        <v>0</v>
      </c>
      <c r="AF357" s="86">
        <f>IF(NFI_Expiration=1,IF($A357&lt;VLOOKUP(N$5,NFI,5,0),1,0)*Data_NFI_t[[#This Row],[Mosquito net]],0)</f>
        <v>0</v>
      </c>
      <c r="AG357" s="86">
        <f>IF(NFI_Expiration=1,IF($A357&lt;VLOOKUP(O$5,NFI,5,0),1,0)*Data_NFI_t[[#This Row],[Tarpaulin]],0)</f>
        <v>0</v>
      </c>
      <c r="AH357" s="86">
        <f>IF(NFI_Expiration=1,IF($A357&lt;VLOOKUP(P$5,NFI,5,0),1,0)*Data_NFI_t[[#This Row],[Blanket]],0)</f>
        <v>0</v>
      </c>
      <c r="AI357" s="86">
        <f>IF(NFI_Expiration=1,IF($A357&lt;VLOOKUP(Q$5,NFI,5,0),1,0)*Data_NFI_t[[#This Row],[Kitchen Set]],0)</f>
        <v>0</v>
      </c>
      <c r="AJ357" s="86">
        <f>IF(NFI_Expiration=1,IF($A357&lt;VLOOKUP(R$5,NFI,5,0),1,0)*Data_NFI_t[[#This Row],[Complementary Kit]],0)</f>
        <v>0</v>
      </c>
      <c r="AK357" s="86">
        <f>IF(NFI_Expiration=1,IF($A357&lt;VLOOKUP(S$5,NFI,5,0),1,0)*Data_NFI_t[[#This Row],[Plastic Bucket]],0)</f>
        <v>0</v>
      </c>
      <c r="AL357" s="86">
        <f>IF(NFI_Expiration=1,IF($A357&lt;VLOOKUP(T$5,NFI,5,0),1,0)*Data_NFI_t[[#This Row],[Jerry Can]],0)</f>
        <v>0</v>
      </c>
      <c r="AM357" s="105">
        <f>IF(NFI_Expiration=1,IF($A357&lt;VLOOKUP(U$5,NFI,5,0),1,0)*Data_NFI_t[[#This Row],[Plastic Mat]],0)*IF(Data_NFI_t[[#This Row],[Distribution Date]]&gt;"01-06-2015",1,2.5)</f>
        <v>0</v>
      </c>
      <c r="AN357" s="734">
        <f>IF(NFI_Expiration=1,IF($A357&lt;VLOOKUP(V$5,NFI,5,0),1,0)*Data_NFI_t[[#This Row],[Adult Clothes]],0)</f>
        <v>0</v>
      </c>
      <c r="AO357" s="105">
        <f>IF(NFI_Expiration=1,IF($A357&lt;VLOOKUP(W$5,NFI,5,0),1,0)*Data_NFI_t[[#This Row],[Children Clothes]],0)</f>
        <v>0</v>
      </c>
      <c r="AP357" s="105">
        <f>IF(NFI_Expiration=1,IF($A357&lt;VLOOKUP(X$5,NFI,5,0),1,0)*Data_NFI_t[[#This Row],[Sewing Kit]],0)</f>
        <v>0</v>
      </c>
      <c r="AQ357" s="734">
        <f>IF(NFI_Expiration=1,IF($A357&lt;VLOOKUP(X$5,NFI,5,0),1,0)*Data_NFI_t[[#This Row],[Solar Lantern]],0)</f>
        <v>0</v>
      </c>
      <c r="AR357" s="105" t="str">
        <f ca="1">IFERROR(OFFSET(Camp_List[P_Code],MATCH(Data_NFI_t[[#This Row],[Camp Name]],Camp_List[Camp Name],0)-1,0,1,1),"")</f>
        <v>MMR012CMP008</v>
      </c>
      <c r="AS357" s="421" t="str">
        <f ca="1">IFERROR(OFFSET(Camp_List[Status],MATCH(Data_NFI_t[[#This Row],[Camp Name]],Camp_List[Camp Name],0)-1,0,1,1),"")</f>
        <v>Returned</v>
      </c>
      <c r="AT357" s="105"/>
    </row>
    <row r="358" spans="1:46" s="78" customFormat="1" ht="19.5" customHeight="1" x14ac:dyDescent="0.25">
      <c r="A358" s="208">
        <f t="shared" si="5"/>
        <v>62.333333333333336</v>
      </c>
      <c r="B358" s="208">
        <f>YEAR(Data_NFI_t[[#This Row],[Distribution Date]])</f>
        <v>2013</v>
      </c>
      <c r="C358" s="744">
        <v>41320</v>
      </c>
      <c r="D358" s="402" t="s">
        <v>272</v>
      </c>
      <c r="E358" s="401"/>
      <c r="F358" s="402" t="s">
        <v>7</v>
      </c>
      <c r="G358" s="670" t="s">
        <v>11</v>
      </c>
      <c r="H358" s="670" t="s">
        <v>25</v>
      </c>
      <c r="I358" s="670">
        <v>90</v>
      </c>
      <c r="J358" s="670"/>
      <c r="K358" s="670"/>
      <c r="L358" s="42"/>
      <c r="M358" s="42"/>
      <c r="N358" s="42"/>
      <c r="O358" s="42"/>
      <c r="P358" s="42"/>
      <c r="Q358" s="42"/>
      <c r="R358" s="42"/>
      <c r="S358" s="42"/>
      <c r="T358" s="419"/>
      <c r="U358" s="42"/>
      <c r="V358" s="42"/>
      <c r="W358" s="42"/>
      <c r="X358" s="42"/>
      <c r="Y358" s="42"/>
      <c r="Z358" s="42"/>
      <c r="AA358" s="42"/>
      <c r="AB358" s="42"/>
      <c r="AC358" s="105">
        <f>IF(NFI_Expiration=1,IF($A358&lt;VLOOKUP(I$5,NFI,5,0),1,0)*Data_NFI_t[[#This Row],[Hygiene Kit]],0)</f>
        <v>0</v>
      </c>
      <c r="AD358" s="105">
        <f>IF(NFI_Expiration=1,IF($A358&lt;VLOOKUP(L$5,NFI,5,0),1,0)*Data_NFI_t[[#This Row],[NFI Core Kit]],0)</f>
        <v>0</v>
      </c>
      <c r="AE358" s="86">
        <f>IF(NFI_Expiration=1,IF($A358&lt;VLOOKUP(M$5,NFI,5,0),1,0)*Data_NFI_t[[#This Row],[Sanitary Kit]],0)</f>
        <v>0</v>
      </c>
      <c r="AF358" s="86">
        <f>IF(NFI_Expiration=1,IF($A358&lt;VLOOKUP(N$5,NFI,5,0),1,0)*Data_NFI_t[[#This Row],[Mosquito net]],0)</f>
        <v>0</v>
      </c>
      <c r="AG358" s="86">
        <f>IF(NFI_Expiration=1,IF($A358&lt;VLOOKUP(O$5,NFI,5,0),1,0)*Data_NFI_t[[#This Row],[Tarpaulin]],0)</f>
        <v>0</v>
      </c>
      <c r="AH358" s="86">
        <f>IF(NFI_Expiration=1,IF($A358&lt;VLOOKUP(P$5,NFI,5,0),1,0)*Data_NFI_t[[#This Row],[Blanket]],0)</f>
        <v>0</v>
      </c>
      <c r="AI358" s="86">
        <f>IF(NFI_Expiration=1,IF($A358&lt;VLOOKUP(Q$5,NFI,5,0),1,0)*Data_NFI_t[[#This Row],[Kitchen Set]],0)</f>
        <v>0</v>
      </c>
      <c r="AJ358" s="86">
        <f>IF(NFI_Expiration=1,IF($A358&lt;VLOOKUP(R$5,NFI,5,0),1,0)*Data_NFI_t[[#This Row],[Complementary Kit]],0)</f>
        <v>0</v>
      </c>
      <c r="AK358" s="86">
        <f>IF(NFI_Expiration=1,IF($A358&lt;VLOOKUP(S$5,NFI,5,0),1,0)*Data_NFI_t[[#This Row],[Plastic Bucket]],0)</f>
        <v>0</v>
      </c>
      <c r="AL358" s="86">
        <f>IF(NFI_Expiration=1,IF($A358&lt;VLOOKUP(T$5,NFI,5,0),1,0)*Data_NFI_t[[#This Row],[Jerry Can]],0)</f>
        <v>0</v>
      </c>
      <c r="AM358" s="105">
        <f>IF(NFI_Expiration=1,IF($A358&lt;VLOOKUP(U$5,NFI,5,0),1,0)*Data_NFI_t[[#This Row],[Plastic Mat]],0)*IF(Data_NFI_t[[#This Row],[Distribution Date]]&gt;"01-06-2015",1,2.5)</f>
        <v>0</v>
      </c>
      <c r="AN358" s="734">
        <f>IF(NFI_Expiration=1,IF($A358&lt;VLOOKUP(V$5,NFI,5,0),1,0)*Data_NFI_t[[#This Row],[Adult Clothes]],0)</f>
        <v>0</v>
      </c>
      <c r="AO358" s="105">
        <f>IF(NFI_Expiration=1,IF($A358&lt;VLOOKUP(W$5,NFI,5,0),1,0)*Data_NFI_t[[#This Row],[Children Clothes]],0)</f>
        <v>0</v>
      </c>
      <c r="AP358" s="105">
        <f>IF(NFI_Expiration=1,IF($A358&lt;VLOOKUP(X$5,NFI,5,0),1,0)*Data_NFI_t[[#This Row],[Sewing Kit]],0)</f>
        <v>0</v>
      </c>
      <c r="AQ358" s="734">
        <f>IF(NFI_Expiration=1,IF($A358&lt;VLOOKUP(X$5,NFI,5,0),1,0)*Data_NFI_t[[#This Row],[Solar Lantern]],0)</f>
        <v>0</v>
      </c>
      <c r="AR358" s="105" t="str">
        <f ca="1">IFERROR(OFFSET(Camp_List[P_Code],MATCH(Data_NFI_t[[#This Row],[Camp Name]],Camp_List[Camp Name],0)-1,0,1,1),"")</f>
        <v>MMR012CMP003</v>
      </c>
      <c r="AS358" s="421" t="str">
        <f ca="1">IFERROR(OFFSET(Camp_List[Status],MATCH(Data_NFI_t[[#This Row],[Camp Name]],Camp_List[Camp Name],0)-1,0,1,1),"")</f>
        <v>Returned</v>
      </c>
      <c r="AT358" s="105"/>
    </row>
    <row r="359" spans="1:46" s="78" customFormat="1" ht="19.5" customHeight="1" x14ac:dyDescent="0.25">
      <c r="A359" s="208">
        <f t="shared" si="5"/>
        <v>62.333333333333336</v>
      </c>
      <c r="B359" s="208">
        <f>YEAR(Data_NFI_t[[#This Row],[Distribution Date]])</f>
        <v>2013</v>
      </c>
      <c r="C359" s="744">
        <v>41320</v>
      </c>
      <c r="D359" s="402" t="s">
        <v>272</v>
      </c>
      <c r="E359" s="401"/>
      <c r="F359" s="402" t="s">
        <v>7</v>
      </c>
      <c r="G359" s="670" t="s">
        <v>11</v>
      </c>
      <c r="H359" s="670" t="s">
        <v>24</v>
      </c>
      <c r="I359" s="670">
        <v>205</v>
      </c>
      <c r="J359" s="670"/>
      <c r="K359" s="670"/>
      <c r="L359" s="42"/>
      <c r="M359" s="42"/>
      <c r="N359" s="42"/>
      <c r="O359" s="42"/>
      <c r="P359" s="42"/>
      <c r="Q359" s="42"/>
      <c r="R359" s="42"/>
      <c r="S359" s="42"/>
      <c r="T359" s="419"/>
      <c r="U359" s="42"/>
      <c r="V359" s="42"/>
      <c r="W359" s="42"/>
      <c r="X359" s="42"/>
      <c r="Y359" s="42"/>
      <c r="Z359" s="42"/>
      <c r="AA359" s="42"/>
      <c r="AB359" s="42"/>
      <c r="AC359" s="105">
        <f>IF(NFI_Expiration=1,IF($A359&lt;VLOOKUP(I$5,NFI,5,0),1,0)*Data_NFI_t[[#This Row],[Hygiene Kit]],0)</f>
        <v>0</v>
      </c>
      <c r="AD359" s="105">
        <f>IF(NFI_Expiration=1,IF($A359&lt;VLOOKUP(L$5,NFI,5,0),1,0)*Data_NFI_t[[#This Row],[NFI Core Kit]],0)</f>
        <v>0</v>
      </c>
      <c r="AE359" s="86">
        <f>IF(NFI_Expiration=1,IF($A359&lt;VLOOKUP(M$5,NFI,5,0),1,0)*Data_NFI_t[[#This Row],[Sanitary Kit]],0)</f>
        <v>0</v>
      </c>
      <c r="AF359" s="86">
        <f>IF(NFI_Expiration=1,IF($A359&lt;VLOOKUP(N$5,NFI,5,0),1,0)*Data_NFI_t[[#This Row],[Mosquito net]],0)</f>
        <v>0</v>
      </c>
      <c r="AG359" s="86">
        <f>IF(NFI_Expiration=1,IF($A359&lt;VLOOKUP(O$5,NFI,5,0),1,0)*Data_NFI_t[[#This Row],[Tarpaulin]],0)</f>
        <v>0</v>
      </c>
      <c r="AH359" s="86">
        <f>IF(NFI_Expiration=1,IF($A359&lt;VLOOKUP(P$5,NFI,5,0),1,0)*Data_NFI_t[[#This Row],[Blanket]],0)</f>
        <v>0</v>
      </c>
      <c r="AI359" s="86">
        <f>IF(NFI_Expiration=1,IF($A359&lt;VLOOKUP(Q$5,NFI,5,0),1,0)*Data_NFI_t[[#This Row],[Kitchen Set]],0)</f>
        <v>0</v>
      </c>
      <c r="AJ359" s="86">
        <f>IF(NFI_Expiration=1,IF($A359&lt;VLOOKUP(R$5,NFI,5,0),1,0)*Data_NFI_t[[#This Row],[Complementary Kit]],0)</f>
        <v>0</v>
      </c>
      <c r="AK359" s="86">
        <f>IF(NFI_Expiration=1,IF($A359&lt;VLOOKUP(S$5,NFI,5,0),1,0)*Data_NFI_t[[#This Row],[Plastic Bucket]],0)</f>
        <v>0</v>
      </c>
      <c r="AL359" s="86">
        <f>IF(NFI_Expiration=1,IF($A359&lt;VLOOKUP(T$5,NFI,5,0),1,0)*Data_NFI_t[[#This Row],[Jerry Can]],0)</f>
        <v>0</v>
      </c>
      <c r="AM359" s="105">
        <f>IF(NFI_Expiration=1,IF($A359&lt;VLOOKUP(U$5,NFI,5,0),1,0)*Data_NFI_t[[#This Row],[Plastic Mat]],0)*IF(Data_NFI_t[[#This Row],[Distribution Date]]&gt;"01-06-2015",1,2.5)</f>
        <v>0</v>
      </c>
      <c r="AN359" s="734">
        <f>IF(NFI_Expiration=1,IF($A359&lt;VLOOKUP(V$5,NFI,5,0),1,0)*Data_NFI_t[[#This Row],[Adult Clothes]],0)</f>
        <v>0</v>
      </c>
      <c r="AO359" s="105">
        <f>IF(NFI_Expiration=1,IF($A359&lt;VLOOKUP(W$5,NFI,5,0),1,0)*Data_NFI_t[[#This Row],[Children Clothes]],0)</f>
        <v>0</v>
      </c>
      <c r="AP359" s="105">
        <f>IF(NFI_Expiration=1,IF($A359&lt;VLOOKUP(X$5,NFI,5,0),1,0)*Data_NFI_t[[#This Row],[Sewing Kit]],0)</f>
        <v>0</v>
      </c>
      <c r="AQ359" s="734">
        <f>IF(NFI_Expiration=1,IF($A359&lt;VLOOKUP(X$5,NFI,5,0),1,0)*Data_NFI_t[[#This Row],[Solar Lantern]],0)</f>
        <v>0</v>
      </c>
      <c r="AR359" s="105" t="str">
        <f ca="1">IFERROR(OFFSET(Camp_List[P_Code],MATCH(Data_NFI_t[[#This Row],[Camp Name]],Camp_List[Camp Name],0)-1,0,1,1),"")</f>
        <v>MMR012CMP002</v>
      </c>
      <c r="AS359" s="421" t="str">
        <f ca="1">IFERROR(OFFSET(Camp_List[Status],MATCH(Data_NFI_t[[#This Row],[Camp Name]],Camp_List[Camp Name],0)-1,0,1,1),"")</f>
        <v>Returned</v>
      </c>
      <c r="AT359" s="105"/>
    </row>
    <row r="360" spans="1:46" s="78" customFormat="1" ht="19.5" customHeight="1" x14ac:dyDescent="0.25">
      <c r="A360" s="208">
        <f t="shared" si="5"/>
        <v>62.333333333333336</v>
      </c>
      <c r="B360" s="208">
        <f>YEAR(Data_NFI_t[[#This Row],[Distribution Date]])</f>
        <v>2013</v>
      </c>
      <c r="C360" s="744">
        <v>41320</v>
      </c>
      <c r="D360" s="402" t="s">
        <v>272</v>
      </c>
      <c r="E360" s="401"/>
      <c r="F360" s="402" t="s">
        <v>7</v>
      </c>
      <c r="G360" s="670" t="s">
        <v>11</v>
      </c>
      <c r="H360" s="670" t="s">
        <v>29</v>
      </c>
      <c r="I360" s="670">
        <v>35</v>
      </c>
      <c r="J360" s="670"/>
      <c r="K360" s="670"/>
      <c r="L360" s="42"/>
      <c r="M360" s="42"/>
      <c r="N360" s="42"/>
      <c r="O360" s="42"/>
      <c r="P360" s="42"/>
      <c r="Q360" s="42"/>
      <c r="R360" s="42"/>
      <c r="S360" s="42"/>
      <c r="T360" s="419"/>
      <c r="U360" s="42"/>
      <c r="V360" s="42"/>
      <c r="W360" s="42"/>
      <c r="X360" s="42"/>
      <c r="Y360" s="42"/>
      <c r="Z360" s="42"/>
      <c r="AA360" s="42"/>
      <c r="AB360" s="42"/>
      <c r="AC360" s="105">
        <f>IF(NFI_Expiration=1,IF($A360&lt;VLOOKUP(I$5,NFI,5,0),1,0)*Data_NFI_t[[#This Row],[Hygiene Kit]],0)</f>
        <v>0</v>
      </c>
      <c r="AD360" s="105">
        <f>IF(NFI_Expiration=1,IF($A360&lt;VLOOKUP(L$5,NFI,5,0),1,0)*Data_NFI_t[[#This Row],[NFI Core Kit]],0)</f>
        <v>0</v>
      </c>
      <c r="AE360" s="86">
        <f>IF(NFI_Expiration=1,IF($A360&lt;VLOOKUP(M$5,NFI,5,0),1,0)*Data_NFI_t[[#This Row],[Sanitary Kit]],0)</f>
        <v>0</v>
      </c>
      <c r="AF360" s="86">
        <f>IF(NFI_Expiration=1,IF($A360&lt;VLOOKUP(N$5,NFI,5,0),1,0)*Data_NFI_t[[#This Row],[Mosquito net]],0)</f>
        <v>0</v>
      </c>
      <c r="AG360" s="86">
        <f>IF(NFI_Expiration=1,IF($A360&lt;VLOOKUP(O$5,NFI,5,0),1,0)*Data_NFI_t[[#This Row],[Tarpaulin]],0)</f>
        <v>0</v>
      </c>
      <c r="AH360" s="86">
        <f>IF(NFI_Expiration=1,IF($A360&lt;VLOOKUP(P$5,NFI,5,0),1,0)*Data_NFI_t[[#This Row],[Blanket]],0)</f>
        <v>0</v>
      </c>
      <c r="AI360" s="86">
        <f>IF(NFI_Expiration=1,IF($A360&lt;VLOOKUP(Q$5,NFI,5,0),1,0)*Data_NFI_t[[#This Row],[Kitchen Set]],0)</f>
        <v>0</v>
      </c>
      <c r="AJ360" s="86">
        <f>IF(NFI_Expiration=1,IF($A360&lt;VLOOKUP(R$5,NFI,5,0),1,0)*Data_NFI_t[[#This Row],[Complementary Kit]],0)</f>
        <v>0</v>
      </c>
      <c r="AK360" s="86">
        <f>IF(NFI_Expiration=1,IF($A360&lt;VLOOKUP(S$5,NFI,5,0),1,0)*Data_NFI_t[[#This Row],[Plastic Bucket]],0)</f>
        <v>0</v>
      </c>
      <c r="AL360" s="86">
        <f>IF(NFI_Expiration=1,IF($A360&lt;VLOOKUP(T$5,NFI,5,0),1,0)*Data_NFI_t[[#This Row],[Jerry Can]],0)</f>
        <v>0</v>
      </c>
      <c r="AM360" s="105">
        <f>IF(NFI_Expiration=1,IF($A360&lt;VLOOKUP(U$5,NFI,5,0),1,0)*Data_NFI_t[[#This Row],[Plastic Mat]],0)*IF(Data_NFI_t[[#This Row],[Distribution Date]]&gt;"01-06-2015",1,2.5)</f>
        <v>0</v>
      </c>
      <c r="AN360" s="734">
        <f>IF(NFI_Expiration=1,IF($A360&lt;VLOOKUP(V$5,NFI,5,0),1,0)*Data_NFI_t[[#This Row],[Adult Clothes]],0)</f>
        <v>0</v>
      </c>
      <c r="AO360" s="105">
        <f>IF(NFI_Expiration=1,IF($A360&lt;VLOOKUP(W$5,NFI,5,0),1,0)*Data_NFI_t[[#This Row],[Children Clothes]],0)</f>
        <v>0</v>
      </c>
      <c r="AP360" s="105">
        <f>IF(NFI_Expiration=1,IF($A360&lt;VLOOKUP(X$5,NFI,5,0),1,0)*Data_NFI_t[[#This Row],[Sewing Kit]],0)</f>
        <v>0</v>
      </c>
      <c r="AQ360" s="734">
        <f>IF(NFI_Expiration=1,IF($A360&lt;VLOOKUP(X$5,NFI,5,0),1,0)*Data_NFI_t[[#This Row],[Solar Lantern]],0)</f>
        <v>0</v>
      </c>
      <c r="AR360" s="105" t="str">
        <f ca="1">IFERROR(OFFSET(Camp_List[P_Code],MATCH(Data_NFI_t[[#This Row],[Camp Name]],Camp_List[Camp Name],0)-1,0,1,1),"")</f>
        <v>MMR012CMP007</v>
      </c>
      <c r="AS360" s="421" t="str">
        <f ca="1">IFERROR(OFFSET(Camp_List[Status],MATCH(Data_NFI_t[[#This Row],[Camp Name]],Camp_List[Camp Name],0)-1,0,1,1),"")</f>
        <v>Close</v>
      </c>
      <c r="AT360" s="105"/>
    </row>
    <row r="361" spans="1:46" s="78" customFormat="1" ht="19.5" customHeight="1" x14ac:dyDescent="0.25">
      <c r="A361" s="208">
        <f t="shared" si="5"/>
        <v>62.333333333333336</v>
      </c>
      <c r="B361" s="208">
        <f>YEAR(Data_NFI_t[[#This Row],[Distribution Date]])</f>
        <v>2013</v>
      </c>
      <c r="C361" s="744">
        <v>41320</v>
      </c>
      <c r="D361" s="402" t="s">
        <v>272</v>
      </c>
      <c r="E361" s="401"/>
      <c r="F361" s="402" t="s">
        <v>7</v>
      </c>
      <c r="G361" s="670" t="s">
        <v>941</v>
      </c>
      <c r="H361" s="670" t="s">
        <v>32</v>
      </c>
      <c r="I361" s="670">
        <v>360</v>
      </c>
      <c r="J361" s="670"/>
      <c r="K361" s="670"/>
      <c r="L361" s="42"/>
      <c r="M361" s="42"/>
      <c r="N361" s="42"/>
      <c r="O361" s="42"/>
      <c r="P361" s="42"/>
      <c r="Q361" s="42"/>
      <c r="R361" s="42"/>
      <c r="S361" s="42"/>
      <c r="T361" s="419"/>
      <c r="U361" s="42"/>
      <c r="V361" s="42"/>
      <c r="W361" s="42"/>
      <c r="X361" s="42"/>
      <c r="Y361" s="42"/>
      <c r="Z361" s="42"/>
      <c r="AA361" s="42"/>
      <c r="AB361" s="42"/>
      <c r="AC361" s="105">
        <f>IF(NFI_Expiration=1,IF($A361&lt;VLOOKUP(I$5,NFI,5,0),1,0)*Data_NFI_t[[#This Row],[Hygiene Kit]],0)</f>
        <v>0</v>
      </c>
      <c r="AD361" s="105">
        <f>IF(NFI_Expiration=1,IF($A361&lt;VLOOKUP(L$5,NFI,5,0),1,0)*Data_NFI_t[[#This Row],[NFI Core Kit]],0)</f>
        <v>0</v>
      </c>
      <c r="AE361" s="86">
        <f>IF(NFI_Expiration=1,IF($A361&lt;VLOOKUP(M$5,NFI,5,0),1,0)*Data_NFI_t[[#This Row],[Sanitary Kit]],0)</f>
        <v>0</v>
      </c>
      <c r="AF361" s="86">
        <f>IF(NFI_Expiration=1,IF($A361&lt;VLOOKUP(N$5,NFI,5,0),1,0)*Data_NFI_t[[#This Row],[Mosquito net]],0)</f>
        <v>0</v>
      </c>
      <c r="AG361" s="86">
        <f>IF(NFI_Expiration=1,IF($A361&lt;VLOOKUP(O$5,NFI,5,0),1,0)*Data_NFI_t[[#This Row],[Tarpaulin]],0)</f>
        <v>0</v>
      </c>
      <c r="AH361" s="86">
        <f>IF(NFI_Expiration=1,IF($A361&lt;VLOOKUP(P$5,NFI,5,0),1,0)*Data_NFI_t[[#This Row],[Blanket]],0)</f>
        <v>0</v>
      </c>
      <c r="AI361" s="86">
        <f>IF(NFI_Expiration=1,IF($A361&lt;VLOOKUP(Q$5,NFI,5,0),1,0)*Data_NFI_t[[#This Row],[Kitchen Set]],0)</f>
        <v>0</v>
      </c>
      <c r="AJ361" s="86">
        <f>IF(NFI_Expiration=1,IF($A361&lt;VLOOKUP(R$5,NFI,5,0),1,0)*Data_NFI_t[[#This Row],[Complementary Kit]],0)</f>
        <v>0</v>
      </c>
      <c r="AK361" s="86">
        <f>IF(NFI_Expiration=1,IF($A361&lt;VLOOKUP(S$5,NFI,5,0),1,0)*Data_NFI_t[[#This Row],[Plastic Bucket]],0)</f>
        <v>0</v>
      </c>
      <c r="AL361" s="86">
        <f>IF(NFI_Expiration=1,IF($A361&lt;VLOOKUP(T$5,NFI,5,0),1,0)*Data_NFI_t[[#This Row],[Jerry Can]],0)</f>
        <v>0</v>
      </c>
      <c r="AM361" s="105">
        <f>IF(NFI_Expiration=1,IF($A361&lt;VLOOKUP(U$5,NFI,5,0),1,0)*Data_NFI_t[[#This Row],[Plastic Mat]],0)*IF(Data_NFI_t[[#This Row],[Distribution Date]]&gt;"01-06-2015",1,2.5)</f>
        <v>0</v>
      </c>
      <c r="AN361" s="734">
        <f>IF(NFI_Expiration=1,IF($A361&lt;VLOOKUP(V$5,NFI,5,0),1,0)*Data_NFI_t[[#This Row],[Adult Clothes]],0)</f>
        <v>0</v>
      </c>
      <c r="AO361" s="105">
        <f>IF(NFI_Expiration=1,IF($A361&lt;VLOOKUP(W$5,NFI,5,0),1,0)*Data_NFI_t[[#This Row],[Children Clothes]],0)</f>
        <v>0</v>
      </c>
      <c r="AP361" s="105">
        <f>IF(NFI_Expiration=1,IF($A361&lt;VLOOKUP(X$5,NFI,5,0),1,0)*Data_NFI_t[[#This Row],[Sewing Kit]],0)</f>
        <v>0</v>
      </c>
      <c r="AQ361" s="734">
        <f>IF(NFI_Expiration=1,IF($A361&lt;VLOOKUP(X$5,NFI,5,0),1,0)*Data_NFI_t[[#This Row],[Solar Lantern]],0)</f>
        <v>0</v>
      </c>
      <c r="AR361" s="105" t="str">
        <f ca="1">IFERROR(OFFSET(Camp_List[P_Code],MATCH(Data_NFI_t[[#This Row],[Camp Name]],Camp_List[Camp Name],0)-1,0,1,1),"")</f>
        <v>MMR012CMP010</v>
      </c>
      <c r="AS361" s="421" t="str">
        <f ca="1">IFERROR(OFFSET(Camp_List[Status],MATCH(Data_NFI_t[[#This Row],[Camp Name]],Camp_List[Camp Name],0)-1,0,1,1),"")</f>
        <v>Returned</v>
      </c>
      <c r="AT361" s="105"/>
    </row>
    <row r="362" spans="1:46" s="78" customFormat="1" ht="19.5" customHeight="1" x14ac:dyDescent="0.25">
      <c r="A362" s="208">
        <f t="shared" si="5"/>
        <v>62.366666666666667</v>
      </c>
      <c r="B362" s="208">
        <f>YEAR(Data_NFI_t[[#This Row],[Distribution Date]])</f>
        <v>2013</v>
      </c>
      <c r="C362" s="744">
        <v>41319</v>
      </c>
      <c r="D362" s="402" t="s">
        <v>270</v>
      </c>
      <c r="E362" s="401"/>
      <c r="F362" s="402" t="s">
        <v>7</v>
      </c>
      <c r="G362" s="670" t="s">
        <v>18</v>
      </c>
      <c r="H362" s="670" t="s">
        <v>104</v>
      </c>
      <c r="I362" s="670"/>
      <c r="J362" s="670"/>
      <c r="K362" s="670"/>
      <c r="L362" s="42">
        <v>20</v>
      </c>
      <c r="M362" s="42"/>
      <c r="N362" s="42">
        <v>40</v>
      </c>
      <c r="O362" s="42">
        <v>20</v>
      </c>
      <c r="P362" s="42">
        <v>40</v>
      </c>
      <c r="Q362" s="42">
        <v>20</v>
      </c>
      <c r="R362" s="42">
        <v>20</v>
      </c>
      <c r="S362" s="42">
        <v>20</v>
      </c>
      <c r="T362" s="419"/>
      <c r="U362" s="42">
        <v>40</v>
      </c>
      <c r="V362" s="42"/>
      <c r="W362" s="42"/>
      <c r="X362" s="42"/>
      <c r="Y362" s="42"/>
      <c r="Z362" s="42"/>
      <c r="AA362" s="42"/>
      <c r="AB362" s="42"/>
      <c r="AC362" s="105">
        <f>IF(NFI_Expiration=1,IF($A362&lt;VLOOKUP(I$5,NFI,5,0),1,0)*Data_NFI_t[[#This Row],[Hygiene Kit]],0)</f>
        <v>0</v>
      </c>
      <c r="AD362" s="105">
        <f>IF(NFI_Expiration=1,IF($A362&lt;VLOOKUP(L$5,NFI,5,0),1,0)*Data_NFI_t[[#This Row],[NFI Core Kit]],0)</f>
        <v>0</v>
      </c>
      <c r="AE362" s="86">
        <f>IF(NFI_Expiration=1,IF($A362&lt;VLOOKUP(M$5,NFI,5,0),1,0)*Data_NFI_t[[#This Row],[Sanitary Kit]],0)</f>
        <v>0</v>
      </c>
      <c r="AF362" s="86">
        <f>IF(NFI_Expiration=1,IF($A362&lt;VLOOKUP(N$5,NFI,5,0),1,0)*Data_NFI_t[[#This Row],[Mosquito net]],0)</f>
        <v>0</v>
      </c>
      <c r="AG362" s="86">
        <f>IF(NFI_Expiration=1,IF($A362&lt;VLOOKUP(O$5,NFI,5,0),1,0)*Data_NFI_t[[#This Row],[Tarpaulin]],0)</f>
        <v>0</v>
      </c>
      <c r="AH362" s="86">
        <f>IF(NFI_Expiration=1,IF($A362&lt;VLOOKUP(P$5,NFI,5,0),1,0)*Data_NFI_t[[#This Row],[Blanket]],0)</f>
        <v>0</v>
      </c>
      <c r="AI362" s="86">
        <f>IF(NFI_Expiration=1,IF($A362&lt;VLOOKUP(Q$5,NFI,5,0),1,0)*Data_NFI_t[[#This Row],[Kitchen Set]],0)</f>
        <v>0</v>
      </c>
      <c r="AJ362" s="86">
        <f>IF(NFI_Expiration=1,IF($A362&lt;VLOOKUP(R$5,NFI,5,0),1,0)*Data_NFI_t[[#This Row],[Complementary Kit]],0)</f>
        <v>0</v>
      </c>
      <c r="AK362" s="86">
        <f>IF(NFI_Expiration=1,IF($A362&lt;VLOOKUP(S$5,NFI,5,0),1,0)*Data_NFI_t[[#This Row],[Plastic Bucket]],0)</f>
        <v>0</v>
      </c>
      <c r="AL362" s="86">
        <f>IF(NFI_Expiration=1,IF($A362&lt;VLOOKUP(T$5,NFI,5,0),1,0)*Data_NFI_t[[#This Row],[Jerry Can]],0)</f>
        <v>0</v>
      </c>
      <c r="AM362" s="105">
        <f>IF(NFI_Expiration=1,IF($A362&lt;VLOOKUP(U$5,NFI,5,0),1,0)*Data_NFI_t[[#This Row],[Plastic Mat]],0)*IF(Data_NFI_t[[#This Row],[Distribution Date]]&gt;"01-06-2015",1,2.5)</f>
        <v>0</v>
      </c>
      <c r="AN362" s="734">
        <f>IF(NFI_Expiration=1,IF($A362&lt;VLOOKUP(V$5,NFI,5,0),1,0)*Data_NFI_t[[#This Row],[Adult Clothes]],0)</f>
        <v>0</v>
      </c>
      <c r="AO362" s="105">
        <f>IF(NFI_Expiration=1,IF($A362&lt;VLOOKUP(W$5,NFI,5,0),1,0)*Data_NFI_t[[#This Row],[Children Clothes]],0)</f>
        <v>0</v>
      </c>
      <c r="AP362" s="105">
        <f>IF(NFI_Expiration=1,IF($A362&lt;VLOOKUP(X$5,NFI,5,0),1,0)*Data_NFI_t[[#This Row],[Sewing Kit]],0)</f>
        <v>0</v>
      </c>
      <c r="AQ362" s="734">
        <f>IF(NFI_Expiration=1,IF($A362&lt;VLOOKUP(X$5,NFI,5,0),1,0)*Data_NFI_t[[#This Row],[Solar Lantern]],0)</f>
        <v>0</v>
      </c>
      <c r="AR362" s="105" t="str">
        <f ca="1">IFERROR(OFFSET(Camp_List[P_Code],MATCH(Data_NFI_t[[#This Row],[Camp Name]],Camp_List[Camp Name],0)-1,0,1,1),"")</f>
        <v/>
      </c>
      <c r="AS362" s="421" t="str">
        <f ca="1">IFERROR(OFFSET(Camp_List[Status],MATCH(Data_NFI_t[[#This Row],[Camp Name]],Camp_List[Camp Name],0)-1,0,1,1),"")</f>
        <v/>
      </c>
      <c r="AT362" s="105"/>
    </row>
    <row r="363" spans="1:46" s="78" customFormat="1" ht="19.5" customHeight="1" x14ac:dyDescent="0.25">
      <c r="A363" s="208">
        <f t="shared" si="5"/>
        <v>62.366666666666667</v>
      </c>
      <c r="B363" s="208">
        <f>YEAR(Data_NFI_t[[#This Row],[Distribution Date]])</f>
        <v>2013</v>
      </c>
      <c r="C363" s="744">
        <v>41319</v>
      </c>
      <c r="D363" s="402" t="s">
        <v>270</v>
      </c>
      <c r="E363" s="401"/>
      <c r="F363" s="402" t="s">
        <v>7</v>
      </c>
      <c r="G363" s="670" t="s">
        <v>18</v>
      </c>
      <c r="H363" s="670" t="s">
        <v>104</v>
      </c>
      <c r="I363" s="670"/>
      <c r="J363" s="670"/>
      <c r="K363" s="670"/>
      <c r="L363" s="42"/>
      <c r="M363" s="42">
        <v>40</v>
      </c>
      <c r="N363" s="42">
        <v>81</v>
      </c>
      <c r="O363" s="42">
        <v>20</v>
      </c>
      <c r="P363" s="42"/>
      <c r="Q363" s="42"/>
      <c r="R363" s="42"/>
      <c r="S363" s="42"/>
      <c r="T363" s="419"/>
      <c r="U363" s="42"/>
      <c r="V363" s="42"/>
      <c r="W363" s="42"/>
      <c r="X363" s="42"/>
      <c r="Y363" s="42"/>
      <c r="Z363" s="42"/>
      <c r="AA363" s="42"/>
      <c r="AB363" s="42"/>
      <c r="AC363" s="105">
        <f>IF(NFI_Expiration=1,IF($A363&lt;VLOOKUP(I$5,NFI,5,0),1,0)*Data_NFI_t[[#This Row],[Hygiene Kit]],0)</f>
        <v>0</v>
      </c>
      <c r="AD363" s="105">
        <f>IF(NFI_Expiration=1,IF($A363&lt;VLOOKUP(L$5,NFI,5,0),1,0)*Data_NFI_t[[#This Row],[NFI Core Kit]],0)</f>
        <v>0</v>
      </c>
      <c r="AE363" s="86">
        <f>IF(NFI_Expiration=1,IF($A363&lt;VLOOKUP(M$5,NFI,5,0),1,0)*Data_NFI_t[[#This Row],[Sanitary Kit]],0)</f>
        <v>0</v>
      </c>
      <c r="AF363" s="86">
        <f>IF(NFI_Expiration=1,IF($A363&lt;VLOOKUP(N$5,NFI,5,0),1,0)*Data_NFI_t[[#This Row],[Mosquito net]],0)</f>
        <v>0</v>
      </c>
      <c r="AG363" s="86">
        <f>IF(NFI_Expiration=1,IF($A363&lt;VLOOKUP(O$5,NFI,5,0),1,0)*Data_NFI_t[[#This Row],[Tarpaulin]],0)</f>
        <v>0</v>
      </c>
      <c r="AH363" s="86">
        <f>IF(NFI_Expiration=1,IF($A363&lt;VLOOKUP(P$5,NFI,5,0),1,0)*Data_NFI_t[[#This Row],[Blanket]],0)</f>
        <v>0</v>
      </c>
      <c r="AI363" s="86">
        <f>IF(NFI_Expiration=1,IF($A363&lt;VLOOKUP(Q$5,NFI,5,0),1,0)*Data_NFI_t[[#This Row],[Kitchen Set]],0)</f>
        <v>0</v>
      </c>
      <c r="AJ363" s="86">
        <f>IF(NFI_Expiration=1,IF($A363&lt;VLOOKUP(R$5,NFI,5,0),1,0)*Data_NFI_t[[#This Row],[Complementary Kit]],0)</f>
        <v>0</v>
      </c>
      <c r="AK363" s="86">
        <f>IF(NFI_Expiration=1,IF($A363&lt;VLOOKUP(S$5,NFI,5,0),1,0)*Data_NFI_t[[#This Row],[Plastic Bucket]],0)</f>
        <v>0</v>
      </c>
      <c r="AL363" s="86">
        <f>IF(NFI_Expiration=1,IF($A363&lt;VLOOKUP(T$5,NFI,5,0),1,0)*Data_NFI_t[[#This Row],[Jerry Can]],0)</f>
        <v>0</v>
      </c>
      <c r="AM363" s="105">
        <f>IF(NFI_Expiration=1,IF($A363&lt;VLOOKUP(U$5,NFI,5,0),1,0)*Data_NFI_t[[#This Row],[Plastic Mat]],0)*IF(Data_NFI_t[[#This Row],[Distribution Date]]&gt;"01-06-2015",1,2.5)</f>
        <v>0</v>
      </c>
      <c r="AN363" s="734">
        <f>IF(NFI_Expiration=1,IF($A363&lt;VLOOKUP(V$5,NFI,5,0),1,0)*Data_NFI_t[[#This Row],[Adult Clothes]],0)</f>
        <v>0</v>
      </c>
      <c r="AO363" s="105">
        <f>IF(NFI_Expiration=1,IF($A363&lt;VLOOKUP(W$5,NFI,5,0),1,0)*Data_NFI_t[[#This Row],[Children Clothes]],0)</f>
        <v>0</v>
      </c>
      <c r="AP363" s="105">
        <f>IF(NFI_Expiration=1,IF($A363&lt;VLOOKUP(X$5,NFI,5,0),1,0)*Data_NFI_t[[#This Row],[Sewing Kit]],0)</f>
        <v>0</v>
      </c>
      <c r="AQ363" s="734">
        <f>IF(NFI_Expiration=1,IF($A363&lt;VLOOKUP(X$5,NFI,5,0),1,0)*Data_NFI_t[[#This Row],[Solar Lantern]],0)</f>
        <v>0</v>
      </c>
      <c r="AR363" s="105" t="str">
        <f ca="1">IFERROR(OFFSET(Camp_List[P_Code],MATCH(Data_NFI_t[[#This Row],[Camp Name]],Camp_List[Camp Name],0)-1,0,1,1),"")</f>
        <v/>
      </c>
      <c r="AS363" s="421" t="str">
        <f ca="1">IFERROR(OFFSET(Camp_List[Status],MATCH(Data_NFI_t[[#This Row],[Camp Name]],Camp_List[Camp Name],0)-1,0,1,1),"")</f>
        <v/>
      </c>
      <c r="AT363" s="105"/>
    </row>
    <row r="364" spans="1:46" s="78" customFormat="1" ht="19.5" customHeight="1" x14ac:dyDescent="0.25">
      <c r="A364" s="208">
        <f t="shared" si="5"/>
        <v>62.56666666666667</v>
      </c>
      <c r="B364" s="208">
        <f>YEAR(Data_NFI_t[[#This Row],[Distribution Date]])</f>
        <v>2013</v>
      </c>
      <c r="C364" s="744">
        <v>41313</v>
      </c>
      <c r="D364" s="402" t="s">
        <v>272</v>
      </c>
      <c r="E364" s="401"/>
      <c r="F364" s="402" t="s">
        <v>7</v>
      </c>
      <c r="G364" s="670" t="s">
        <v>561</v>
      </c>
      <c r="H364" s="670" t="s">
        <v>441</v>
      </c>
      <c r="I364" s="670">
        <v>71</v>
      </c>
      <c r="J364" s="670"/>
      <c r="K364" s="670"/>
      <c r="L364" s="42"/>
      <c r="M364" s="42"/>
      <c r="N364" s="42"/>
      <c r="O364" s="42"/>
      <c r="P364" s="42"/>
      <c r="Q364" s="42"/>
      <c r="R364" s="42"/>
      <c r="S364" s="42"/>
      <c r="T364" s="419"/>
      <c r="U364" s="42"/>
      <c r="V364" s="42"/>
      <c r="W364" s="42"/>
      <c r="X364" s="42"/>
      <c r="Y364" s="42"/>
      <c r="Z364" s="42"/>
      <c r="AA364" s="42"/>
      <c r="AB364" s="42"/>
      <c r="AC364" s="105">
        <f>IF(NFI_Expiration=1,IF($A364&lt;VLOOKUP(I$5,NFI,5,0),1,0)*Data_NFI_t[[#This Row],[Hygiene Kit]],0)</f>
        <v>0</v>
      </c>
      <c r="AD364" s="105">
        <f>IF(NFI_Expiration=1,IF($A364&lt;VLOOKUP(L$5,NFI,5,0),1,0)*Data_NFI_t[[#This Row],[NFI Core Kit]],0)</f>
        <v>0</v>
      </c>
      <c r="AE364" s="86">
        <f>IF(NFI_Expiration=1,IF($A364&lt;VLOOKUP(M$5,NFI,5,0),1,0)*Data_NFI_t[[#This Row],[Sanitary Kit]],0)</f>
        <v>0</v>
      </c>
      <c r="AF364" s="86">
        <f>IF(NFI_Expiration=1,IF($A364&lt;VLOOKUP(N$5,NFI,5,0),1,0)*Data_NFI_t[[#This Row],[Mosquito net]],0)</f>
        <v>0</v>
      </c>
      <c r="AG364" s="86">
        <f>IF(NFI_Expiration=1,IF($A364&lt;VLOOKUP(O$5,NFI,5,0),1,0)*Data_NFI_t[[#This Row],[Tarpaulin]],0)</f>
        <v>0</v>
      </c>
      <c r="AH364" s="86">
        <f>IF(NFI_Expiration=1,IF($A364&lt;VLOOKUP(P$5,NFI,5,0),1,0)*Data_NFI_t[[#This Row],[Blanket]],0)</f>
        <v>0</v>
      </c>
      <c r="AI364" s="86">
        <f>IF(NFI_Expiration=1,IF($A364&lt;VLOOKUP(Q$5,NFI,5,0),1,0)*Data_NFI_t[[#This Row],[Kitchen Set]],0)</f>
        <v>0</v>
      </c>
      <c r="AJ364" s="86">
        <f>IF(NFI_Expiration=1,IF($A364&lt;VLOOKUP(R$5,NFI,5,0),1,0)*Data_NFI_t[[#This Row],[Complementary Kit]],0)</f>
        <v>0</v>
      </c>
      <c r="AK364" s="86">
        <f>IF(NFI_Expiration=1,IF($A364&lt;VLOOKUP(S$5,NFI,5,0),1,0)*Data_NFI_t[[#This Row],[Plastic Bucket]],0)</f>
        <v>0</v>
      </c>
      <c r="AL364" s="86">
        <f>IF(NFI_Expiration=1,IF($A364&lt;VLOOKUP(T$5,NFI,5,0),1,0)*Data_NFI_t[[#This Row],[Jerry Can]],0)</f>
        <v>0</v>
      </c>
      <c r="AM364" s="105">
        <f>IF(NFI_Expiration=1,IF($A364&lt;VLOOKUP(U$5,NFI,5,0),1,0)*Data_NFI_t[[#This Row],[Plastic Mat]],0)*IF(Data_NFI_t[[#This Row],[Distribution Date]]&gt;"01-06-2015",1,2.5)</f>
        <v>0</v>
      </c>
      <c r="AN364" s="734">
        <f>IF(NFI_Expiration=1,IF($A364&lt;VLOOKUP(V$5,NFI,5,0),1,0)*Data_NFI_t[[#This Row],[Adult Clothes]],0)</f>
        <v>0</v>
      </c>
      <c r="AO364" s="105">
        <f>IF(NFI_Expiration=1,IF($A364&lt;VLOOKUP(W$5,NFI,5,0),1,0)*Data_NFI_t[[#This Row],[Children Clothes]],0)</f>
        <v>0</v>
      </c>
      <c r="AP364" s="105">
        <f>IF(NFI_Expiration=1,IF($A364&lt;VLOOKUP(X$5,NFI,5,0),1,0)*Data_NFI_t[[#This Row],[Sewing Kit]],0)</f>
        <v>0</v>
      </c>
      <c r="AQ364" s="734">
        <f>IF(NFI_Expiration=1,IF($A364&lt;VLOOKUP(X$5,NFI,5,0),1,0)*Data_NFI_t[[#This Row],[Solar Lantern]],0)</f>
        <v>0</v>
      </c>
      <c r="AR364" s="105" t="str">
        <f ca="1">IFERROR(OFFSET(Camp_List[P_Code],MATCH(Data_NFI_t[[#This Row],[Camp Name]],Camp_List[Camp Name],0)-1,0,1,1),"")</f>
        <v>MMR012CMP036</v>
      </c>
      <c r="AS364" s="421" t="str">
        <f ca="1">IFERROR(OFFSET(Camp_List[Status],MATCH(Data_NFI_t[[#This Row],[Camp Name]],Camp_List[Camp Name],0)-1,0,1,1),"")</f>
        <v>Relocated</v>
      </c>
      <c r="AT364" s="105"/>
    </row>
    <row r="365" spans="1:46" s="78" customFormat="1" ht="19.5" customHeight="1" x14ac:dyDescent="0.25">
      <c r="A365" s="208">
        <f t="shared" si="5"/>
        <v>62.56666666666667</v>
      </c>
      <c r="B365" s="208">
        <f>YEAR(Data_NFI_t[[#This Row],[Distribution Date]])</f>
        <v>2013</v>
      </c>
      <c r="C365" s="744">
        <v>41313</v>
      </c>
      <c r="D365" s="402" t="s">
        <v>272</v>
      </c>
      <c r="E365" s="401"/>
      <c r="F365" s="402" t="s">
        <v>7</v>
      </c>
      <c r="G365" s="670" t="s">
        <v>817</v>
      </c>
      <c r="H365" s="670" t="s">
        <v>35</v>
      </c>
      <c r="I365" s="670">
        <v>45</v>
      </c>
      <c r="J365" s="670"/>
      <c r="K365" s="670"/>
      <c r="L365" s="42"/>
      <c r="M365" s="42"/>
      <c r="N365" s="42"/>
      <c r="O365" s="42"/>
      <c r="P365" s="42"/>
      <c r="Q365" s="42"/>
      <c r="R365" s="42"/>
      <c r="S365" s="42"/>
      <c r="T365" s="419"/>
      <c r="U365" s="42"/>
      <c r="V365" s="42"/>
      <c r="W365" s="42"/>
      <c r="X365" s="42"/>
      <c r="Y365" s="42"/>
      <c r="Z365" s="42"/>
      <c r="AA365" s="42"/>
      <c r="AB365" s="42"/>
      <c r="AC365" s="105">
        <f>IF(NFI_Expiration=1,IF($A365&lt;VLOOKUP(I$5,NFI,5,0),1,0)*Data_NFI_t[[#This Row],[Hygiene Kit]],0)</f>
        <v>0</v>
      </c>
      <c r="AD365" s="105">
        <f>IF(NFI_Expiration=1,IF($A365&lt;VLOOKUP(L$5,NFI,5,0),1,0)*Data_NFI_t[[#This Row],[NFI Core Kit]],0)</f>
        <v>0</v>
      </c>
      <c r="AE365" s="86">
        <f>IF(NFI_Expiration=1,IF($A365&lt;VLOOKUP(M$5,NFI,5,0),1,0)*Data_NFI_t[[#This Row],[Sanitary Kit]],0)</f>
        <v>0</v>
      </c>
      <c r="AF365" s="86">
        <f>IF(NFI_Expiration=1,IF($A365&lt;VLOOKUP(N$5,NFI,5,0),1,0)*Data_NFI_t[[#This Row],[Mosquito net]],0)</f>
        <v>0</v>
      </c>
      <c r="AG365" s="86">
        <f>IF(NFI_Expiration=1,IF($A365&lt;VLOOKUP(O$5,NFI,5,0),1,0)*Data_NFI_t[[#This Row],[Tarpaulin]],0)</f>
        <v>0</v>
      </c>
      <c r="AH365" s="86">
        <f>IF(NFI_Expiration=1,IF($A365&lt;VLOOKUP(P$5,NFI,5,0),1,0)*Data_NFI_t[[#This Row],[Blanket]],0)</f>
        <v>0</v>
      </c>
      <c r="AI365" s="86">
        <f>IF(NFI_Expiration=1,IF($A365&lt;VLOOKUP(Q$5,NFI,5,0),1,0)*Data_NFI_t[[#This Row],[Kitchen Set]],0)</f>
        <v>0</v>
      </c>
      <c r="AJ365" s="86">
        <f>IF(NFI_Expiration=1,IF($A365&lt;VLOOKUP(R$5,NFI,5,0),1,0)*Data_NFI_t[[#This Row],[Complementary Kit]],0)</f>
        <v>0</v>
      </c>
      <c r="AK365" s="86">
        <f>IF(NFI_Expiration=1,IF($A365&lt;VLOOKUP(S$5,NFI,5,0),1,0)*Data_NFI_t[[#This Row],[Plastic Bucket]],0)</f>
        <v>0</v>
      </c>
      <c r="AL365" s="86">
        <f>IF(NFI_Expiration=1,IF($A365&lt;VLOOKUP(T$5,NFI,5,0),1,0)*Data_NFI_t[[#This Row],[Jerry Can]],0)</f>
        <v>0</v>
      </c>
      <c r="AM365" s="105">
        <f>IF(NFI_Expiration=1,IF($A365&lt;VLOOKUP(U$5,NFI,5,0),1,0)*Data_NFI_t[[#This Row],[Plastic Mat]],0)*IF(Data_NFI_t[[#This Row],[Distribution Date]]&gt;"01-06-2015",1,2.5)</f>
        <v>0</v>
      </c>
      <c r="AN365" s="734">
        <f>IF(NFI_Expiration=1,IF($A365&lt;VLOOKUP(V$5,NFI,5,0),1,0)*Data_NFI_t[[#This Row],[Adult Clothes]],0)</f>
        <v>0</v>
      </c>
      <c r="AO365" s="105">
        <f>IF(NFI_Expiration=1,IF($A365&lt;VLOOKUP(W$5,NFI,5,0),1,0)*Data_NFI_t[[#This Row],[Children Clothes]],0)</f>
        <v>0</v>
      </c>
      <c r="AP365" s="105">
        <f>IF(NFI_Expiration=1,IF($A365&lt;VLOOKUP(X$5,NFI,5,0),1,0)*Data_NFI_t[[#This Row],[Sewing Kit]],0)</f>
        <v>0</v>
      </c>
      <c r="AQ365" s="734">
        <f>IF(NFI_Expiration=1,IF($A365&lt;VLOOKUP(X$5,NFI,5,0),1,0)*Data_NFI_t[[#This Row],[Solar Lantern]],0)</f>
        <v>0</v>
      </c>
      <c r="AR365" s="105" t="str">
        <f ca="1">IFERROR(OFFSET(Camp_List[P_Code],MATCH(Data_NFI_t[[#This Row],[Camp Name]],Camp_List[Camp Name],0)-1,0,1,1),"")</f>
        <v>MMR012CMP013</v>
      </c>
      <c r="AS365" s="421" t="str">
        <f ca="1">IFERROR(OFFSET(Camp_List[Status],MATCH(Data_NFI_t[[#This Row],[Camp Name]],Camp_List[Camp Name],0)-1,0,1,1),"")</f>
        <v>Relocated</v>
      </c>
      <c r="AT365" s="105"/>
    </row>
    <row r="366" spans="1:46" s="78" customFormat="1" ht="19.5" customHeight="1" x14ac:dyDescent="0.25">
      <c r="A366" s="208">
        <f t="shared" si="5"/>
        <v>62.56666666666667</v>
      </c>
      <c r="B366" s="208">
        <f>YEAR(Data_NFI_t[[#This Row],[Distribution Date]])</f>
        <v>2013</v>
      </c>
      <c r="C366" s="744">
        <v>41313</v>
      </c>
      <c r="D366" s="402" t="s">
        <v>272</v>
      </c>
      <c r="E366" s="401"/>
      <c r="F366" s="402" t="s">
        <v>7</v>
      </c>
      <c r="G366" s="670" t="s">
        <v>561</v>
      </c>
      <c r="H366" s="670" t="s">
        <v>56</v>
      </c>
      <c r="I366" s="670">
        <v>418</v>
      </c>
      <c r="J366" s="670"/>
      <c r="K366" s="670"/>
      <c r="L366" s="42"/>
      <c r="M366" s="42"/>
      <c r="N366" s="42"/>
      <c r="O366" s="42"/>
      <c r="P366" s="42"/>
      <c r="Q366" s="42"/>
      <c r="R366" s="42"/>
      <c r="S366" s="42"/>
      <c r="T366" s="419"/>
      <c r="U366" s="42"/>
      <c r="V366" s="42"/>
      <c r="W366" s="42"/>
      <c r="X366" s="42"/>
      <c r="Y366" s="42"/>
      <c r="Z366" s="42"/>
      <c r="AA366" s="42"/>
      <c r="AB366" s="42"/>
      <c r="AC366" s="105">
        <f>IF(NFI_Expiration=1,IF($A366&lt;VLOOKUP(I$5,NFI,5,0),1,0)*Data_NFI_t[[#This Row],[Hygiene Kit]],0)</f>
        <v>0</v>
      </c>
      <c r="AD366" s="105">
        <f>IF(NFI_Expiration=1,IF($A366&lt;VLOOKUP(L$5,NFI,5,0),1,0)*Data_NFI_t[[#This Row],[NFI Core Kit]],0)</f>
        <v>0</v>
      </c>
      <c r="AE366" s="86">
        <f>IF(NFI_Expiration=1,IF($A366&lt;VLOOKUP(M$5,NFI,5,0),1,0)*Data_NFI_t[[#This Row],[Sanitary Kit]],0)</f>
        <v>0</v>
      </c>
      <c r="AF366" s="86">
        <f>IF(NFI_Expiration=1,IF($A366&lt;VLOOKUP(N$5,NFI,5,0),1,0)*Data_NFI_t[[#This Row],[Mosquito net]],0)</f>
        <v>0</v>
      </c>
      <c r="AG366" s="86">
        <f>IF(NFI_Expiration=1,IF($A366&lt;VLOOKUP(O$5,NFI,5,0),1,0)*Data_NFI_t[[#This Row],[Tarpaulin]],0)</f>
        <v>0</v>
      </c>
      <c r="AH366" s="86">
        <f>IF(NFI_Expiration=1,IF($A366&lt;VLOOKUP(P$5,NFI,5,0),1,0)*Data_NFI_t[[#This Row],[Blanket]],0)</f>
        <v>0</v>
      </c>
      <c r="AI366" s="86">
        <f>IF(NFI_Expiration=1,IF($A366&lt;VLOOKUP(Q$5,NFI,5,0),1,0)*Data_NFI_t[[#This Row],[Kitchen Set]],0)</f>
        <v>0</v>
      </c>
      <c r="AJ366" s="86">
        <f>IF(NFI_Expiration=1,IF($A366&lt;VLOOKUP(R$5,NFI,5,0),1,0)*Data_NFI_t[[#This Row],[Complementary Kit]],0)</f>
        <v>0</v>
      </c>
      <c r="AK366" s="86">
        <f>IF(NFI_Expiration=1,IF($A366&lt;VLOOKUP(S$5,NFI,5,0),1,0)*Data_NFI_t[[#This Row],[Plastic Bucket]],0)</f>
        <v>0</v>
      </c>
      <c r="AL366" s="86">
        <f>IF(NFI_Expiration=1,IF($A366&lt;VLOOKUP(T$5,NFI,5,0),1,0)*Data_NFI_t[[#This Row],[Jerry Can]],0)</f>
        <v>0</v>
      </c>
      <c r="AM366" s="105">
        <f>IF(NFI_Expiration=1,IF($A366&lt;VLOOKUP(U$5,NFI,5,0),1,0)*Data_NFI_t[[#This Row],[Plastic Mat]],0)*IF(Data_NFI_t[[#This Row],[Distribution Date]]&gt;"01-06-2015",1,2.5)</f>
        <v>0</v>
      </c>
      <c r="AN366" s="734">
        <f>IF(NFI_Expiration=1,IF($A366&lt;VLOOKUP(V$5,NFI,5,0),1,0)*Data_NFI_t[[#This Row],[Adult Clothes]],0)</f>
        <v>0</v>
      </c>
      <c r="AO366" s="105">
        <f>IF(NFI_Expiration=1,IF($A366&lt;VLOOKUP(W$5,NFI,5,0),1,0)*Data_NFI_t[[#This Row],[Children Clothes]],0)</f>
        <v>0</v>
      </c>
      <c r="AP366" s="105">
        <f>IF(NFI_Expiration=1,IF($A366&lt;VLOOKUP(X$5,NFI,5,0),1,0)*Data_NFI_t[[#This Row],[Sewing Kit]],0)</f>
        <v>0</v>
      </c>
      <c r="AQ366" s="734">
        <f>IF(NFI_Expiration=1,IF($A366&lt;VLOOKUP(X$5,NFI,5,0),1,0)*Data_NFI_t[[#This Row],[Solar Lantern]],0)</f>
        <v>0</v>
      </c>
      <c r="AR366" s="105" t="str">
        <f ca="1">IFERROR(OFFSET(Camp_List[P_Code],MATCH(Data_NFI_t[[#This Row],[Camp Name]],Camp_List[Camp Name],0)-1,0,1,1),"")</f>
        <v>MMR012CMP035</v>
      </c>
      <c r="AS366" s="421" t="str">
        <f ca="1">IFERROR(OFFSET(Camp_List[Status],MATCH(Data_NFI_t[[#This Row],[Camp Name]],Camp_List[Camp Name],0)-1,0,1,1),"")</f>
        <v>Open</v>
      </c>
      <c r="AT366" s="105"/>
    </row>
    <row r="367" spans="1:46" s="78" customFormat="1" ht="19.5" customHeight="1" x14ac:dyDescent="0.25">
      <c r="A367" s="208">
        <f t="shared" si="5"/>
        <v>62.56666666666667</v>
      </c>
      <c r="B367" s="208">
        <f>YEAR(Data_NFI_t[[#This Row],[Distribution Date]])</f>
        <v>2013</v>
      </c>
      <c r="C367" s="744">
        <v>41313</v>
      </c>
      <c r="D367" s="402" t="s">
        <v>272</v>
      </c>
      <c r="E367" s="401"/>
      <c r="F367" s="402" t="s">
        <v>7</v>
      </c>
      <c r="G367" s="670" t="s">
        <v>16</v>
      </c>
      <c r="H367" s="670" t="s">
        <v>58</v>
      </c>
      <c r="I367" s="670">
        <v>24</v>
      </c>
      <c r="J367" s="670"/>
      <c r="K367" s="670"/>
      <c r="L367" s="42"/>
      <c r="M367" s="42"/>
      <c r="N367" s="42"/>
      <c r="O367" s="42"/>
      <c r="P367" s="42"/>
      <c r="Q367" s="42"/>
      <c r="R367" s="42"/>
      <c r="S367" s="42"/>
      <c r="T367" s="419"/>
      <c r="U367" s="42"/>
      <c r="V367" s="42"/>
      <c r="W367" s="42"/>
      <c r="X367" s="42"/>
      <c r="Y367" s="42"/>
      <c r="Z367" s="42"/>
      <c r="AA367" s="42"/>
      <c r="AB367" s="42"/>
      <c r="AC367" s="105">
        <f>IF(NFI_Expiration=1,IF($A367&lt;VLOOKUP(I$5,NFI,5,0),1,0)*Data_NFI_t[[#This Row],[Hygiene Kit]],0)</f>
        <v>0</v>
      </c>
      <c r="AD367" s="105">
        <f>IF(NFI_Expiration=1,IF($A367&lt;VLOOKUP(L$5,NFI,5,0),1,0)*Data_NFI_t[[#This Row],[NFI Core Kit]],0)</f>
        <v>0</v>
      </c>
      <c r="AE367" s="86">
        <f>IF(NFI_Expiration=1,IF($A367&lt;VLOOKUP(M$5,NFI,5,0),1,0)*Data_NFI_t[[#This Row],[Sanitary Kit]],0)</f>
        <v>0</v>
      </c>
      <c r="AF367" s="86">
        <f>IF(NFI_Expiration=1,IF($A367&lt;VLOOKUP(N$5,NFI,5,0),1,0)*Data_NFI_t[[#This Row],[Mosquito net]],0)</f>
        <v>0</v>
      </c>
      <c r="AG367" s="86">
        <f>IF(NFI_Expiration=1,IF($A367&lt;VLOOKUP(O$5,NFI,5,0),1,0)*Data_NFI_t[[#This Row],[Tarpaulin]],0)</f>
        <v>0</v>
      </c>
      <c r="AH367" s="86">
        <f>IF(NFI_Expiration=1,IF($A367&lt;VLOOKUP(P$5,NFI,5,0),1,0)*Data_NFI_t[[#This Row],[Blanket]],0)</f>
        <v>0</v>
      </c>
      <c r="AI367" s="86">
        <f>IF(NFI_Expiration=1,IF($A367&lt;VLOOKUP(Q$5,NFI,5,0),1,0)*Data_NFI_t[[#This Row],[Kitchen Set]],0)</f>
        <v>0</v>
      </c>
      <c r="AJ367" s="86">
        <f>IF(NFI_Expiration=1,IF($A367&lt;VLOOKUP(R$5,NFI,5,0),1,0)*Data_NFI_t[[#This Row],[Complementary Kit]],0)</f>
        <v>0</v>
      </c>
      <c r="AK367" s="86">
        <f>IF(NFI_Expiration=1,IF($A367&lt;VLOOKUP(S$5,NFI,5,0),1,0)*Data_NFI_t[[#This Row],[Plastic Bucket]],0)</f>
        <v>0</v>
      </c>
      <c r="AL367" s="86">
        <f>IF(NFI_Expiration=1,IF($A367&lt;VLOOKUP(T$5,NFI,5,0),1,0)*Data_NFI_t[[#This Row],[Jerry Can]],0)</f>
        <v>0</v>
      </c>
      <c r="AM367" s="105">
        <f>IF(NFI_Expiration=1,IF($A367&lt;VLOOKUP(U$5,NFI,5,0),1,0)*Data_NFI_t[[#This Row],[Plastic Mat]],0)*IF(Data_NFI_t[[#This Row],[Distribution Date]]&gt;"01-06-2015",1,2.5)</f>
        <v>0</v>
      </c>
      <c r="AN367" s="734">
        <f>IF(NFI_Expiration=1,IF($A367&lt;VLOOKUP(V$5,NFI,5,0),1,0)*Data_NFI_t[[#This Row],[Adult Clothes]],0)</f>
        <v>0</v>
      </c>
      <c r="AO367" s="105">
        <f>IF(NFI_Expiration=1,IF($A367&lt;VLOOKUP(W$5,NFI,5,0),1,0)*Data_NFI_t[[#This Row],[Children Clothes]],0)</f>
        <v>0</v>
      </c>
      <c r="AP367" s="105">
        <f>IF(NFI_Expiration=1,IF($A367&lt;VLOOKUP(X$5,NFI,5,0),1,0)*Data_NFI_t[[#This Row],[Sewing Kit]],0)</f>
        <v>0</v>
      </c>
      <c r="AQ367" s="734">
        <f>IF(NFI_Expiration=1,IF($A367&lt;VLOOKUP(X$5,NFI,5,0),1,0)*Data_NFI_t[[#This Row],[Solar Lantern]],0)</f>
        <v>0</v>
      </c>
      <c r="AR367" s="105" t="str">
        <f ca="1">IFERROR(OFFSET(Camp_List[P_Code],MATCH(Data_NFI_t[[#This Row],[Camp Name]],Camp_List[Camp Name],0)-1,0,1,1),"")</f>
        <v>MMR012CMP038</v>
      </c>
      <c r="AS367" s="421" t="str">
        <f ca="1">IFERROR(OFFSET(Camp_List[Status],MATCH(Data_NFI_t[[#This Row],[Camp Name]],Camp_List[Camp Name],0)-1,0,1,1),"")</f>
        <v>Close</v>
      </c>
      <c r="AT367" s="105"/>
    </row>
    <row r="368" spans="1:46" s="78" customFormat="1" ht="19.5" customHeight="1" x14ac:dyDescent="0.25">
      <c r="A368" s="208">
        <f t="shared" si="5"/>
        <v>62.56666666666667</v>
      </c>
      <c r="B368" s="208">
        <f>YEAR(Data_NFI_t[[#This Row],[Distribution Date]])</f>
        <v>2013</v>
      </c>
      <c r="C368" s="744">
        <v>41313</v>
      </c>
      <c r="D368" s="402" t="s">
        <v>272</v>
      </c>
      <c r="E368" s="401"/>
      <c r="F368" s="402" t="s">
        <v>7</v>
      </c>
      <c r="G368" s="670" t="s">
        <v>16</v>
      </c>
      <c r="H368" s="670" t="s">
        <v>57</v>
      </c>
      <c r="I368" s="670">
        <v>97</v>
      </c>
      <c r="J368" s="670"/>
      <c r="K368" s="670"/>
      <c r="L368" s="42"/>
      <c r="M368" s="42"/>
      <c r="N368" s="42"/>
      <c r="O368" s="42"/>
      <c r="P368" s="42"/>
      <c r="Q368" s="42"/>
      <c r="R368" s="42"/>
      <c r="S368" s="42"/>
      <c r="T368" s="419"/>
      <c r="U368" s="42"/>
      <c r="V368" s="42"/>
      <c r="W368" s="42"/>
      <c r="X368" s="42"/>
      <c r="Y368" s="42"/>
      <c r="Z368" s="42"/>
      <c r="AA368" s="42"/>
      <c r="AB368" s="42"/>
      <c r="AC368" s="105">
        <f>IF(NFI_Expiration=1,IF($A368&lt;VLOOKUP(I$5,NFI,5,0),1,0)*Data_NFI_t[[#This Row],[Hygiene Kit]],0)</f>
        <v>0</v>
      </c>
      <c r="AD368" s="105">
        <f>IF(NFI_Expiration=1,IF($A368&lt;VLOOKUP(L$5,NFI,5,0),1,0)*Data_NFI_t[[#This Row],[NFI Core Kit]],0)</f>
        <v>0</v>
      </c>
      <c r="AE368" s="86">
        <f>IF(NFI_Expiration=1,IF($A368&lt;VLOOKUP(M$5,NFI,5,0),1,0)*Data_NFI_t[[#This Row],[Sanitary Kit]],0)</f>
        <v>0</v>
      </c>
      <c r="AF368" s="86">
        <f>IF(NFI_Expiration=1,IF($A368&lt;VLOOKUP(N$5,NFI,5,0),1,0)*Data_NFI_t[[#This Row],[Mosquito net]],0)</f>
        <v>0</v>
      </c>
      <c r="AG368" s="86">
        <f>IF(NFI_Expiration=1,IF($A368&lt;VLOOKUP(O$5,NFI,5,0),1,0)*Data_NFI_t[[#This Row],[Tarpaulin]],0)</f>
        <v>0</v>
      </c>
      <c r="AH368" s="86">
        <f>IF(NFI_Expiration=1,IF($A368&lt;VLOOKUP(P$5,NFI,5,0),1,0)*Data_NFI_t[[#This Row],[Blanket]],0)</f>
        <v>0</v>
      </c>
      <c r="AI368" s="86">
        <f>IF(NFI_Expiration=1,IF($A368&lt;VLOOKUP(Q$5,NFI,5,0),1,0)*Data_NFI_t[[#This Row],[Kitchen Set]],0)</f>
        <v>0</v>
      </c>
      <c r="AJ368" s="86">
        <f>IF(NFI_Expiration=1,IF($A368&lt;VLOOKUP(R$5,NFI,5,0),1,0)*Data_NFI_t[[#This Row],[Complementary Kit]],0)</f>
        <v>0</v>
      </c>
      <c r="AK368" s="86">
        <f>IF(NFI_Expiration=1,IF($A368&lt;VLOOKUP(S$5,NFI,5,0),1,0)*Data_NFI_t[[#This Row],[Plastic Bucket]],0)</f>
        <v>0</v>
      </c>
      <c r="AL368" s="86">
        <f>IF(NFI_Expiration=1,IF($A368&lt;VLOOKUP(T$5,NFI,5,0),1,0)*Data_NFI_t[[#This Row],[Jerry Can]],0)</f>
        <v>0</v>
      </c>
      <c r="AM368" s="105">
        <f>IF(NFI_Expiration=1,IF($A368&lt;VLOOKUP(U$5,NFI,5,0),1,0)*Data_NFI_t[[#This Row],[Plastic Mat]],0)*IF(Data_NFI_t[[#This Row],[Distribution Date]]&gt;"01-06-2015",1,2.5)</f>
        <v>0</v>
      </c>
      <c r="AN368" s="734">
        <f>IF(NFI_Expiration=1,IF($A368&lt;VLOOKUP(V$5,NFI,5,0),1,0)*Data_NFI_t[[#This Row],[Adult Clothes]],0)</f>
        <v>0</v>
      </c>
      <c r="AO368" s="105">
        <f>IF(NFI_Expiration=1,IF($A368&lt;VLOOKUP(W$5,NFI,5,0),1,0)*Data_NFI_t[[#This Row],[Children Clothes]],0)</f>
        <v>0</v>
      </c>
      <c r="AP368" s="105">
        <f>IF(NFI_Expiration=1,IF($A368&lt;VLOOKUP(X$5,NFI,5,0),1,0)*Data_NFI_t[[#This Row],[Sewing Kit]],0)</f>
        <v>0</v>
      </c>
      <c r="AQ368" s="734">
        <f>IF(NFI_Expiration=1,IF($A368&lt;VLOOKUP(X$5,NFI,5,0),1,0)*Data_NFI_t[[#This Row],[Solar Lantern]],0)</f>
        <v>0</v>
      </c>
      <c r="AR368" s="105" t="str">
        <f ca="1">IFERROR(OFFSET(Camp_List[P_Code],MATCH(Data_NFI_t[[#This Row],[Camp Name]],Camp_List[Camp Name],0)-1,0,1,1),"")</f>
        <v>MMR012CMP037</v>
      </c>
      <c r="AS368" s="421" t="str">
        <f ca="1">IFERROR(OFFSET(Camp_List[Status],MATCH(Data_NFI_t[[#This Row],[Camp Name]],Camp_List[Camp Name],0)-1,0,1,1),"")</f>
        <v>Close</v>
      </c>
      <c r="AT368" s="105"/>
    </row>
    <row r="369" spans="1:46" s="78" customFormat="1" ht="19.5" customHeight="1" x14ac:dyDescent="0.25">
      <c r="A369" s="208">
        <f t="shared" si="5"/>
        <v>62.56666666666667</v>
      </c>
      <c r="B369" s="208">
        <f>YEAR(Data_NFI_t[[#This Row],[Distribution Date]])</f>
        <v>2013</v>
      </c>
      <c r="C369" s="744">
        <v>41313</v>
      </c>
      <c r="D369" s="402" t="s">
        <v>272</v>
      </c>
      <c r="E369" s="401"/>
      <c r="F369" s="402" t="s">
        <v>7</v>
      </c>
      <c r="G369" s="670" t="s">
        <v>817</v>
      </c>
      <c r="H369" s="670" t="s">
        <v>36</v>
      </c>
      <c r="I369" s="670">
        <v>705</v>
      </c>
      <c r="J369" s="670"/>
      <c r="K369" s="670"/>
      <c r="L369" s="42"/>
      <c r="M369" s="42"/>
      <c r="N369" s="42"/>
      <c r="O369" s="42"/>
      <c r="P369" s="42"/>
      <c r="Q369" s="42"/>
      <c r="R369" s="42"/>
      <c r="S369" s="42"/>
      <c r="T369" s="419"/>
      <c r="U369" s="42"/>
      <c r="V369" s="42"/>
      <c r="W369" s="42"/>
      <c r="X369" s="42"/>
      <c r="Y369" s="42"/>
      <c r="Z369" s="42"/>
      <c r="AA369" s="42"/>
      <c r="AB369" s="42"/>
      <c r="AC369" s="105">
        <f>IF(NFI_Expiration=1,IF($A369&lt;VLOOKUP(I$5,NFI,5,0),1,0)*Data_NFI_t[[#This Row],[Hygiene Kit]],0)</f>
        <v>0</v>
      </c>
      <c r="AD369" s="105">
        <f>IF(NFI_Expiration=1,IF($A369&lt;VLOOKUP(L$5,NFI,5,0),1,0)*Data_NFI_t[[#This Row],[NFI Core Kit]],0)</f>
        <v>0</v>
      </c>
      <c r="AE369" s="86">
        <f>IF(NFI_Expiration=1,IF($A369&lt;VLOOKUP(M$5,NFI,5,0),1,0)*Data_NFI_t[[#This Row],[Sanitary Kit]],0)</f>
        <v>0</v>
      </c>
      <c r="AF369" s="86">
        <f>IF(NFI_Expiration=1,IF($A369&lt;VLOOKUP(N$5,NFI,5,0),1,0)*Data_NFI_t[[#This Row],[Mosquito net]],0)</f>
        <v>0</v>
      </c>
      <c r="AG369" s="86">
        <f>IF(NFI_Expiration=1,IF($A369&lt;VLOOKUP(O$5,NFI,5,0),1,0)*Data_NFI_t[[#This Row],[Tarpaulin]],0)</f>
        <v>0</v>
      </c>
      <c r="AH369" s="86">
        <f>IF(NFI_Expiration=1,IF($A369&lt;VLOOKUP(P$5,NFI,5,0),1,0)*Data_NFI_t[[#This Row],[Blanket]],0)</f>
        <v>0</v>
      </c>
      <c r="AI369" s="86">
        <f>IF(NFI_Expiration=1,IF($A369&lt;VLOOKUP(Q$5,NFI,5,0),1,0)*Data_NFI_t[[#This Row],[Kitchen Set]],0)</f>
        <v>0</v>
      </c>
      <c r="AJ369" s="86">
        <f>IF(NFI_Expiration=1,IF($A369&lt;VLOOKUP(R$5,NFI,5,0),1,0)*Data_NFI_t[[#This Row],[Complementary Kit]],0)</f>
        <v>0</v>
      </c>
      <c r="AK369" s="86">
        <f>IF(NFI_Expiration=1,IF($A369&lt;VLOOKUP(S$5,NFI,5,0),1,0)*Data_NFI_t[[#This Row],[Plastic Bucket]],0)</f>
        <v>0</v>
      </c>
      <c r="AL369" s="86">
        <f>IF(NFI_Expiration=1,IF($A369&lt;VLOOKUP(T$5,NFI,5,0),1,0)*Data_NFI_t[[#This Row],[Jerry Can]],0)</f>
        <v>0</v>
      </c>
      <c r="AM369" s="105">
        <f>IF(NFI_Expiration=1,IF($A369&lt;VLOOKUP(U$5,NFI,5,0),1,0)*Data_NFI_t[[#This Row],[Plastic Mat]],0)*IF(Data_NFI_t[[#This Row],[Distribution Date]]&gt;"01-06-2015",1,2.5)</f>
        <v>0</v>
      </c>
      <c r="AN369" s="734">
        <f>IF(NFI_Expiration=1,IF($A369&lt;VLOOKUP(V$5,NFI,5,0),1,0)*Data_NFI_t[[#This Row],[Adult Clothes]],0)</f>
        <v>0</v>
      </c>
      <c r="AO369" s="105">
        <f>IF(NFI_Expiration=1,IF($A369&lt;VLOOKUP(W$5,NFI,5,0),1,0)*Data_NFI_t[[#This Row],[Children Clothes]],0)</f>
        <v>0</v>
      </c>
      <c r="AP369" s="105">
        <f>IF(NFI_Expiration=1,IF($A369&lt;VLOOKUP(X$5,NFI,5,0),1,0)*Data_NFI_t[[#This Row],[Sewing Kit]],0)</f>
        <v>0</v>
      </c>
      <c r="AQ369" s="734">
        <f>IF(NFI_Expiration=1,IF($A369&lt;VLOOKUP(X$5,NFI,5,0),1,0)*Data_NFI_t[[#This Row],[Solar Lantern]],0)</f>
        <v>0</v>
      </c>
      <c r="AR369" s="105" t="str">
        <f ca="1">IFERROR(OFFSET(Camp_List[P_Code],MATCH(Data_NFI_t[[#This Row],[Camp Name]],Camp_List[Camp Name],0)-1,0,1,1),"")</f>
        <v>MMR012CMP014</v>
      </c>
      <c r="AS369" s="421" t="str">
        <f ca="1">IFERROR(OFFSET(Camp_List[Status],MATCH(Data_NFI_t[[#This Row],[Camp Name]],Camp_List[Camp Name],0)-1,0,1,1),"")</f>
        <v>Open</v>
      </c>
      <c r="AT369" s="105"/>
    </row>
    <row r="370" spans="1:46" s="78" customFormat="1" ht="19.5" customHeight="1" x14ac:dyDescent="0.25">
      <c r="A370" s="208">
        <f t="shared" si="5"/>
        <v>62.8</v>
      </c>
      <c r="B370" s="208">
        <f>YEAR(Data_NFI_t[[#This Row],[Distribution Date]])</f>
        <v>2013</v>
      </c>
      <c r="C370" s="744">
        <v>41306</v>
      </c>
      <c r="D370" s="402" t="s">
        <v>473</v>
      </c>
      <c r="E370" s="401" t="s">
        <v>473</v>
      </c>
      <c r="F370" s="402" t="s">
        <v>7</v>
      </c>
      <c r="G370" s="670" t="s">
        <v>13</v>
      </c>
      <c r="H370" s="670" t="s">
        <v>38</v>
      </c>
      <c r="I370" s="670">
        <v>803</v>
      </c>
      <c r="J370" s="670"/>
      <c r="K370" s="670"/>
      <c r="L370" s="42"/>
      <c r="M370" s="42"/>
      <c r="N370" s="42"/>
      <c r="O370" s="42"/>
      <c r="P370" s="42"/>
      <c r="Q370" s="42"/>
      <c r="R370" s="42"/>
      <c r="S370" s="42"/>
      <c r="T370" s="419"/>
      <c r="U370" s="42"/>
      <c r="V370" s="42"/>
      <c r="W370" s="42"/>
      <c r="X370" s="42"/>
      <c r="Y370" s="42"/>
      <c r="Z370" s="42"/>
      <c r="AA370" s="42"/>
      <c r="AB370" s="42"/>
      <c r="AC370" s="105">
        <f>IF(NFI_Expiration=1,IF($A370&lt;VLOOKUP(I$5,NFI,5,0),1,0)*Data_NFI_t[[#This Row],[Hygiene Kit]],0)</f>
        <v>0</v>
      </c>
      <c r="AD370" s="105">
        <f>IF(NFI_Expiration=1,IF($A370&lt;VLOOKUP(L$5,NFI,5,0),1,0)*Data_NFI_t[[#This Row],[NFI Core Kit]],0)</f>
        <v>0</v>
      </c>
      <c r="AE370" s="86">
        <f>IF(NFI_Expiration=1,IF($A370&lt;VLOOKUP(M$5,NFI,5,0),1,0)*Data_NFI_t[[#This Row],[Sanitary Kit]],0)</f>
        <v>0</v>
      </c>
      <c r="AF370" s="86">
        <f>IF(NFI_Expiration=1,IF($A370&lt;VLOOKUP(N$5,NFI,5,0),1,0)*Data_NFI_t[[#This Row],[Mosquito net]],0)</f>
        <v>0</v>
      </c>
      <c r="AG370" s="86">
        <f>IF(NFI_Expiration=1,IF($A370&lt;VLOOKUP(O$5,NFI,5,0),1,0)*Data_NFI_t[[#This Row],[Tarpaulin]],0)</f>
        <v>0</v>
      </c>
      <c r="AH370" s="86">
        <f>IF(NFI_Expiration=1,IF($A370&lt;VLOOKUP(P$5,NFI,5,0),1,0)*Data_NFI_t[[#This Row],[Blanket]],0)</f>
        <v>0</v>
      </c>
      <c r="AI370" s="86">
        <f>IF(NFI_Expiration=1,IF($A370&lt;VLOOKUP(Q$5,NFI,5,0),1,0)*Data_NFI_t[[#This Row],[Kitchen Set]],0)</f>
        <v>0</v>
      </c>
      <c r="AJ370" s="86">
        <f>IF(NFI_Expiration=1,IF($A370&lt;VLOOKUP(R$5,NFI,5,0),1,0)*Data_NFI_t[[#This Row],[Complementary Kit]],0)</f>
        <v>0</v>
      </c>
      <c r="AK370" s="86">
        <f>IF(NFI_Expiration=1,IF($A370&lt;VLOOKUP(S$5,NFI,5,0),1,0)*Data_NFI_t[[#This Row],[Plastic Bucket]],0)</f>
        <v>0</v>
      </c>
      <c r="AL370" s="86">
        <f>IF(NFI_Expiration=1,IF($A370&lt;VLOOKUP(T$5,NFI,5,0),1,0)*Data_NFI_t[[#This Row],[Jerry Can]],0)</f>
        <v>0</v>
      </c>
      <c r="AM370" s="105">
        <f>IF(NFI_Expiration=1,IF($A370&lt;VLOOKUP(U$5,NFI,5,0),1,0)*Data_NFI_t[[#This Row],[Plastic Mat]],0)*IF(Data_NFI_t[[#This Row],[Distribution Date]]&gt;"01-06-2015",1,2.5)</f>
        <v>0</v>
      </c>
      <c r="AN370" s="734">
        <f>IF(NFI_Expiration=1,IF($A370&lt;VLOOKUP(V$5,NFI,5,0),1,0)*Data_NFI_t[[#This Row],[Adult Clothes]],0)</f>
        <v>0</v>
      </c>
      <c r="AO370" s="105">
        <f>IF(NFI_Expiration=1,IF($A370&lt;VLOOKUP(W$5,NFI,5,0),1,0)*Data_NFI_t[[#This Row],[Children Clothes]],0)</f>
        <v>0</v>
      </c>
      <c r="AP370" s="105">
        <f>IF(NFI_Expiration=1,IF($A370&lt;VLOOKUP(X$5,NFI,5,0),1,0)*Data_NFI_t[[#This Row],[Sewing Kit]],0)</f>
        <v>0</v>
      </c>
      <c r="AQ370" s="734">
        <f>IF(NFI_Expiration=1,IF($A370&lt;VLOOKUP(X$5,NFI,5,0),1,0)*Data_NFI_t[[#This Row],[Solar Lantern]],0)</f>
        <v>0</v>
      </c>
      <c r="AR370" s="105" t="str">
        <f ca="1">IFERROR(OFFSET(Camp_List[P_Code],MATCH(Data_NFI_t[[#This Row],[Camp Name]],Camp_List[Camp Name],0)-1,0,1,1),"")</f>
        <v>MMR012CMP016</v>
      </c>
      <c r="AS370" s="421" t="str">
        <f ca="1">IFERROR(OFFSET(Camp_List[Status],MATCH(Data_NFI_t[[#This Row],[Camp Name]],Camp_List[Camp Name],0)-1,0,1,1),"")</f>
        <v>Open</v>
      </c>
      <c r="AT370" s="105"/>
    </row>
    <row r="371" spans="1:46" s="78" customFormat="1" ht="19.5" customHeight="1" x14ac:dyDescent="0.25">
      <c r="A371" s="208">
        <f t="shared" si="5"/>
        <v>62.8</v>
      </c>
      <c r="B371" s="208">
        <f>YEAR(Data_NFI_t[[#This Row],[Distribution Date]])</f>
        <v>2013</v>
      </c>
      <c r="C371" s="744">
        <v>41306</v>
      </c>
      <c r="D371" s="402" t="s">
        <v>473</v>
      </c>
      <c r="E371" s="401" t="s">
        <v>473</v>
      </c>
      <c r="F371" s="402" t="s">
        <v>7</v>
      </c>
      <c r="G371" s="670" t="s">
        <v>13</v>
      </c>
      <c r="H371" s="670" t="s">
        <v>40</v>
      </c>
      <c r="I371" s="670">
        <v>858</v>
      </c>
      <c r="J371" s="670"/>
      <c r="K371" s="670"/>
      <c r="L371" s="42"/>
      <c r="M371" s="42"/>
      <c r="N371" s="42"/>
      <c r="O371" s="42"/>
      <c r="P371" s="42"/>
      <c r="Q371" s="42"/>
      <c r="R371" s="42"/>
      <c r="S371" s="42"/>
      <c r="T371" s="419"/>
      <c r="U371" s="42"/>
      <c r="V371" s="42"/>
      <c r="W371" s="42"/>
      <c r="X371" s="42"/>
      <c r="Y371" s="42"/>
      <c r="Z371" s="42"/>
      <c r="AA371" s="42"/>
      <c r="AB371" s="42"/>
      <c r="AC371" s="105">
        <f>IF(NFI_Expiration=1,IF($A371&lt;VLOOKUP(I$5,NFI,5,0),1,0)*Data_NFI_t[[#This Row],[Hygiene Kit]],0)</f>
        <v>0</v>
      </c>
      <c r="AD371" s="105">
        <f>IF(NFI_Expiration=1,IF($A371&lt;VLOOKUP(L$5,NFI,5,0),1,0)*Data_NFI_t[[#This Row],[NFI Core Kit]],0)</f>
        <v>0</v>
      </c>
      <c r="AE371" s="86">
        <f>IF(NFI_Expiration=1,IF($A371&lt;VLOOKUP(M$5,NFI,5,0),1,0)*Data_NFI_t[[#This Row],[Sanitary Kit]],0)</f>
        <v>0</v>
      </c>
      <c r="AF371" s="86">
        <f>IF(NFI_Expiration=1,IF($A371&lt;VLOOKUP(N$5,NFI,5,0),1,0)*Data_NFI_t[[#This Row],[Mosquito net]],0)</f>
        <v>0</v>
      </c>
      <c r="AG371" s="86">
        <f>IF(NFI_Expiration=1,IF($A371&lt;VLOOKUP(O$5,NFI,5,0),1,0)*Data_NFI_t[[#This Row],[Tarpaulin]],0)</f>
        <v>0</v>
      </c>
      <c r="AH371" s="86">
        <f>IF(NFI_Expiration=1,IF($A371&lt;VLOOKUP(P$5,NFI,5,0),1,0)*Data_NFI_t[[#This Row],[Blanket]],0)</f>
        <v>0</v>
      </c>
      <c r="AI371" s="86">
        <f>IF(NFI_Expiration=1,IF($A371&lt;VLOOKUP(Q$5,NFI,5,0),1,0)*Data_NFI_t[[#This Row],[Kitchen Set]],0)</f>
        <v>0</v>
      </c>
      <c r="AJ371" s="86">
        <f>IF(NFI_Expiration=1,IF($A371&lt;VLOOKUP(R$5,NFI,5,0),1,0)*Data_NFI_t[[#This Row],[Complementary Kit]],0)</f>
        <v>0</v>
      </c>
      <c r="AK371" s="86">
        <f>IF(NFI_Expiration=1,IF($A371&lt;VLOOKUP(S$5,NFI,5,0),1,0)*Data_NFI_t[[#This Row],[Plastic Bucket]],0)</f>
        <v>0</v>
      </c>
      <c r="AL371" s="86">
        <f>IF(NFI_Expiration=1,IF($A371&lt;VLOOKUP(T$5,NFI,5,0),1,0)*Data_NFI_t[[#This Row],[Jerry Can]],0)</f>
        <v>0</v>
      </c>
      <c r="AM371" s="105">
        <f>IF(NFI_Expiration=1,IF($A371&lt;VLOOKUP(U$5,NFI,5,0),1,0)*Data_NFI_t[[#This Row],[Plastic Mat]],0)*IF(Data_NFI_t[[#This Row],[Distribution Date]]&gt;"01-06-2015",1,2.5)</f>
        <v>0</v>
      </c>
      <c r="AN371" s="734">
        <f>IF(NFI_Expiration=1,IF($A371&lt;VLOOKUP(V$5,NFI,5,0),1,0)*Data_NFI_t[[#This Row],[Adult Clothes]],0)</f>
        <v>0</v>
      </c>
      <c r="AO371" s="105">
        <f>IF(NFI_Expiration=1,IF($A371&lt;VLOOKUP(W$5,NFI,5,0),1,0)*Data_NFI_t[[#This Row],[Children Clothes]],0)</f>
        <v>0</v>
      </c>
      <c r="AP371" s="105">
        <f>IF(NFI_Expiration=1,IF($A371&lt;VLOOKUP(X$5,NFI,5,0),1,0)*Data_NFI_t[[#This Row],[Sewing Kit]],0)</f>
        <v>0</v>
      </c>
      <c r="AQ371" s="734">
        <f>IF(NFI_Expiration=1,IF($A371&lt;VLOOKUP(X$5,NFI,5,0),1,0)*Data_NFI_t[[#This Row],[Solar Lantern]],0)</f>
        <v>0</v>
      </c>
      <c r="AR371" s="105" t="str">
        <f ca="1">IFERROR(OFFSET(Camp_List[P_Code],MATCH(Data_NFI_t[[#This Row],[Camp Name]],Camp_List[Camp Name],0)-1,0,1,1),"")</f>
        <v>MMR012CMP018</v>
      </c>
      <c r="AS371" s="421" t="str">
        <f ca="1">IFERROR(OFFSET(Camp_List[Status],MATCH(Data_NFI_t[[#This Row],[Camp Name]],Camp_List[Camp Name],0)-1,0,1,1),"")</f>
        <v>Open</v>
      </c>
      <c r="AT371" s="105"/>
    </row>
    <row r="372" spans="1:46" s="78" customFormat="1" ht="19.5" customHeight="1" x14ac:dyDescent="0.25">
      <c r="A372" s="208">
        <f t="shared" si="5"/>
        <v>62.866666666666667</v>
      </c>
      <c r="B372" s="208">
        <f>YEAR(Data_NFI_t[[#This Row],[Distribution Date]])</f>
        <v>2013</v>
      </c>
      <c r="C372" s="744">
        <v>41304</v>
      </c>
      <c r="D372" s="402" t="s">
        <v>473</v>
      </c>
      <c r="E372" s="401" t="s">
        <v>473</v>
      </c>
      <c r="F372" s="402" t="s">
        <v>7</v>
      </c>
      <c r="G372" s="670" t="s">
        <v>13</v>
      </c>
      <c r="H372" s="670" t="s">
        <v>41</v>
      </c>
      <c r="I372" s="670">
        <v>810</v>
      </c>
      <c r="J372" s="670"/>
      <c r="K372" s="670"/>
      <c r="L372" s="42"/>
      <c r="M372" s="42"/>
      <c r="N372" s="42"/>
      <c r="O372" s="42"/>
      <c r="P372" s="42"/>
      <c r="Q372" s="42"/>
      <c r="R372" s="42"/>
      <c r="S372" s="42"/>
      <c r="T372" s="419"/>
      <c r="U372" s="42"/>
      <c r="V372" s="42"/>
      <c r="W372" s="42"/>
      <c r="X372" s="42"/>
      <c r="Y372" s="42"/>
      <c r="Z372" s="42"/>
      <c r="AA372" s="42"/>
      <c r="AB372" s="42"/>
      <c r="AC372" s="105">
        <f>IF(NFI_Expiration=1,IF($A372&lt;VLOOKUP(I$5,NFI,5,0),1,0)*Data_NFI_t[[#This Row],[Hygiene Kit]],0)</f>
        <v>0</v>
      </c>
      <c r="AD372" s="105">
        <f>IF(NFI_Expiration=1,IF($A372&lt;VLOOKUP(L$5,NFI,5,0),1,0)*Data_NFI_t[[#This Row],[NFI Core Kit]],0)</f>
        <v>0</v>
      </c>
      <c r="AE372" s="86">
        <f>IF(NFI_Expiration=1,IF($A372&lt;VLOOKUP(M$5,NFI,5,0),1,0)*Data_NFI_t[[#This Row],[Sanitary Kit]],0)</f>
        <v>0</v>
      </c>
      <c r="AF372" s="86">
        <f>IF(NFI_Expiration=1,IF($A372&lt;VLOOKUP(N$5,NFI,5,0),1,0)*Data_NFI_t[[#This Row],[Mosquito net]],0)</f>
        <v>0</v>
      </c>
      <c r="AG372" s="86">
        <f>IF(NFI_Expiration=1,IF($A372&lt;VLOOKUP(O$5,NFI,5,0),1,0)*Data_NFI_t[[#This Row],[Tarpaulin]],0)</f>
        <v>0</v>
      </c>
      <c r="AH372" s="86">
        <f>IF(NFI_Expiration=1,IF($A372&lt;VLOOKUP(P$5,NFI,5,0),1,0)*Data_NFI_t[[#This Row],[Blanket]],0)</f>
        <v>0</v>
      </c>
      <c r="AI372" s="86">
        <f>IF(NFI_Expiration=1,IF($A372&lt;VLOOKUP(Q$5,NFI,5,0),1,0)*Data_NFI_t[[#This Row],[Kitchen Set]],0)</f>
        <v>0</v>
      </c>
      <c r="AJ372" s="86">
        <f>IF(NFI_Expiration=1,IF($A372&lt;VLOOKUP(R$5,NFI,5,0),1,0)*Data_NFI_t[[#This Row],[Complementary Kit]],0)</f>
        <v>0</v>
      </c>
      <c r="AK372" s="86">
        <f>IF(NFI_Expiration=1,IF($A372&lt;VLOOKUP(S$5,NFI,5,0),1,0)*Data_NFI_t[[#This Row],[Plastic Bucket]],0)</f>
        <v>0</v>
      </c>
      <c r="AL372" s="86">
        <f>IF(NFI_Expiration=1,IF($A372&lt;VLOOKUP(T$5,NFI,5,0),1,0)*Data_NFI_t[[#This Row],[Jerry Can]],0)</f>
        <v>0</v>
      </c>
      <c r="AM372" s="105">
        <f>IF(NFI_Expiration=1,IF($A372&lt;VLOOKUP(U$5,NFI,5,0),1,0)*Data_NFI_t[[#This Row],[Plastic Mat]],0)*IF(Data_NFI_t[[#This Row],[Distribution Date]]&gt;"01-06-2015",1,2.5)</f>
        <v>0</v>
      </c>
      <c r="AN372" s="734">
        <f>IF(NFI_Expiration=1,IF($A372&lt;VLOOKUP(V$5,NFI,5,0),1,0)*Data_NFI_t[[#This Row],[Adult Clothes]],0)</f>
        <v>0</v>
      </c>
      <c r="AO372" s="105">
        <f>IF(NFI_Expiration=1,IF($A372&lt;VLOOKUP(W$5,NFI,5,0),1,0)*Data_NFI_t[[#This Row],[Children Clothes]],0)</f>
        <v>0</v>
      </c>
      <c r="AP372" s="105">
        <f>IF(NFI_Expiration=1,IF($A372&lt;VLOOKUP(X$5,NFI,5,0),1,0)*Data_NFI_t[[#This Row],[Sewing Kit]],0)</f>
        <v>0</v>
      </c>
      <c r="AQ372" s="734">
        <f>IF(NFI_Expiration=1,IF($A372&lt;VLOOKUP(X$5,NFI,5,0),1,0)*Data_NFI_t[[#This Row],[Solar Lantern]],0)</f>
        <v>0</v>
      </c>
      <c r="AR372" s="105" t="str">
        <f ca="1">IFERROR(OFFSET(Camp_List[P_Code],MATCH(Data_NFI_t[[#This Row],[Camp Name]],Camp_List[Camp Name],0)-1,0,1,1),"")</f>
        <v>MMR012CMP019</v>
      </c>
      <c r="AS372" s="421" t="str">
        <f ca="1">IFERROR(OFFSET(Camp_List[Status],MATCH(Data_NFI_t[[#This Row],[Camp Name]],Camp_List[Camp Name],0)-1,0,1,1),"")</f>
        <v>Open</v>
      </c>
      <c r="AT372" s="105"/>
    </row>
    <row r="373" spans="1:46" s="78" customFormat="1" ht="19.5" customHeight="1" x14ac:dyDescent="0.25">
      <c r="A373" s="208">
        <f t="shared" si="5"/>
        <v>63.06666666666667</v>
      </c>
      <c r="B373" s="208">
        <f>YEAR(Data_NFI_t[[#This Row],[Distribution Date]])</f>
        <v>2013</v>
      </c>
      <c r="C373" s="744">
        <v>41298</v>
      </c>
      <c r="D373" s="402" t="s">
        <v>473</v>
      </c>
      <c r="E373" s="401" t="s">
        <v>473</v>
      </c>
      <c r="F373" s="402" t="s">
        <v>7</v>
      </c>
      <c r="G373" s="670" t="s">
        <v>17</v>
      </c>
      <c r="H373" s="670" t="s">
        <v>68</v>
      </c>
      <c r="I373" s="670">
        <v>3100</v>
      </c>
      <c r="J373" s="670"/>
      <c r="K373" s="670"/>
      <c r="L373" s="42"/>
      <c r="M373" s="42"/>
      <c r="N373" s="42"/>
      <c r="O373" s="42"/>
      <c r="P373" s="42"/>
      <c r="Q373" s="42"/>
      <c r="R373" s="42"/>
      <c r="S373" s="42"/>
      <c r="T373" s="419"/>
      <c r="U373" s="42"/>
      <c r="V373" s="42"/>
      <c r="W373" s="42"/>
      <c r="X373" s="42"/>
      <c r="Y373" s="42"/>
      <c r="Z373" s="42"/>
      <c r="AA373" s="42"/>
      <c r="AB373" s="42"/>
      <c r="AC373" s="105">
        <f>IF(NFI_Expiration=1,IF($A373&lt;VLOOKUP(I$5,NFI,5,0),1,0)*Data_NFI_t[[#This Row],[Hygiene Kit]],0)</f>
        <v>0</v>
      </c>
      <c r="AD373" s="105">
        <f>IF(NFI_Expiration=1,IF($A373&lt;VLOOKUP(L$5,NFI,5,0),1,0)*Data_NFI_t[[#This Row],[NFI Core Kit]],0)</f>
        <v>0</v>
      </c>
      <c r="AE373" s="86">
        <f>IF(NFI_Expiration=1,IF($A373&lt;VLOOKUP(M$5,NFI,5,0),1,0)*Data_NFI_t[[#This Row],[Sanitary Kit]],0)</f>
        <v>0</v>
      </c>
      <c r="AF373" s="86">
        <f>IF(NFI_Expiration=1,IF($A373&lt;VLOOKUP(N$5,NFI,5,0),1,0)*Data_NFI_t[[#This Row],[Mosquito net]],0)</f>
        <v>0</v>
      </c>
      <c r="AG373" s="86">
        <f>IF(NFI_Expiration=1,IF($A373&lt;VLOOKUP(O$5,NFI,5,0),1,0)*Data_NFI_t[[#This Row],[Tarpaulin]],0)</f>
        <v>0</v>
      </c>
      <c r="AH373" s="86">
        <f>IF(NFI_Expiration=1,IF($A373&lt;VLOOKUP(P$5,NFI,5,0),1,0)*Data_NFI_t[[#This Row],[Blanket]],0)</f>
        <v>0</v>
      </c>
      <c r="AI373" s="86">
        <f>IF(NFI_Expiration=1,IF($A373&lt;VLOOKUP(Q$5,NFI,5,0),1,0)*Data_NFI_t[[#This Row],[Kitchen Set]],0)</f>
        <v>0</v>
      </c>
      <c r="AJ373" s="86">
        <f>IF(NFI_Expiration=1,IF($A373&lt;VLOOKUP(R$5,NFI,5,0),1,0)*Data_NFI_t[[#This Row],[Complementary Kit]],0)</f>
        <v>0</v>
      </c>
      <c r="AK373" s="86">
        <f>IF(NFI_Expiration=1,IF($A373&lt;VLOOKUP(S$5,NFI,5,0),1,0)*Data_NFI_t[[#This Row],[Plastic Bucket]],0)</f>
        <v>0</v>
      </c>
      <c r="AL373" s="86">
        <f>IF(NFI_Expiration=1,IF($A373&lt;VLOOKUP(T$5,NFI,5,0),1,0)*Data_NFI_t[[#This Row],[Jerry Can]],0)</f>
        <v>0</v>
      </c>
      <c r="AM373" s="105">
        <f>IF(NFI_Expiration=1,IF($A373&lt;VLOOKUP(U$5,NFI,5,0),1,0)*Data_NFI_t[[#This Row],[Plastic Mat]],0)*IF(Data_NFI_t[[#This Row],[Distribution Date]]&gt;"01-06-2015",1,2.5)</f>
        <v>0</v>
      </c>
      <c r="AN373" s="734">
        <f>IF(NFI_Expiration=1,IF($A373&lt;VLOOKUP(V$5,NFI,5,0),1,0)*Data_NFI_t[[#This Row],[Adult Clothes]],0)</f>
        <v>0</v>
      </c>
      <c r="AO373" s="105">
        <f>IF(NFI_Expiration=1,IF($A373&lt;VLOOKUP(W$5,NFI,5,0),1,0)*Data_NFI_t[[#This Row],[Children Clothes]],0)</f>
        <v>0</v>
      </c>
      <c r="AP373" s="105">
        <f>IF(NFI_Expiration=1,IF($A373&lt;VLOOKUP(X$5,NFI,5,0),1,0)*Data_NFI_t[[#This Row],[Sewing Kit]],0)</f>
        <v>0</v>
      </c>
      <c r="AQ373" s="734">
        <f>IF(NFI_Expiration=1,IF($A373&lt;VLOOKUP(X$5,NFI,5,0),1,0)*Data_NFI_t[[#This Row],[Solar Lantern]],0)</f>
        <v>0</v>
      </c>
      <c r="AR373" s="105" t="str">
        <f ca="1">IFERROR(OFFSET(Camp_List[P_Code],MATCH(Data_NFI_t[[#This Row],[Camp Name]],Camp_List[Camp Name],0)-1,0,1,1),"")</f>
        <v>MMR012CMP048</v>
      </c>
      <c r="AS373" s="421" t="str">
        <f ca="1">IFERROR(OFFSET(Camp_List[Status],MATCH(Data_NFI_t[[#This Row],[Camp Name]],Camp_List[Camp Name],0)-1,0,1,1),"")</f>
        <v>Open</v>
      </c>
      <c r="AT373" s="105"/>
    </row>
    <row r="374" spans="1:46" s="78" customFormat="1" ht="19.5" customHeight="1" x14ac:dyDescent="0.25">
      <c r="A374" s="208">
        <f t="shared" si="5"/>
        <v>63.166666666666664</v>
      </c>
      <c r="B374" s="208">
        <f>YEAR(Data_NFI_t[[#This Row],[Distribution Date]])</f>
        <v>2013</v>
      </c>
      <c r="C374" s="744">
        <v>41295</v>
      </c>
      <c r="D374" s="402" t="s">
        <v>274</v>
      </c>
      <c r="E374" s="401" t="s">
        <v>270</v>
      </c>
      <c r="F374" s="402" t="s">
        <v>7</v>
      </c>
      <c r="G374" s="670" t="s">
        <v>17</v>
      </c>
      <c r="H374" s="670" t="s">
        <v>231</v>
      </c>
      <c r="I374" s="670"/>
      <c r="J374" s="670"/>
      <c r="K374" s="670"/>
      <c r="L374" s="42"/>
      <c r="M374" s="42"/>
      <c r="N374" s="42"/>
      <c r="O374" s="42"/>
      <c r="P374" s="42">
        <v>38</v>
      </c>
      <c r="Q374" s="42"/>
      <c r="R374" s="42"/>
      <c r="S374" s="42"/>
      <c r="T374" s="419"/>
      <c r="U374" s="42"/>
      <c r="V374" s="42"/>
      <c r="W374" s="42"/>
      <c r="X374" s="42"/>
      <c r="Y374" s="42"/>
      <c r="Z374" s="42"/>
      <c r="AA374" s="42"/>
      <c r="AB374" s="42"/>
      <c r="AC374" s="105">
        <f>IF(NFI_Expiration=1,IF($A374&lt;VLOOKUP(I$5,NFI,5,0),1,0)*Data_NFI_t[[#This Row],[Hygiene Kit]],0)</f>
        <v>0</v>
      </c>
      <c r="AD374" s="105">
        <f>IF(NFI_Expiration=1,IF($A374&lt;VLOOKUP(L$5,NFI,5,0),1,0)*Data_NFI_t[[#This Row],[NFI Core Kit]],0)</f>
        <v>0</v>
      </c>
      <c r="AE374" s="86">
        <f>IF(NFI_Expiration=1,IF($A374&lt;VLOOKUP(M$5,NFI,5,0),1,0)*Data_NFI_t[[#This Row],[Sanitary Kit]],0)</f>
        <v>0</v>
      </c>
      <c r="AF374" s="86">
        <f>IF(NFI_Expiration=1,IF($A374&lt;VLOOKUP(N$5,NFI,5,0),1,0)*Data_NFI_t[[#This Row],[Mosquito net]],0)</f>
        <v>0</v>
      </c>
      <c r="AG374" s="86">
        <f>IF(NFI_Expiration=1,IF($A374&lt;VLOOKUP(O$5,NFI,5,0),1,0)*Data_NFI_t[[#This Row],[Tarpaulin]],0)</f>
        <v>0</v>
      </c>
      <c r="AH374" s="86">
        <f>IF(NFI_Expiration=1,IF($A374&lt;VLOOKUP(P$5,NFI,5,0),1,0)*Data_NFI_t[[#This Row],[Blanket]],0)</f>
        <v>0</v>
      </c>
      <c r="AI374" s="86">
        <f>IF(NFI_Expiration=1,IF($A374&lt;VLOOKUP(Q$5,NFI,5,0),1,0)*Data_NFI_t[[#This Row],[Kitchen Set]],0)</f>
        <v>0</v>
      </c>
      <c r="AJ374" s="86">
        <f>IF(NFI_Expiration=1,IF($A374&lt;VLOOKUP(R$5,NFI,5,0),1,0)*Data_NFI_t[[#This Row],[Complementary Kit]],0)</f>
        <v>0</v>
      </c>
      <c r="AK374" s="86">
        <f>IF(NFI_Expiration=1,IF($A374&lt;VLOOKUP(S$5,NFI,5,0),1,0)*Data_NFI_t[[#This Row],[Plastic Bucket]],0)</f>
        <v>0</v>
      </c>
      <c r="AL374" s="86">
        <f>IF(NFI_Expiration=1,IF($A374&lt;VLOOKUP(T$5,NFI,5,0),1,0)*Data_NFI_t[[#This Row],[Jerry Can]],0)</f>
        <v>0</v>
      </c>
      <c r="AM374" s="105">
        <f>IF(NFI_Expiration=1,IF($A374&lt;VLOOKUP(U$5,NFI,5,0),1,0)*Data_NFI_t[[#This Row],[Plastic Mat]],0)*IF(Data_NFI_t[[#This Row],[Distribution Date]]&gt;"01-06-2015",1,2.5)</f>
        <v>0</v>
      </c>
      <c r="AN374" s="734">
        <f>IF(NFI_Expiration=1,IF($A374&lt;VLOOKUP(V$5,NFI,5,0),1,0)*Data_NFI_t[[#This Row],[Adult Clothes]],0)</f>
        <v>0</v>
      </c>
      <c r="AO374" s="105">
        <f>IF(NFI_Expiration=1,IF($A374&lt;VLOOKUP(W$5,NFI,5,0),1,0)*Data_NFI_t[[#This Row],[Children Clothes]],0)</f>
        <v>0</v>
      </c>
      <c r="AP374" s="105">
        <f>IF(NFI_Expiration=1,IF($A374&lt;VLOOKUP(X$5,NFI,5,0),1,0)*Data_NFI_t[[#This Row],[Sewing Kit]],0)</f>
        <v>0</v>
      </c>
      <c r="AQ374" s="734">
        <f>IF(NFI_Expiration=1,IF($A374&lt;VLOOKUP(X$5,NFI,5,0),1,0)*Data_NFI_t[[#This Row],[Solar Lantern]],0)</f>
        <v>0</v>
      </c>
      <c r="AR374" s="105" t="str">
        <f ca="1">IFERROR(OFFSET(Camp_List[P_Code],MATCH(Data_NFI_t[[#This Row],[Camp Name]],Camp_List[Camp Name],0)-1,0,1,1),"")</f>
        <v>MMR012CMP090</v>
      </c>
      <c r="AS374" s="421" t="str">
        <f ca="1">IFERROR(OFFSET(Camp_List[Status],MATCH(Data_NFI_t[[#This Row],[Camp Name]],Camp_List[Camp Name],0)-1,0,1,1),"")</f>
        <v>Close</v>
      </c>
      <c r="AT374" s="105"/>
    </row>
    <row r="375" spans="1:46" s="78" customFormat="1" ht="19.5" customHeight="1" x14ac:dyDescent="0.25">
      <c r="A375" s="208">
        <f t="shared" si="5"/>
        <v>63.266666666666666</v>
      </c>
      <c r="B375" s="208">
        <f>YEAR(Data_NFI_t[[#This Row],[Distribution Date]])</f>
        <v>2013</v>
      </c>
      <c r="C375" s="744">
        <v>41292</v>
      </c>
      <c r="D375" s="402" t="s">
        <v>270</v>
      </c>
      <c r="E375" s="401"/>
      <c r="F375" s="402" t="s">
        <v>7</v>
      </c>
      <c r="G375" s="670" t="s">
        <v>18</v>
      </c>
      <c r="H375" s="670" t="s">
        <v>107</v>
      </c>
      <c r="I375" s="670"/>
      <c r="J375" s="670"/>
      <c r="K375" s="670"/>
      <c r="L375" s="42">
        <v>63</v>
      </c>
      <c r="M375" s="42"/>
      <c r="N375" s="42">
        <v>126</v>
      </c>
      <c r="O375" s="42">
        <v>63</v>
      </c>
      <c r="P375" s="42">
        <v>126</v>
      </c>
      <c r="Q375" s="42">
        <v>63</v>
      </c>
      <c r="R375" s="42">
        <v>63</v>
      </c>
      <c r="S375" s="42">
        <v>63</v>
      </c>
      <c r="T375" s="419"/>
      <c r="U375" s="42">
        <v>126</v>
      </c>
      <c r="V375" s="42"/>
      <c r="W375" s="42"/>
      <c r="X375" s="42"/>
      <c r="Y375" s="42"/>
      <c r="Z375" s="42"/>
      <c r="AA375" s="42"/>
      <c r="AB375" s="42"/>
      <c r="AC375" s="105">
        <f>IF(NFI_Expiration=1,IF($A375&lt;VLOOKUP(I$5,NFI,5,0),1,0)*Data_NFI_t[[#This Row],[Hygiene Kit]],0)</f>
        <v>0</v>
      </c>
      <c r="AD375" s="105">
        <f>IF(NFI_Expiration=1,IF($A375&lt;VLOOKUP(L$5,NFI,5,0),1,0)*Data_NFI_t[[#This Row],[NFI Core Kit]],0)</f>
        <v>0</v>
      </c>
      <c r="AE375" s="86">
        <f>IF(NFI_Expiration=1,IF($A375&lt;VLOOKUP(M$5,NFI,5,0),1,0)*Data_NFI_t[[#This Row],[Sanitary Kit]],0)</f>
        <v>0</v>
      </c>
      <c r="AF375" s="86">
        <f>IF(NFI_Expiration=1,IF($A375&lt;VLOOKUP(N$5,NFI,5,0),1,0)*Data_NFI_t[[#This Row],[Mosquito net]],0)</f>
        <v>0</v>
      </c>
      <c r="AG375" s="86">
        <f>IF(NFI_Expiration=1,IF($A375&lt;VLOOKUP(O$5,NFI,5,0),1,0)*Data_NFI_t[[#This Row],[Tarpaulin]],0)</f>
        <v>0</v>
      </c>
      <c r="AH375" s="86">
        <f>IF(NFI_Expiration=1,IF($A375&lt;VLOOKUP(P$5,NFI,5,0),1,0)*Data_NFI_t[[#This Row],[Blanket]],0)</f>
        <v>0</v>
      </c>
      <c r="AI375" s="86">
        <f>IF(NFI_Expiration=1,IF($A375&lt;VLOOKUP(Q$5,NFI,5,0),1,0)*Data_NFI_t[[#This Row],[Kitchen Set]],0)</f>
        <v>0</v>
      </c>
      <c r="AJ375" s="86">
        <f>IF(NFI_Expiration=1,IF($A375&lt;VLOOKUP(R$5,NFI,5,0),1,0)*Data_NFI_t[[#This Row],[Complementary Kit]],0)</f>
        <v>0</v>
      </c>
      <c r="AK375" s="86">
        <f>IF(NFI_Expiration=1,IF($A375&lt;VLOOKUP(S$5,NFI,5,0),1,0)*Data_NFI_t[[#This Row],[Plastic Bucket]],0)</f>
        <v>0</v>
      </c>
      <c r="AL375" s="86">
        <f>IF(NFI_Expiration=1,IF($A375&lt;VLOOKUP(T$5,NFI,5,0),1,0)*Data_NFI_t[[#This Row],[Jerry Can]],0)</f>
        <v>0</v>
      </c>
      <c r="AM375" s="105">
        <f>IF(NFI_Expiration=1,IF($A375&lt;VLOOKUP(U$5,NFI,5,0),1,0)*Data_NFI_t[[#This Row],[Plastic Mat]],0)*IF(Data_NFI_t[[#This Row],[Distribution Date]]&gt;"01-06-2015",1,2.5)</f>
        <v>0</v>
      </c>
      <c r="AN375" s="734">
        <f>IF(NFI_Expiration=1,IF($A375&lt;VLOOKUP(V$5,NFI,5,0),1,0)*Data_NFI_t[[#This Row],[Adult Clothes]],0)</f>
        <v>0</v>
      </c>
      <c r="AO375" s="105">
        <f>IF(NFI_Expiration=1,IF($A375&lt;VLOOKUP(W$5,NFI,5,0),1,0)*Data_NFI_t[[#This Row],[Children Clothes]],0)</f>
        <v>0</v>
      </c>
      <c r="AP375" s="105">
        <f>IF(NFI_Expiration=1,IF($A375&lt;VLOOKUP(X$5,NFI,5,0),1,0)*Data_NFI_t[[#This Row],[Sewing Kit]],0)</f>
        <v>0</v>
      </c>
      <c r="AQ375" s="734">
        <f>IF(NFI_Expiration=1,IF($A375&lt;VLOOKUP(X$5,NFI,5,0),1,0)*Data_NFI_t[[#This Row],[Solar Lantern]],0)</f>
        <v>0</v>
      </c>
      <c r="AR375" s="105" t="str">
        <f ca="1">IFERROR(OFFSET(Camp_List[P_Code],MATCH(Data_NFI_t[[#This Row],[Camp Name]],Camp_List[Camp Name],0)-1,0,1,1),"")</f>
        <v/>
      </c>
      <c r="AS375" s="421" t="str">
        <f ca="1">IFERROR(OFFSET(Camp_List[Status],MATCH(Data_NFI_t[[#This Row],[Camp Name]],Camp_List[Camp Name],0)-1,0,1,1),"")</f>
        <v/>
      </c>
      <c r="AT375" s="105"/>
    </row>
    <row r="376" spans="1:46" s="78" customFormat="1" ht="19.5" customHeight="1" x14ac:dyDescent="0.25">
      <c r="A376" s="208">
        <f t="shared" si="5"/>
        <v>63.266666666666666</v>
      </c>
      <c r="B376" s="208">
        <f>YEAR(Data_NFI_t[[#This Row],[Distribution Date]])</f>
        <v>2013</v>
      </c>
      <c r="C376" s="744">
        <v>41292</v>
      </c>
      <c r="D376" s="402" t="s">
        <v>270</v>
      </c>
      <c r="E376" s="401"/>
      <c r="F376" s="402" t="s">
        <v>7</v>
      </c>
      <c r="G376" s="670" t="s">
        <v>18</v>
      </c>
      <c r="H376" s="670" t="s">
        <v>107</v>
      </c>
      <c r="I376" s="670"/>
      <c r="J376" s="670"/>
      <c r="K376" s="670"/>
      <c r="L376" s="42"/>
      <c r="M376" s="42">
        <v>63</v>
      </c>
      <c r="N376" s="42">
        <v>126</v>
      </c>
      <c r="O376" s="42">
        <v>63</v>
      </c>
      <c r="P376" s="42">
        <v>0</v>
      </c>
      <c r="Q376" s="42"/>
      <c r="R376" s="42"/>
      <c r="S376" s="42"/>
      <c r="T376" s="419"/>
      <c r="U376" s="42"/>
      <c r="V376" s="42"/>
      <c r="W376" s="42"/>
      <c r="X376" s="42"/>
      <c r="Y376" s="42"/>
      <c r="Z376" s="42"/>
      <c r="AA376" s="42"/>
      <c r="AB376" s="42"/>
      <c r="AC376" s="105">
        <f>IF(NFI_Expiration=1,IF($A376&lt;VLOOKUP(I$5,NFI,5,0),1,0)*Data_NFI_t[[#This Row],[Hygiene Kit]],0)</f>
        <v>0</v>
      </c>
      <c r="AD376" s="105">
        <f>IF(NFI_Expiration=1,IF($A376&lt;VLOOKUP(L$5,NFI,5,0),1,0)*Data_NFI_t[[#This Row],[NFI Core Kit]],0)</f>
        <v>0</v>
      </c>
      <c r="AE376" s="86">
        <f>IF(NFI_Expiration=1,IF($A376&lt;VLOOKUP(M$5,NFI,5,0),1,0)*Data_NFI_t[[#This Row],[Sanitary Kit]],0)</f>
        <v>0</v>
      </c>
      <c r="AF376" s="86">
        <f>IF(NFI_Expiration=1,IF($A376&lt;VLOOKUP(N$5,NFI,5,0),1,0)*Data_NFI_t[[#This Row],[Mosquito net]],0)</f>
        <v>0</v>
      </c>
      <c r="AG376" s="86">
        <f>IF(NFI_Expiration=1,IF($A376&lt;VLOOKUP(O$5,NFI,5,0),1,0)*Data_NFI_t[[#This Row],[Tarpaulin]],0)</f>
        <v>0</v>
      </c>
      <c r="AH376" s="86">
        <f>IF(NFI_Expiration=1,IF($A376&lt;VLOOKUP(P$5,NFI,5,0),1,0)*Data_NFI_t[[#This Row],[Blanket]],0)</f>
        <v>0</v>
      </c>
      <c r="AI376" s="86">
        <f>IF(NFI_Expiration=1,IF($A376&lt;VLOOKUP(Q$5,NFI,5,0),1,0)*Data_NFI_t[[#This Row],[Kitchen Set]],0)</f>
        <v>0</v>
      </c>
      <c r="AJ376" s="86">
        <f>IF(NFI_Expiration=1,IF($A376&lt;VLOOKUP(R$5,NFI,5,0),1,0)*Data_NFI_t[[#This Row],[Complementary Kit]],0)</f>
        <v>0</v>
      </c>
      <c r="AK376" s="86">
        <f>IF(NFI_Expiration=1,IF($A376&lt;VLOOKUP(S$5,NFI,5,0),1,0)*Data_NFI_t[[#This Row],[Plastic Bucket]],0)</f>
        <v>0</v>
      </c>
      <c r="AL376" s="86">
        <f>IF(NFI_Expiration=1,IF($A376&lt;VLOOKUP(T$5,NFI,5,0),1,0)*Data_NFI_t[[#This Row],[Jerry Can]],0)</f>
        <v>0</v>
      </c>
      <c r="AM376" s="105">
        <f>IF(NFI_Expiration=1,IF($A376&lt;VLOOKUP(U$5,NFI,5,0),1,0)*Data_NFI_t[[#This Row],[Plastic Mat]],0)*IF(Data_NFI_t[[#This Row],[Distribution Date]]&gt;"01-06-2015",1,2.5)</f>
        <v>0</v>
      </c>
      <c r="AN376" s="734">
        <f>IF(NFI_Expiration=1,IF($A376&lt;VLOOKUP(V$5,NFI,5,0),1,0)*Data_NFI_t[[#This Row],[Adult Clothes]],0)</f>
        <v>0</v>
      </c>
      <c r="AO376" s="105">
        <f>IF(NFI_Expiration=1,IF($A376&lt;VLOOKUP(W$5,NFI,5,0),1,0)*Data_NFI_t[[#This Row],[Children Clothes]],0)</f>
        <v>0</v>
      </c>
      <c r="AP376" s="105">
        <f>IF(NFI_Expiration=1,IF($A376&lt;VLOOKUP(X$5,NFI,5,0),1,0)*Data_NFI_t[[#This Row],[Sewing Kit]],0)</f>
        <v>0</v>
      </c>
      <c r="AQ376" s="734">
        <f>IF(NFI_Expiration=1,IF($A376&lt;VLOOKUP(X$5,NFI,5,0),1,0)*Data_NFI_t[[#This Row],[Solar Lantern]],0)</f>
        <v>0</v>
      </c>
      <c r="AR376" s="105" t="str">
        <f ca="1">IFERROR(OFFSET(Camp_List[P_Code],MATCH(Data_NFI_t[[#This Row],[Camp Name]],Camp_List[Camp Name],0)-1,0,1,1),"")</f>
        <v/>
      </c>
      <c r="AS376" s="421" t="str">
        <f ca="1">IFERROR(OFFSET(Camp_List[Status],MATCH(Data_NFI_t[[#This Row],[Camp Name]],Camp_List[Camp Name],0)-1,0,1,1),"")</f>
        <v/>
      </c>
      <c r="AT376" s="105"/>
    </row>
    <row r="377" spans="1:46" s="78" customFormat="1" ht="19.5" customHeight="1" x14ac:dyDescent="0.25">
      <c r="A377" s="208">
        <f t="shared" si="5"/>
        <v>63.266666666666666</v>
      </c>
      <c r="B377" s="208">
        <f>YEAR(Data_NFI_t[[#This Row],[Distribution Date]])</f>
        <v>2013</v>
      </c>
      <c r="C377" s="744">
        <v>41292</v>
      </c>
      <c r="D377" s="402" t="s">
        <v>274</v>
      </c>
      <c r="E377" s="401" t="s">
        <v>270</v>
      </c>
      <c r="F377" s="402" t="s">
        <v>7</v>
      </c>
      <c r="G377" s="670" t="s">
        <v>17</v>
      </c>
      <c r="H377" s="670" t="s">
        <v>231</v>
      </c>
      <c r="I377" s="670"/>
      <c r="J377" s="670"/>
      <c r="K377" s="670"/>
      <c r="L377" s="42"/>
      <c r="M377" s="42"/>
      <c r="N377" s="42"/>
      <c r="O377" s="42"/>
      <c r="P377" s="42">
        <v>50</v>
      </c>
      <c r="Q377" s="42"/>
      <c r="R377" s="42"/>
      <c r="S377" s="42"/>
      <c r="T377" s="419"/>
      <c r="U377" s="42"/>
      <c r="V377" s="42"/>
      <c r="W377" s="42"/>
      <c r="X377" s="42"/>
      <c r="Y377" s="42"/>
      <c r="Z377" s="42"/>
      <c r="AA377" s="42"/>
      <c r="AB377" s="42"/>
      <c r="AC377" s="105">
        <f>IF(NFI_Expiration=1,IF($A377&lt;VLOOKUP(I$5,NFI,5,0),1,0)*Data_NFI_t[[#This Row],[Hygiene Kit]],0)</f>
        <v>0</v>
      </c>
      <c r="AD377" s="105">
        <f>IF(NFI_Expiration=1,IF($A377&lt;VLOOKUP(L$5,NFI,5,0),1,0)*Data_NFI_t[[#This Row],[NFI Core Kit]],0)</f>
        <v>0</v>
      </c>
      <c r="AE377" s="86">
        <f>IF(NFI_Expiration=1,IF($A377&lt;VLOOKUP(M$5,NFI,5,0),1,0)*Data_NFI_t[[#This Row],[Sanitary Kit]],0)</f>
        <v>0</v>
      </c>
      <c r="AF377" s="86">
        <f>IF(NFI_Expiration=1,IF($A377&lt;VLOOKUP(N$5,NFI,5,0),1,0)*Data_NFI_t[[#This Row],[Mosquito net]],0)</f>
        <v>0</v>
      </c>
      <c r="AG377" s="86">
        <f>IF(NFI_Expiration=1,IF($A377&lt;VLOOKUP(O$5,NFI,5,0),1,0)*Data_NFI_t[[#This Row],[Tarpaulin]],0)</f>
        <v>0</v>
      </c>
      <c r="AH377" s="86">
        <f>IF(NFI_Expiration=1,IF($A377&lt;VLOOKUP(P$5,NFI,5,0),1,0)*Data_NFI_t[[#This Row],[Blanket]],0)</f>
        <v>0</v>
      </c>
      <c r="AI377" s="86">
        <f>IF(NFI_Expiration=1,IF($A377&lt;VLOOKUP(Q$5,NFI,5,0),1,0)*Data_NFI_t[[#This Row],[Kitchen Set]],0)</f>
        <v>0</v>
      </c>
      <c r="AJ377" s="86">
        <f>IF(NFI_Expiration=1,IF($A377&lt;VLOOKUP(R$5,NFI,5,0),1,0)*Data_NFI_t[[#This Row],[Complementary Kit]],0)</f>
        <v>0</v>
      </c>
      <c r="AK377" s="86">
        <f>IF(NFI_Expiration=1,IF($A377&lt;VLOOKUP(S$5,NFI,5,0),1,0)*Data_NFI_t[[#This Row],[Plastic Bucket]],0)</f>
        <v>0</v>
      </c>
      <c r="AL377" s="86">
        <f>IF(NFI_Expiration=1,IF($A377&lt;VLOOKUP(T$5,NFI,5,0),1,0)*Data_NFI_t[[#This Row],[Jerry Can]],0)</f>
        <v>0</v>
      </c>
      <c r="AM377" s="105">
        <f>IF(NFI_Expiration=1,IF($A377&lt;VLOOKUP(U$5,NFI,5,0),1,0)*Data_NFI_t[[#This Row],[Plastic Mat]],0)*IF(Data_NFI_t[[#This Row],[Distribution Date]]&gt;"01-06-2015",1,2.5)</f>
        <v>0</v>
      </c>
      <c r="AN377" s="734">
        <f>IF(NFI_Expiration=1,IF($A377&lt;VLOOKUP(V$5,NFI,5,0),1,0)*Data_NFI_t[[#This Row],[Adult Clothes]],0)</f>
        <v>0</v>
      </c>
      <c r="AO377" s="105">
        <f>IF(NFI_Expiration=1,IF($A377&lt;VLOOKUP(W$5,NFI,5,0),1,0)*Data_NFI_t[[#This Row],[Children Clothes]],0)</f>
        <v>0</v>
      </c>
      <c r="AP377" s="105">
        <f>IF(NFI_Expiration=1,IF($A377&lt;VLOOKUP(X$5,NFI,5,0),1,0)*Data_NFI_t[[#This Row],[Sewing Kit]],0)</f>
        <v>0</v>
      </c>
      <c r="AQ377" s="734">
        <f>IF(NFI_Expiration=1,IF($A377&lt;VLOOKUP(X$5,NFI,5,0),1,0)*Data_NFI_t[[#This Row],[Solar Lantern]],0)</f>
        <v>0</v>
      </c>
      <c r="AR377" s="105" t="str">
        <f ca="1">IFERROR(OFFSET(Camp_List[P_Code],MATCH(Data_NFI_t[[#This Row],[Camp Name]],Camp_List[Camp Name],0)-1,0,1,1),"")</f>
        <v>MMR012CMP090</v>
      </c>
      <c r="AS377" s="421" t="str">
        <f ca="1">IFERROR(OFFSET(Camp_List[Status],MATCH(Data_NFI_t[[#This Row],[Camp Name]],Camp_List[Camp Name],0)-1,0,1,1),"")</f>
        <v>Close</v>
      </c>
      <c r="AT377" s="105"/>
    </row>
    <row r="378" spans="1:46" s="78" customFormat="1" ht="19.5" customHeight="1" x14ac:dyDescent="0.25">
      <c r="A378" s="208">
        <f t="shared" si="5"/>
        <v>63.3</v>
      </c>
      <c r="B378" s="208">
        <f>YEAR(Data_NFI_t[[#This Row],[Distribution Date]])</f>
        <v>2013</v>
      </c>
      <c r="C378" s="744">
        <v>41291</v>
      </c>
      <c r="D378" s="402" t="s">
        <v>274</v>
      </c>
      <c r="E378" s="401" t="s">
        <v>270</v>
      </c>
      <c r="F378" s="402" t="s">
        <v>7</v>
      </c>
      <c r="G378" s="670" t="s">
        <v>17</v>
      </c>
      <c r="H378" s="670" t="s">
        <v>231</v>
      </c>
      <c r="I378" s="670"/>
      <c r="J378" s="670"/>
      <c r="K378" s="670"/>
      <c r="L378" s="42"/>
      <c r="M378" s="42"/>
      <c r="N378" s="42"/>
      <c r="O378" s="42"/>
      <c r="P378" s="42">
        <v>50</v>
      </c>
      <c r="Q378" s="42"/>
      <c r="R378" s="42"/>
      <c r="S378" s="42"/>
      <c r="T378" s="419"/>
      <c r="U378" s="42"/>
      <c r="V378" s="42"/>
      <c r="W378" s="42"/>
      <c r="X378" s="42"/>
      <c r="Y378" s="42"/>
      <c r="Z378" s="42"/>
      <c r="AA378" s="42"/>
      <c r="AB378" s="42"/>
      <c r="AC378" s="105">
        <f>IF(NFI_Expiration=1,IF($A378&lt;VLOOKUP(I$5,NFI,5,0),1,0)*Data_NFI_t[[#This Row],[Hygiene Kit]],0)</f>
        <v>0</v>
      </c>
      <c r="AD378" s="105">
        <f>IF(NFI_Expiration=1,IF($A378&lt;VLOOKUP(L$5,NFI,5,0),1,0)*Data_NFI_t[[#This Row],[NFI Core Kit]],0)</f>
        <v>0</v>
      </c>
      <c r="AE378" s="86">
        <f>IF(NFI_Expiration=1,IF($A378&lt;VLOOKUP(M$5,NFI,5,0),1,0)*Data_NFI_t[[#This Row],[Sanitary Kit]],0)</f>
        <v>0</v>
      </c>
      <c r="AF378" s="86">
        <f>IF(NFI_Expiration=1,IF($A378&lt;VLOOKUP(N$5,NFI,5,0),1,0)*Data_NFI_t[[#This Row],[Mosquito net]],0)</f>
        <v>0</v>
      </c>
      <c r="AG378" s="86">
        <f>IF(NFI_Expiration=1,IF($A378&lt;VLOOKUP(O$5,NFI,5,0),1,0)*Data_NFI_t[[#This Row],[Tarpaulin]],0)</f>
        <v>0</v>
      </c>
      <c r="AH378" s="86">
        <f>IF(NFI_Expiration=1,IF($A378&lt;VLOOKUP(P$5,NFI,5,0),1,0)*Data_NFI_t[[#This Row],[Blanket]],0)</f>
        <v>0</v>
      </c>
      <c r="AI378" s="86">
        <f>IF(NFI_Expiration=1,IF($A378&lt;VLOOKUP(Q$5,NFI,5,0),1,0)*Data_NFI_t[[#This Row],[Kitchen Set]],0)</f>
        <v>0</v>
      </c>
      <c r="AJ378" s="86">
        <f>IF(NFI_Expiration=1,IF($A378&lt;VLOOKUP(R$5,NFI,5,0),1,0)*Data_NFI_t[[#This Row],[Complementary Kit]],0)</f>
        <v>0</v>
      </c>
      <c r="AK378" s="86">
        <f>IF(NFI_Expiration=1,IF($A378&lt;VLOOKUP(S$5,NFI,5,0),1,0)*Data_NFI_t[[#This Row],[Plastic Bucket]],0)</f>
        <v>0</v>
      </c>
      <c r="AL378" s="86">
        <f>IF(NFI_Expiration=1,IF($A378&lt;VLOOKUP(T$5,NFI,5,0),1,0)*Data_NFI_t[[#This Row],[Jerry Can]],0)</f>
        <v>0</v>
      </c>
      <c r="AM378" s="105">
        <f>IF(NFI_Expiration=1,IF($A378&lt;VLOOKUP(U$5,NFI,5,0),1,0)*Data_NFI_t[[#This Row],[Plastic Mat]],0)*IF(Data_NFI_t[[#This Row],[Distribution Date]]&gt;"01-06-2015",1,2.5)</f>
        <v>0</v>
      </c>
      <c r="AN378" s="734">
        <f>IF(NFI_Expiration=1,IF($A378&lt;VLOOKUP(V$5,NFI,5,0),1,0)*Data_NFI_t[[#This Row],[Adult Clothes]],0)</f>
        <v>0</v>
      </c>
      <c r="AO378" s="105">
        <f>IF(NFI_Expiration=1,IF($A378&lt;VLOOKUP(W$5,NFI,5,0),1,0)*Data_NFI_t[[#This Row],[Children Clothes]],0)</f>
        <v>0</v>
      </c>
      <c r="AP378" s="105">
        <f>IF(NFI_Expiration=1,IF($A378&lt;VLOOKUP(X$5,NFI,5,0),1,0)*Data_NFI_t[[#This Row],[Sewing Kit]],0)</f>
        <v>0</v>
      </c>
      <c r="AQ378" s="734">
        <f>IF(NFI_Expiration=1,IF($A378&lt;VLOOKUP(X$5,NFI,5,0),1,0)*Data_NFI_t[[#This Row],[Solar Lantern]],0)</f>
        <v>0</v>
      </c>
      <c r="AR378" s="105" t="str">
        <f ca="1">IFERROR(OFFSET(Camp_List[P_Code],MATCH(Data_NFI_t[[#This Row],[Camp Name]],Camp_List[Camp Name],0)-1,0,1,1),"")</f>
        <v>MMR012CMP090</v>
      </c>
      <c r="AS378" s="421" t="str">
        <f ca="1">IFERROR(OFFSET(Camp_List[Status],MATCH(Data_NFI_t[[#This Row],[Camp Name]],Camp_List[Camp Name],0)-1,0,1,1),"")</f>
        <v>Close</v>
      </c>
      <c r="AT378" s="105"/>
    </row>
    <row r="379" spans="1:46" s="78" customFormat="1" ht="19.5" customHeight="1" x14ac:dyDescent="0.25">
      <c r="A379" s="208">
        <f t="shared" si="5"/>
        <v>63.533333333333331</v>
      </c>
      <c r="B379" s="208">
        <f>YEAR(Data_NFI_t[[#This Row],[Distribution Date]])</f>
        <v>2013</v>
      </c>
      <c r="C379" s="744">
        <v>41284</v>
      </c>
      <c r="D379" s="402" t="s">
        <v>270</v>
      </c>
      <c r="E379" s="401"/>
      <c r="F379" s="402" t="s">
        <v>7</v>
      </c>
      <c r="G379" s="670" t="s">
        <v>18</v>
      </c>
      <c r="H379" s="670" t="s">
        <v>106</v>
      </c>
      <c r="I379" s="670"/>
      <c r="J379" s="670"/>
      <c r="K379" s="670"/>
      <c r="L379" s="42">
        <v>56</v>
      </c>
      <c r="M379" s="42"/>
      <c r="N379" s="42">
        <v>112</v>
      </c>
      <c r="O379" s="42">
        <v>56</v>
      </c>
      <c r="P379" s="42">
        <v>112</v>
      </c>
      <c r="Q379" s="42">
        <v>56</v>
      </c>
      <c r="R379" s="42">
        <v>56</v>
      </c>
      <c r="S379" s="42">
        <v>56</v>
      </c>
      <c r="T379" s="419"/>
      <c r="U379" s="42">
        <v>112</v>
      </c>
      <c r="V379" s="42"/>
      <c r="W379" s="42"/>
      <c r="X379" s="42"/>
      <c r="Y379" s="42"/>
      <c r="Z379" s="42"/>
      <c r="AA379" s="42"/>
      <c r="AB379" s="42"/>
      <c r="AC379" s="105">
        <f>IF(NFI_Expiration=1,IF($A379&lt;VLOOKUP(I$5,NFI,5,0),1,0)*Data_NFI_t[[#This Row],[Hygiene Kit]],0)</f>
        <v>0</v>
      </c>
      <c r="AD379" s="105">
        <f>IF(NFI_Expiration=1,IF($A379&lt;VLOOKUP(L$5,NFI,5,0),1,0)*Data_NFI_t[[#This Row],[NFI Core Kit]],0)</f>
        <v>0</v>
      </c>
      <c r="AE379" s="86">
        <f>IF(NFI_Expiration=1,IF($A379&lt;VLOOKUP(M$5,NFI,5,0),1,0)*Data_NFI_t[[#This Row],[Sanitary Kit]],0)</f>
        <v>0</v>
      </c>
      <c r="AF379" s="86">
        <f>IF(NFI_Expiration=1,IF($A379&lt;VLOOKUP(N$5,NFI,5,0),1,0)*Data_NFI_t[[#This Row],[Mosquito net]],0)</f>
        <v>0</v>
      </c>
      <c r="AG379" s="86">
        <f>IF(NFI_Expiration=1,IF($A379&lt;VLOOKUP(O$5,NFI,5,0),1,0)*Data_NFI_t[[#This Row],[Tarpaulin]],0)</f>
        <v>0</v>
      </c>
      <c r="AH379" s="86">
        <f>IF(NFI_Expiration=1,IF($A379&lt;VLOOKUP(P$5,NFI,5,0),1,0)*Data_NFI_t[[#This Row],[Blanket]],0)</f>
        <v>0</v>
      </c>
      <c r="AI379" s="86">
        <f>IF(NFI_Expiration=1,IF($A379&lt;VLOOKUP(Q$5,NFI,5,0),1,0)*Data_NFI_t[[#This Row],[Kitchen Set]],0)</f>
        <v>0</v>
      </c>
      <c r="AJ379" s="86">
        <f>IF(NFI_Expiration=1,IF($A379&lt;VLOOKUP(R$5,NFI,5,0),1,0)*Data_NFI_t[[#This Row],[Complementary Kit]],0)</f>
        <v>0</v>
      </c>
      <c r="AK379" s="86">
        <f>IF(NFI_Expiration=1,IF($A379&lt;VLOOKUP(S$5,NFI,5,0),1,0)*Data_NFI_t[[#This Row],[Plastic Bucket]],0)</f>
        <v>0</v>
      </c>
      <c r="AL379" s="86">
        <f>IF(NFI_Expiration=1,IF($A379&lt;VLOOKUP(T$5,NFI,5,0),1,0)*Data_NFI_t[[#This Row],[Jerry Can]],0)</f>
        <v>0</v>
      </c>
      <c r="AM379" s="105">
        <f>IF(NFI_Expiration=1,IF($A379&lt;VLOOKUP(U$5,NFI,5,0),1,0)*Data_NFI_t[[#This Row],[Plastic Mat]],0)*IF(Data_NFI_t[[#This Row],[Distribution Date]]&gt;"01-06-2015",1,2.5)</f>
        <v>0</v>
      </c>
      <c r="AN379" s="734">
        <f>IF(NFI_Expiration=1,IF($A379&lt;VLOOKUP(V$5,NFI,5,0),1,0)*Data_NFI_t[[#This Row],[Adult Clothes]],0)</f>
        <v>0</v>
      </c>
      <c r="AO379" s="105">
        <f>IF(NFI_Expiration=1,IF($A379&lt;VLOOKUP(W$5,NFI,5,0),1,0)*Data_NFI_t[[#This Row],[Children Clothes]],0)</f>
        <v>0</v>
      </c>
      <c r="AP379" s="105">
        <f>IF(NFI_Expiration=1,IF($A379&lt;VLOOKUP(X$5,NFI,5,0),1,0)*Data_NFI_t[[#This Row],[Sewing Kit]],0)</f>
        <v>0</v>
      </c>
      <c r="AQ379" s="734">
        <f>IF(NFI_Expiration=1,IF($A379&lt;VLOOKUP(X$5,NFI,5,0),1,0)*Data_NFI_t[[#This Row],[Solar Lantern]],0)</f>
        <v>0</v>
      </c>
      <c r="AR379" s="105" t="str">
        <f ca="1">IFERROR(OFFSET(Camp_List[P_Code],MATCH(Data_NFI_t[[#This Row],[Camp Name]],Camp_List[Camp Name],0)-1,0,1,1),"")</f>
        <v>MMR012CMP087</v>
      </c>
      <c r="AS379" s="421" t="str">
        <f ca="1">IFERROR(OFFSET(Camp_List[Status],MATCH(Data_NFI_t[[#This Row],[Camp Name]],Camp_List[Camp Name],0)-1,0,1,1),"")</f>
        <v>Close</v>
      </c>
      <c r="AT379" s="105"/>
    </row>
    <row r="380" spans="1:46" s="78" customFormat="1" ht="19.5" customHeight="1" x14ac:dyDescent="0.25">
      <c r="A380" s="208">
        <f t="shared" si="5"/>
        <v>63.533333333333331</v>
      </c>
      <c r="B380" s="208">
        <f>YEAR(Data_NFI_t[[#This Row],[Distribution Date]])</f>
        <v>2013</v>
      </c>
      <c r="C380" s="744">
        <v>41284</v>
      </c>
      <c r="D380" s="402" t="s">
        <v>270</v>
      </c>
      <c r="E380" s="401"/>
      <c r="F380" s="402" t="s">
        <v>7</v>
      </c>
      <c r="G380" s="670" t="s">
        <v>18</v>
      </c>
      <c r="H380" s="670" t="s">
        <v>106</v>
      </c>
      <c r="I380" s="670"/>
      <c r="J380" s="670"/>
      <c r="K380" s="670"/>
      <c r="L380" s="42"/>
      <c r="M380" s="42">
        <v>112</v>
      </c>
      <c r="N380" s="42">
        <v>112</v>
      </c>
      <c r="O380" s="42">
        <v>56</v>
      </c>
      <c r="P380" s="42">
        <v>0</v>
      </c>
      <c r="Q380" s="42"/>
      <c r="R380" s="42"/>
      <c r="S380" s="42"/>
      <c r="T380" s="419"/>
      <c r="U380" s="42"/>
      <c r="V380" s="42"/>
      <c r="W380" s="42"/>
      <c r="X380" s="42"/>
      <c r="Y380" s="42"/>
      <c r="Z380" s="42"/>
      <c r="AA380" s="42"/>
      <c r="AB380" s="42"/>
      <c r="AC380" s="105">
        <f>IF(NFI_Expiration=1,IF($A380&lt;VLOOKUP(I$5,NFI,5,0),1,0)*Data_NFI_t[[#This Row],[Hygiene Kit]],0)</f>
        <v>0</v>
      </c>
      <c r="AD380" s="105">
        <f>IF(NFI_Expiration=1,IF($A380&lt;VLOOKUP(L$5,NFI,5,0),1,0)*Data_NFI_t[[#This Row],[NFI Core Kit]],0)</f>
        <v>0</v>
      </c>
      <c r="AE380" s="86">
        <f>IF(NFI_Expiration=1,IF($A380&lt;VLOOKUP(M$5,NFI,5,0),1,0)*Data_NFI_t[[#This Row],[Sanitary Kit]],0)</f>
        <v>0</v>
      </c>
      <c r="AF380" s="86">
        <f>IF(NFI_Expiration=1,IF($A380&lt;VLOOKUP(N$5,NFI,5,0),1,0)*Data_NFI_t[[#This Row],[Mosquito net]],0)</f>
        <v>0</v>
      </c>
      <c r="AG380" s="86">
        <f>IF(NFI_Expiration=1,IF($A380&lt;VLOOKUP(O$5,NFI,5,0),1,0)*Data_NFI_t[[#This Row],[Tarpaulin]],0)</f>
        <v>0</v>
      </c>
      <c r="AH380" s="86">
        <f>IF(NFI_Expiration=1,IF($A380&lt;VLOOKUP(P$5,NFI,5,0),1,0)*Data_NFI_t[[#This Row],[Blanket]],0)</f>
        <v>0</v>
      </c>
      <c r="AI380" s="86">
        <f>IF(NFI_Expiration=1,IF($A380&lt;VLOOKUP(Q$5,NFI,5,0),1,0)*Data_NFI_t[[#This Row],[Kitchen Set]],0)</f>
        <v>0</v>
      </c>
      <c r="AJ380" s="86">
        <f>IF(NFI_Expiration=1,IF($A380&lt;VLOOKUP(R$5,NFI,5,0),1,0)*Data_NFI_t[[#This Row],[Complementary Kit]],0)</f>
        <v>0</v>
      </c>
      <c r="AK380" s="86">
        <f>IF(NFI_Expiration=1,IF($A380&lt;VLOOKUP(S$5,NFI,5,0),1,0)*Data_NFI_t[[#This Row],[Plastic Bucket]],0)</f>
        <v>0</v>
      </c>
      <c r="AL380" s="86">
        <f>IF(NFI_Expiration=1,IF($A380&lt;VLOOKUP(T$5,NFI,5,0),1,0)*Data_NFI_t[[#This Row],[Jerry Can]],0)</f>
        <v>0</v>
      </c>
      <c r="AM380" s="105">
        <f>IF(NFI_Expiration=1,IF($A380&lt;VLOOKUP(U$5,NFI,5,0),1,0)*Data_NFI_t[[#This Row],[Plastic Mat]],0)*IF(Data_NFI_t[[#This Row],[Distribution Date]]&gt;"01-06-2015",1,2.5)</f>
        <v>0</v>
      </c>
      <c r="AN380" s="734">
        <f>IF(NFI_Expiration=1,IF($A380&lt;VLOOKUP(V$5,NFI,5,0),1,0)*Data_NFI_t[[#This Row],[Adult Clothes]],0)</f>
        <v>0</v>
      </c>
      <c r="AO380" s="105">
        <f>IF(NFI_Expiration=1,IF($A380&lt;VLOOKUP(W$5,NFI,5,0),1,0)*Data_NFI_t[[#This Row],[Children Clothes]],0)</f>
        <v>0</v>
      </c>
      <c r="AP380" s="105">
        <f>IF(NFI_Expiration=1,IF($A380&lt;VLOOKUP(X$5,NFI,5,0),1,0)*Data_NFI_t[[#This Row],[Sewing Kit]],0)</f>
        <v>0</v>
      </c>
      <c r="AQ380" s="734">
        <f>IF(NFI_Expiration=1,IF($A380&lt;VLOOKUP(X$5,NFI,5,0),1,0)*Data_NFI_t[[#This Row],[Solar Lantern]],0)</f>
        <v>0</v>
      </c>
      <c r="AR380" s="105" t="str">
        <f ca="1">IFERROR(OFFSET(Camp_List[P_Code],MATCH(Data_NFI_t[[#This Row],[Camp Name]],Camp_List[Camp Name],0)-1,0,1,1),"")</f>
        <v>MMR012CMP087</v>
      </c>
      <c r="AS380" s="421" t="str">
        <f ca="1">IFERROR(OFFSET(Camp_List[Status],MATCH(Data_NFI_t[[#This Row],[Camp Name]],Camp_List[Camp Name],0)-1,0,1,1),"")</f>
        <v>Close</v>
      </c>
      <c r="AT380" s="105"/>
    </row>
    <row r="381" spans="1:46" s="78" customFormat="1" ht="19.5" customHeight="1" x14ac:dyDescent="0.25">
      <c r="A381" s="208">
        <f t="shared" si="5"/>
        <v>63.533333333333331</v>
      </c>
      <c r="B381" s="208">
        <f>YEAR(Data_NFI_t[[#This Row],[Distribution Date]])</f>
        <v>2013</v>
      </c>
      <c r="C381" s="744">
        <v>41284</v>
      </c>
      <c r="D381" s="402" t="s">
        <v>274</v>
      </c>
      <c r="E381" s="401" t="s">
        <v>270</v>
      </c>
      <c r="F381" s="402" t="s">
        <v>7</v>
      </c>
      <c r="G381" s="670" t="s">
        <v>17</v>
      </c>
      <c r="H381" s="670" t="s">
        <v>231</v>
      </c>
      <c r="I381" s="670"/>
      <c r="J381" s="670"/>
      <c r="K381" s="670"/>
      <c r="L381" s="42"/>
      <c r="M381" s="42"/>
      <c r="N381" s="42"/>
      <c r="O381" s="42"/>
      <c r="P381" s="42">
        <v>45</v>
      </c>
      <c r="Q381" s="42"/>
      <c r="R381" s="42"/>
      <c r="S381" s="42"/>
      <c r="T381" s="419"/>
      <c r="U381" s="42"/>
      <c r="V381" s="42"/>
      <c r="W381" s="42"/>
      <c r="X381" s="42"/>
      <c r="Y381" s="42"/>
      <c r="Z381" s="42"/>
      <c r="AA381" s="42"/>
      <c r="AB381" s="42"/>
      <c r="AC381" s="105">
        <f>IF(NFI_Expiration=1,IF($A381&lt;VLOOKUP(I$5,NFI,5,0),1,0)*Data_NFI_t[[#This Row],[Hygiene Kit]],0)</f>
        <v>0</v>
      </c>
      <c r="AD381" s="105">
        <f>IF(NFI_Expiration=1,IF($A381&lt;VLOOKUP(L$5,NFI,5,0),1,0)*Data_NFI_t[[#This Row],[NFI Core Kit]],0)</f>
        <v>0</v>
      </c>
      <c r="AE381" s="86">
        <f>IF(NFI_Expiration=1,IF($A381&lt;VLOOKUP(M$5,NFI,5,0),1,0)*Data_NFI_t[[#This Row],[Sanitary Kit]],0)</f>
        <v>0</v>
      </c>
      <c r="AF381" s="86">
        <f>IF(NFI_Expiration=1,IF($A381&lt;VLOOKUP(N$5,NFI,5,0),1,0)*Data_NFI_t[[#This Row],[Mosquito net]],0)</f>
        <v>0</v>
      </c>
      <c r="AG381" s="86">
        <f>IF(NFI_Expiration=1,IF($A381&lt;VLOOKUP(O$5,NFI,5,0),1,0)*Data_NFI_t[[#This Row],[Tarpaulin]],0)</f>
        <v>0</v>
      </c>
      <c r="AH381" s="86">
        <f>IF(NFI_Expiration=1,IF($A381&lt;VLOOKUP(P$5,NFI,5,0),1,0)*Data_NFI_t[[#This Row],[Blanket]],0)</f>
        <v>0</v>
      </c>
      <c r="AI381" s="86">
        <f>IF(NFI_Expiration=1,IF($A381&lt;VLOOKUP(Q$5,NFI,5,0),1,0)*Data_NFI_t[[#This Row],[Kitchen Set]],0)</f>
        <v>0</v>
      </c>
      <c r="AJ381" s="86">
        <f>IF(NFI_Expiration=1,IF($A381&lt;VLOOKUP(R$5,NFI,5,0),1,0)*Data_NFI_t[[#This Row],[Complementary Kit]],0)</f>
        <v>0</v>
      </c>
      <c r="AK381" s="86">
        <f>IF(NFI_Expiration=1,IF($A381&lt;VLOOKUP(S$5,NFI,5,0),1,0)*Data_NFI_t[[#This Row],[Plastic Bucket]],0)</f>
        <v>0</v>
      </c>
      <c r="AL381" s="86">
        <f>IF(NFI_Expiration=1,IF($A381&lt;VLOOKUP(T$5,NFI,5,0),1,0)*Data_NFI_t[[#This Row],[Jerry Can]],0)</f>
        <v>0</v>
      </c>
      <c r="AM381" s="105">
        <f>IF(NFI_Expiration=1,IF($A381&lt;VLOOKUP(U$5,NFI,5,0),1,0)*Data_NFI_t[[#This Row],[Plastic Mat]],0)*IF(Data_NFI_t[[#This Row],[Distribution Date]]&gt;"01-06-2015",1,2.5)</f>
        <v>0</v>
      </c>
      <c r="AN381" s="734">
        <f>IF(NFI_Expiration=1,IF($A381&lt;VLOOKUP(V$5,NFI,5,0),1,0)*Data_NFI_t[[#This Row],[Adult Clothes]],0)</f>
        <v>0</v>
      </c>
      <c r="AO381" s="105">
        <f>IF(NFI_Expiration=1,IF($A381&lt;VLOOKUP(W$5,NFI,5,0),1,0)*Data_NFI_t[[#This Row],[Children Clothes]],0)</f>
        <v>0</v>
      </c>
      <c r="AP381" s="105">
        <f>IF(NFI_Expiration=1,IF($A381&lt;VLOOKUP(X$5,NFI,5,0),1,0)*Data_NFI_t[[#This Row],[Sewing Kit]],0)</f>
        <v>0</v>
      </c>
      <c r="AQ381" s="734">
        <f>IF(NFI_Expiration=1,IF($A381&lt;VLOOKUP(X$5,NFI,5,0),1,0)*Data_NFI_t[[#This Row],[Solar Lantern]],0)</f>
        <v>0</v>
      </c>
      <c r="AR381" s="105" t="str">
        <f ca="1">IFERROR(OFFSET(Camp_List[P_Code],MATCH(Data_NFI_t[[#This Row],[Camp Name]],Camp_List[Camp Name],0)-1,0,1,1),"")</f>
        <v>MMR012CMP090</v>
      </c>
      <c r="AS381" s="421" t="str">
        <f ca="1">IFERROR(OFFSET(Camp_List[Status],MATCH(Data_NFI_t[[#This Row],[Camp Name]],Camp_List[Camp Name],0)-1,0,1,1),"")</f>
        <v>Close</v>
      </c>
      <c r="AT381" s="105"/>
    </row>
    <row r="382" spans="1:46" s="78" customFormat="1" ht="19.5" customHeight="1" x14ac:dyDescent="0.25">
      <c r="A382" s="208">
        <f t="shared" si="5"/>
        <v>63.56666666666667</v>
      </c>
      <c r="B382" s="208">
        <f>YEAR(Data_NFI_t[[#This Row],[Distribution Date]])</f>
        <v>2013</v>
      </c>
      <c r="C382" s="744">
        <v>41283</v>
      </c>
      <c r="D382" s="402" t="s">
        <v>274</v>
      </c>
      <c r="E382" s="401" t="s">
        <v>270</v>
      </c>
      <c r="F382" s="402" t="s">
        <v>7</v>
      </c>
      <c r="G382" s="670" t="s">
        <v>17</v>
      </c>
      <c r="H382" s="670" t="s">
        <v>231</v>
      </c>
      <c r="I382" s="670"/>
      <c r="J382" s="670"/>
      <c r="K382" s="670"/>
      <c r="L382" s="42"/>
      <c r="M382" s="42"/>
      <c r="N382" s="42"/>
      <c r="O382" s="42"/>
      <c r="P382" s="42">
        <v>50</v>
      </c>
      <c r="Q382" s="42"/>
      <c r="R382" s="42"/>
      <c r="S382" s="42"/>
      <c r="T382" s="419"/>
      <c r="U382" s="42"/>
      <c r="V382" s="42"/>
      <c r="W382" s="42"/>
      <c r="X382" s="42"/>
      <c r="Y382" s="42"/>
      <c r="Z382" s="42"/>
      <c r="AA382" s="42"/>
      <c r="AB382" s="42"/>
      <c r="AC382" s="105">
        <f>IF(NFI_Expiration=1,IF($A382&lt;VLOOKUP(I$5,NFI,5,0),1,0)*Data_NFI_t[[#This Row],[Hygiene Kit]],0)</f>
        <v>0</v>
      </c>
      <c r="AD382" s="105">
        <f>IF(NFI_Expiration=1,IF($A382&lt;VLOOKUP(L$5,NFI,5,0),1,0)*Data_NFI_t[[#This Row],[NFI Core Kit]],0)</f>
        <v>0</v>
      </c>
      <c r="AE382" s="86">
        <f>IF(NFI_Expiration=1,IF($A382&lt;VLOOKUP(M$5,NFI,5,0),1,0)*Data_NFI_t[[#This Row],[Sanitary Kit]],0)</f>
        <v>0</v>
      </c>
      <c r="AF382" s="86">
        <f>IF(NFI_Expiration=1,IF($A382&lt;VLOOKUP(N$5,NFI,5,0),1,0)*Data_NFI_t[[#This Row],[Mosquito net]],0)</f>
        <v>0</v>
      </c>
      <c r="AG382" s="86">
        <f>IF(NFI_Expiration=1,IF($A382&lt;VLOOKUP(O$5,NFI,5,0),1,0)*Data_NFI_t[[#This Row],[Tarpaulin]],0)</f>
        <v>0</v>
      </c>
      <c r="AH382" s="86">
        <f>IF(NFI_Expiration=1,IF($A382&lt;VLOOKUP(P$5,NFI,5,0),1,0)*Data_NFI_t[[#This Row],[Blanket]],0)</f>
        <v>0</v>
      </c>
      <c r="AI382" s="86">
        <f>IF(NFI_Expiration=1,IF($A382&lt;VLOOKUP(Q$5,NFI,5,0),1,0)*Data_NFI_t[[#This Row],[Kitchen Set]],0)</f>
        <v>0</v>
      </c>
      <c r="AJ382" s="86">
        <f>IF(NFI_Expiration=1,IF($A382&lt;VLOOKUP(R$5,NFI,5,0),1,0)*Data_NFI_t[[#This Row],[Complementary Kit]],0)</f>
        <v>0</v>
      </c>
      <c r="AK382" s="86">
        <f>IF(NFI_Expiration=1,IF($A382&lt;VLOOKUP(S$5,NFI,5,0),1,0)*Data_NFI_t[[#This Row],[Plastic Bucket]],0)</f>
        <v>0</v>
      </c>
      <c r="AL382" s="86">
        <f>IF(NFI_Expiration=1,IF($A382&lt;VLOOKUP(T$5,NFI,5,0),1,0)*Data_NFI_t[[#This Row],[Jerry Can]],0)</f>
        <v>0</v>
      </c>
      <c r="AM382" s="105">
        <f>IF(NFI_Expiration=1,IF($A382&lt;VLOOKUP(U$5,NFI,5,0),1,0)*Data_NFI_t[[#This Row],[Plastic Mat]],0)*IF(Data_NFI_t[[#This Row],[Distribution Date]]&gt;"01-06-2015",1,2.5)</f>
        <v>0</v>
      </c>
      <c r="AN382" s="734">
        <f>IF(NFI_Expiration=1,IF($A382&lt;VLOOKUP(V$5,NFI,5,0),1,0)*Data_NFI_t[[#This Row],[Adult Clothes]],0)</f>
        <v>0</v>
      </c>
      <c r="AO382" s="105">
        <f>IF(NFI_Expiration=1,IF($A382&lt;VLOOKUP(W$5,NFI,5,0),1,0)*Data_NFI_t[[#This Row],[Children Clothes]],0)</f>
        <v>0</v>
      </c>
      <c r="AP382" s="105">
        <f>IF(NFI_Expiration=1,IF($A382&lt;VLOOKUP(X$5,NFI,5,0),1,0)*Data_NFI_t[[#This Row],[Sewing Kit]],0)</f>
        <v>0</v>
      </c>
      <c r="AQ382" s="734">
        <f>IF(NFI_Expiration=1,IF($A382&lt;VLOOKUP(X$5,NFI,5,0),1,0)*Data_NFI_t[[#This Row],[Solar Lantern]],0)</f>
        <v>0</v>
      </c>
      <c r="AR382" s="105" t="str">
        <f ca="1">IFERROR(OFFSET(Camp_List[P_Code],MATCH(Data_NFI_t[[#This Row],[Camp Name]],Camp_List[Camp Name],0)-1,0,1,1),"")</f>
        <v>MMR012CMP090</v>
      </c>
      <c r="AS382" s="421" t="str">
        <f ca="1">IFERROR(OFFSET(Camp_List[Status],MATCH(Data_NFI_t[[#This Row],[Camp Name]],Camp_List[Camp Name],0)-1,0,1,1),"")</f>
        <v>Close</v>
      </c>
      <c r="AT382" s="105"/>
    </row>
    <row r="383" spans="1:46" s="78" customFormat="1" ht="19.5" customHeight="1" x14ac:dyDescent="0.25">
      <c r="A383" s="208">
        <f t="shared" si="5"/>
        <v>63.633333333333333</v>
      </c>
      <c r="B383" s="208">
        <f>YEAR(Data_NFI_t[[#This Row],[Distribution Date]])</f>
        <v>2013</v>
      </c>
      <c r="C383" s="744">
        <v>41281</v>
      </c>
      <c r="D383" s="402" t="s">
        <v>270</v>
      </c>
      <c r="E383" s="401"/>
      <c r="F383" s="402" t="s">
        <v>7</v>
      </c>
      <c r="G383" s="670" t="s">
        <v>15</v>
      </c>
      <c r="H383" s="670" t="s">
        <v>55</v>
      </c>
      <c r="I383" s="670"/>
      <c r="J383" s="670"/>
      <c r="K383" s="670"/>
      <c r="L383" s="42">
        <v>228</v>
      </c>
      <c r="M383" s="42"/>
      <c r="N383" s="42">
        <v>456</v>
      </c>
      <c r="O383" s="42">
        <v>228</v>
      </c>
      <c r="P383" s="42">
        <v>456</v>
      </c>
      <c r="Q383" s="42">
        <v>228</v>
      </c>
      <c r="R383" s="42">
        <v>228</v>
      </c>
      <c r="S383" s="42">
        <v>228</v>
      </c>
      <c r="T383" s="419"/>
      <c r="U383" s="42">
        <v>456</v>
      </c>
      <c r="V383" s="42"/>
      <c r="W383" s="42"/>
      <c r="X383" s="42"/>
      <c r="Y383" s="42"/>
      <c r="Z383" s="42"/>
      <c r="AA383" s="42"/>
      <c r="AB383" s="42"/>
      <c r="AC383" s="105">
        <f>IF(NFI_Expiration=1,IF($A383&lt;VLOOKUP(I$5,NFI,5,0),1,0)*Data_NFI_t[[#This Row],[Hygiene Kit]],0)</f>
        <v>0</v>
      </c>
      <c r="AD383" s="105">
        <f>IF(NFI_Expiration=1,IF($A383&lt;VLOOKUP(L$5,NFI,5,0),1,0)*Data_NFI_t[[#This Row],[NFI Core Kit]],0)</f>
        <v>0</v>
      </c>
      <c r="AE383" s="86">
        <f>IF(NFI_Expiration=1,IF($A383&lt;VLOOKUP(M$5,NFI,5,0),1,0)*Data_NFI_t[[#This Row],[Sanitary Kit]],0)</f>
        <v>0</v>
      </c>
      <c r="AF383" s="86">
        <f>IF(NFI_Expiration=1,IF($A383&lt;VLOOKUP(N$5,NFI,5,0),1,0)*Data_NFI_t[[#This Row],[Mosquito net]],0)</f>
        <v>0</v>
      </c>
      <c r="AG383" s="86">
        <f>IF(NFI_Expiration=1,IF($A383&lt;VLOOKUP(O$5,NFI,5,0),1,0)*Data_NFI_t[[#This Row],[Tarpaulin]],0)</f>
        <v>0</v>
      </c>
      <c r="AH383" s="86">
        <f>IF(NFI_Expiration=1,IF($A383&lt;VLOOKUP(P$5,NFI,5,0),1,0)*Data_NFI_t[[#This Row],[Blanket]],0)</f>
        <v>0</v>
      </c>
      <c r="AI383" s="86">
        <f>IF(NFI_Expiration=1,IF($A383&lt;VLOOKUP(Q$5,NFI,5,0),1,0)*Data_NFI_t[[#This Row],[Kitchen Set]],0)</f>
        <v>0</v>
      </c>
      <c r="AJ383" s="86">
        <f>IF(NFI_Expiration=1,IF($A383&lt;VLOOKUP(R$5,NFI,5,0),1,0)*Data_NFI_t[[#This Row],[Complementary Kit]],0)</f>
        <v>0</v>
      </c>
      <c r="AK383" s="86">
        <f>IF(NFI_Expiration=1,IF($A383&lt;VLOOKUP(S$5,NFI,5,0),1,0)*Data_NFI_t[[#This Row],[Plastic Bucket]],0)</f>
        <v>0</v>
      </c>
      <c r="AL383" s="86">
        <f>IF(NFI_Expiration=1,IF($A383&lt;VLOOKUP(T$5,NFI,5,0),1,0)*Data_NFI_t[[#This Row],[Jerry Can]],0)</f>
        <v>0</v>
      </c>
      <c r="AM383" s="105">
        <f>IF(NFI_Expiration=1,IF($A383&lt;VLOOKUP(U$5,NFI,5,0),1,0)*Data_NFI_t[[#This Row],[Plastic Mat]],0)*IF(Data_NFI_t[[#This Row],[Distribution Date]]&gt;"01-06-2015",1,2.5)</f>
        <v>0</v>
      </c>
      <c r="AN383" s="734">
        <f>IF(NFI_Expiration=1,IF($A383&lt;VLOOKUP(V$5,NFI,5,0),1,0)*Data_NFI_t[[#This Row],[Adult Clothes]],0)</f>
        <v>0</v>
      </c>
      <c r="AO383" s="105">
        <f>IF(NFI_Expiration=1,IF($A383&lt;VLOOKUP(W$5,NFI,5,0),1,0)*Data_NFI_t[[#This Row],[Children Clothes]],0)</f>
        <v>0</v>
      </c>
      <c r="AP383" s="105">
        <f>IF(NFI_Expiration=1,IF($A383&lt;VLOOKUP(X$5,NFI,5,0),1,0)*Data_NFI_t[[#This Row],[Sewing Kit]],0)</f>
        <v>0</v>
      </c>
      <c r="AQ383" s="734">
        <f>IF(NFI_Expiration=1,IF($A383&lt;VLOOKUP(X$5,NFI,5,0),1,0)*Data_NFI_t[[#This Row],[Solar Lantern]],0)</f>
        <v>0</v>
      </c>
      <c r="AR383" s="105" t="str">
        <f ca="1">IFERROR(OFFSET(Camp_List[P_Code],MATCH(Data_NFI_t[[#This Row],[Camp Name]],Camp_List[Camp Name],0)-1,0,1,1),"")</f>
        <v/>
      </c>
      <c r="AS383" s="421" t="str">
        <f ca="1">IFERROR(OFFSET(Camp_List[Status],MATCH(Data_NFI_t[[#This Row],[Camp Name]],Camp_List[Camp Name],0)-1,0,1,1),"")</f>
        <v/>
      </c>
      <c r="AT383" s="105"/>
    </row>
    <row r="384" spans="1:46" s="78" customFormat="1" ht="19.5" customHeight="1" x14ac:dyDescent="0.25">
      <c r="A384" s="208">
        <f t="shared" si="5"/>
        <v>63.633333333333333</v>
      </c>
      <c r="B384" s="208">
        <f>YEAR(Data_NFI_t[[#This Row],[Distribution Date]])</f>
        <v>2013</v>
      </c>
      <c r="C384" s="744">
        <v>41281</v>
      </c>
      <c r="D384" s="402" t="s">
        <v>270</v>
      </c>
      <c r="E384" s="401"/>
      <c r="F384" s="402" t="s">
        <v>7</v>
      </c>
      <c r="G384" s="670" t="s">
        <v>15</v>
      </c>
      <c r="H384" s="670" t="s">
        <v>55</v>
      </c>
      <c r="I384" s="670"/>
      <c r="J384" s="670"/>
      <c r="K384" s="670"/>
      <c r="L384" s="42"/>
      <c r="M384" s="42">
        <v>228</v>
      </c>
      <c r="N384" s="42">
        <v>443</v>
      </c>
      <c r="O384" s="42">
        <v>228</v>
      </c>
      <c r="P384" s="42">
        <v>0</v>
      </c>
      <c r="Q384" s="42"/>
      <c r="R384" s="42"/>
      <c r="S384" s="42"/>
      <c r="T384" s="419"/>
      <c r="U384" s="42"/>
      <c r="V384" s="42"/>
      <c r="W384" s="42"/>
      <c r="X384" s="42"/>
      <c r="Y384" s="42"/>
      <c r="Z384" s="42"/>
      <c r="AA384" s="42"/>
      <c r="AB384" s="42"/>
      <c r="AC384" s="105">
        <f>IF(NFI_Expiration=1,IF($A384&lt;VLOOKUP(I$5,NFI,5,0),1,0)*Data_NFI_t[[#This Row],[Hygiene Kit]],0)</f>
        <v>0</v>
      </c>
      <c r="AD384" s="105">
        <f>IF(NFI_Expiration=1,IF($A384&lt;VLOOKUP(L$5,NFI,5,0),1,0)*Data_NFI_t[[#This Row],[NFI Core Kit]],0)</f>
        <v>0</v>
      </c>
      <c r="AE384" s="86">
        <f>IF(NFI_Expiration=1,IF($A384&lt;VLOOKUP(M$5,NFI,5,0),1,0)*Data_NFI_t[[#This Row],[Sanitary Kit]],0)</f>
        <v>0</v>
      </c>
      <c r="AF384" s="86">
        <f>IF(NFI_Expiration=1,IF($A384&lt;VLOOKUP(N$5,NFI,5,0),1,0)*Data_NFI_t[[#This Row],[Mosquito net]],0)</f>
        <v>0</v>
      </c>
      <c r="AG384" s="86">
        <f>IF(NFI_Expiration=1,IF($A384&lt;VLOOKUP(O$5,NFI,5,0),1,0)*Data_NFI_t[[#This Row],[Tarpaulin]],0)</f>
        <v>0</v>
      </c>
      <c r="AH384" s="86">
        <f>IF(NFI_Expiration=1,IF($A384&lt;VLOOKUP(P$5,NFI,5,0),1,0)*Data_NFI_t[[#This Row],[Blanket]],0)</f>
        <v>0</v>
      </c>
      <c r="AI384" s="86">
        <f>IF(NFI_Expiration=1,IF($A384&lt;VLOOKUP(Q$5,NFI,5,0),1,0)*Data_NFI_t[[#This Row],[Kitchen Set]],0)</f>
        <v>0</v>
      </c>
      <c r="AJ384" s="86">
        <f>IF(NFI_Expiration=1,IF($A384&lt;VLOOKUP(R$5,NFI,5,0),1,0)*Data_NFI_t[[#This Row],[Complementary Kit]],0)</f>
        <v>0</v>
      </c>
      <c r="AK384" s="86">
        <f>IF(NFI_Expiration=1,IF($A384&lt;VLOOKUP(S$5,NFI,5,0),1,0)*Data_NFI_t[[#This Row],[Plastic Bucket]],0)</f>
        <v>0</v>
      </c>
      <c r="AL384" s="86">
        <f>IF(NFI_Expiration=1,IF($A384&lt;VLOOKUP(T$5,NFI,5,0),1,0)*Data_NFI_t[[#This Row],[Jerry Can]],0)</f>
        <v>0</v>
      </c>
      <c r="AM384" s="105">
        <f>IF(NFI_Expiration=1,IF($A384&lt;VLOOKUP(U$5,NFI,5,0),1,0)*Data_NFI_t[[#This Row],[Plastic Mat]],0)*IF(Data_NFI_t[[#This Row],[Distribution Date]]&gt;"01-06-2015",1,2.5)</f>
        <v>0</v>
      </c>
      <c r="AN384" s="734">
        <f>IF(NFI_Expiration=1,IF($A384&lt;VLOOKUP(V$5,NFI,5,0),1,0)*Data_NFI_t[[#This Row],[Adult Clothes]],0)</f>
        <v>0</v>
      </c>
      <c r="AO384" s="105">
        <f>IF(NFI_Expiration=1,IF($A384&lt;VLOOKUP(W$5,NFI,5,0),1,0)*Data_NFI_t[[#This Row],[Children Clothes]],0)</f>
        <v>0</v>
      </c>
      <c r="AP384" s="105">
        <f>IF(NFI_Expiration=1,IF($A384&lt;VLOOKUP(X$5,NFI,5,0),1,0)*Data_NFI_t[[#This Row],[Sewing Kit]],0)</f>
        <v>0</v>
      </c>
      <c r="AQ384" s="734">
        <f>IF(NFI_Expiration=1,IF($A384&lt;VLOOKUP(X$5,NFI,5,0),1,0)*Data_NFI_t[[#This Row],[Solar Lantern]],0)</f>
        <v>0</v>
      </c>
      <c r="AR384" s="105" t="str">
        <f ca="1">IFERROR(OFFSET(Camp_List[P_Code],MATCH(Data_NFI_t[[#This Row],[Camp Name]],Camp_List[Camp Name],0)-1,0,1,1),"")</f>
        <v/>
      </c>
      <c r="AS384" s="421" t="str">
        <f ca="1">IFERROR(OFFSET(Camp_List[Status],MATCH(Data_NFI_t[[#This Row],[Camp Name]],Camp_List[Camp Name],0)-1,0,1,1),"")</f>
        <v/>
      </c>
      <c r="AT384" s="105"/>
    </row>
    <row r="385" spans="1:46" s="78" customFormat="1" ht="19.5" customHeight="1" x14ac:dyDescent="0.25">
      <c r="A385" s="208">
        <f t="shared" si="5"/>
        <v>63.633333333333333</v>
      </c>
      <c r="B385" s="208">
        <f>YEAR(Data_NFI_t[[#This Row],[Distribution Date]])</f>
        <v>2013</v>
      </c>
      <c r="C385" s="744">
        <v>41281</v>
      </c>
      <c r="D385" s="402" t="s">
        <v>270</v>
      </c>
      <c r="E385" s="401"/>
      <c r="F385" s="402" t="s">
        <v>7</v>
      </c>
      <c r="G385" s="670" t="s">
        <v>18</v>
      </c>
      <c r="H385" s="670" t="s">
        <v>102</v>
      </c>
      <c r="I385" s="670"/>
      <c r="J385" s="670"/>
      <c r="K385" s="670"/>
      <c r="L385" s="42">
        <v>93</v>
      </c>
      <c r="M385" s="42"/>
      <c r="N385" s="42">
        <v>186</v>
      </c>
      <c r="O385" s="42">
        <v>93</v>
      </c>
      <c r="P385" s="42">
        <v>186</v>
      </c>
      <c r="Q385" s="42">
        <v>93</v>
      </c>
      <c r="R385" s="42">
        <v>93</v>
      </c>
      <c r="S385" s="42">
        <v>93</v>
      </c>
      <c r="T385" s="419"/>
      <c r="U385" s="42">
        <v>186</v>
      </c>
      <c r="V385" s="42"/>
      <c r="W385" s="42"/>
      <c r="X385" s="42"/>
      <c r="Y385" s="42"/>
      <c r="Z385" s="42"/>
      <c r="AA385" s="42"/>
      <c r="AB385" s="42"/>
      <c r="AC385" s="105">
        <f>IF(NFI_Expiration=1,IF($A385&lt;VLOOKUP(I$5,NFI,5,0),1,0)*Data_NFI_t[[#This Row],[Hygiene Kit]],0)</f>
        <v>0</v>
      </c>
      <c r="AD385" s="105">
        <f>IF(NFI_Expiration=1,IF($A385&lt;VLOOKUP(L$5,NFI,5,0),1,0)*Data_NFI_t[[#This Row],[NFI Core Kit]],0)</f>
        <v>0</v>
      </c>
      <c r="AE385" s="86">
        <f>IF(NFI_Expiration=1,IF($A385&lt;VLOOKUP(M$5,NFI,5,0),1,0)*Data_NFI_t[[#This Row],[Sanitary Kit]],0)</f>
        <v>0</v>
      </c>
      <c r="AF385" s="86">
        <f>IF(NFI_Expiration=1,IF($A385&lt;VLOOKUP(N$5,NFI,5,0),1,0)*Data_NFI_t[[#This Row],[Mosquito net]],0)</f>
        <v>0</v>
      </c>
      <c r="AG385" s="86">
        <f>IF(NFI_Expiration=1,IF($A385&lt;VLOOKUP(O$5,NFI,5,0),1,0)*Data_NFI_t[[#This Row],[Tarpaulin]],0)</f>
        <v>0</v>
      </c>
      <c r="AH385" s="86">
        <f>IF(NFI_Expiration=1,IF($A385&lt;VLOOKUP(P$5,NFI,5,0),1,0)*Data_NFI_t[[#This Row],[Blanket]],0)</f>
        <v>0</v>
      </c>
      <c r="AI385" s="86">
        <f>IF(NFI_Expiration=1,IF($A385&lt;VLOOKUP(Q$5,NFI,5,0),1,0)*Data_NFI_t[[#This Row],[Kitchen Set]],0)</f>
        <v>0</v>
      </c>
      <c r="AJ385" s="86">
        <f>IF(NFI_Expiration=1,IF($A385&lt;VLOOKUP(R$5,NFI,5,0),1,0)*Data_NFI_t[[#This Row],[Complementary Kit]],0)</f>
        <v>0</v>
      </c>
      <c r="AK385" s="86">
        <f>IF(NFI_Expiration=1,IF($A385&lt;VLOOKUP(S$5,NFI,5,0),1,0)*Data_NFI_t[[#This Row],[Plastic Bucket]],0)</f>
        <v>0</v>
      </c>
      <c r="AL385" s="86">
        <f>IF(NFI_Expiration=1,IF($A385&lt;VLOOKUP(T$5,NFI,5,0),1,0)*Data_NFI_t[[#This Row],[Jerry Can]],0)</f>
        <v>0</v>
      </c>
      <c r="AM385" s="105">
        <f>IF(NFI_Expiration=1,IF($A385&lt;VLOOKUP(U$5,NFI,5,0),1,0)*Data_NFI_t[[#This Row],[Plastic Mat]],0)*IF(Data_NFI_t[[#This Row],[Distribution Date]]&gt;"01-06-2015",1,2.5)</f>
        <v>0</v>
      </c>
      <c r="AN385" s="734">
        <f>IF(NFI_Expiration=1,IF($A385&lt;VLOOKUP(V$5,NFI,5,0),1,0)*Data_NFI_t[[#This Row],[Adult Clothes]],0)</f>
        <v>0</v>
      </c>
      <c r="AO385" s="105">
        <f>IF(NFI_Expiration=1,IF($A385&lt;VLOOKUP(W$5,NFI,5,0),1,0)*Data_NFI_t[[#This Row],[Children Clothes]],0)</f>
        <v>0</v>
      </c>
      <c r="AP385" s="105">
        <f>IF(NFI_Expiration=1,IF($A385&lt;VLOOKUP(X$5,NFI,5,0),1,0)*Data_NFI_t[[#This Row],[Sewing Kit]],0)</f>
        <v>0</v>
      </c>
      <c r="AQ385" s="734">
        <f>IF(NFI_Expiration=1,IF($A385&lt;VLOOKUP(X$5,NFI,5,0),1,0)*Data_NFI_t[[#This Row],[Solar Lantern]],0)</f>
        <v>0</v>
      </c>
      <c r="AR385" s="105" t="str">
        <f ca="1">IFERROR(OFFSET(Camp_List[P_Code],MATCH(Data_NFI_t[[#This Row],[Camp Name]],Camp_List[Camp Name],0)-1,0,1,1),"")</f>
        <v/>
      </c>
      <c r="AS385" s="421" t="str">
        <f ca="1">IFERROR(OFFSET(Camp_List[Status],MATCH(Data_NFI_t[[#This Row],[Camp Name]],Camp_List[Camp Name],0)-1,0,1,1),"")</f>
        <v/>
      </c>
      <c r="AT385" s="105"/>
    </row>
    <row r="386" spans="1:46" s="78" customFormat="1" ht="19.5" customHeight="1" x14ac:dyDescent="0.25">
      <c r="A386" s="208">
        <f t="shared" si="5"/>
        <v>63.633333333333333</v>
      </c>
      <c r="B386" s="208">
        <f>YEAR(Data_NFI_t[[#This Row],[Distribution Date]])</f>
        <v>2013</v>
      </c>
      <c r="C386" s="744">
        <v>41281</v>
      </c>
      <c r="D386" s="402" t="s">
        <v>270</v>
      </c>
      <c r="E386" s="401"/>
      <c r="F386" s="402" t="s">
        <v>7</v>
      </c>
      <c r="G386" s="670" t="s">
        <v>18</v>
      </c>
      <c r="H386" s="670" t="s">
        <v>102</v>
      </c>
      <c r="I386" s="670"/>
      <c r="J386" s="670"/>
      <c r="K386" s="670"/>
      <c r="L386" s="42"/>
      <c r="M386" s="42">
        <v>186</v>
      </c>
      <c r="N386" s="42">
        <v>186</v>
      </c>
      <c r="O386" s="42">
        <v>93</v>
      </c>
      <c r="P386" s="42">
        <v>0</v>
      </c>
      <c r="Q386" s="42"/>
      <c r="R386" s="42"/>
      <c r="S386" s="42"/>
      <c r="T386" s="419"/>
      <c r="U386" s="42"/>
      <c r="V386" s="42"/>
      <c r="W386" s="42"/>
      <c r="X386" s="42"/>
      <c r="Y386" s="42"/>
      <c r="Z386" s="42"/>
      <c r="AA386" s="42"/>
      <c r="AB386" s="42"/>
      <c r="AC386" s="105">
        <f>IF(NFI_Expiration=1,IF($A386&lt;VLOOKUP(I$5,NFI,5,0),1,0)*Data_NFI_t[[#This Row],[Hygiene Kit]],0)</f>
        <v>0</v>
      </c>
      <c r="AD386" s="105">
        <f>IF(NFI_Expiration=1,IF($A386&lt;VLOOKUP(L$5,NFI,5,0),1,0)*Data_NFI_t[[#This Row],[NFI Core Kit]],0)</f>
        <v>0</v>
      </c>
      <c r="AE386" s="86">
        <f>IF(NFI_Expiration=1,IF($A386&lt;VLOOKUP(M$5,NFI,5,0),1,0)*Data_NFI_t[[#This Row],[Sanitary Kit]],0)</f>
        <v>0</v>
      </c>
      <c r="AF386" s="86">
        <f>IF(NFI_Expiration=1,IF($A386&lt;VLOOKUP(N$5,NFI,5,0),1,0)*Data_NFI_t[[#This Row],[Mosquito net]],0)</f>
        <v>0</v>
      </c>
      <c r="AG386" s="86">
        <f>IF(NFI_Expiration=1,IF($A386&lt;VLOOKUP(O$5,NFI,5,0),1,0)*Data_NFI_t[[#This Row],[Tarpaulin]],0)</f>
        <v>0</v>
      </c>
      <c r="AH386" s="86">
        <f>IF(NFI_Expiration=1,IF($A386&lt;VLOOKUP(P$5,NFI,5,0),1,0)*Data_NFI_t[[#This Row],[Blanket]],0)</f>
        <v>0</v>
      </c>
      <c r="AI386" s="86">
        <f>IF(NFI_Expiration=1,IF($A386&lt;VLOOKUP(Q$5,NFI,5,0),1,0)*Data_NFI_t[[#This Row],[Kitchen Set]],0)</f>
        <v>0</v>
      </c>
      <c r="AJ386" s="86">
        <f>IF(NFI_Expiration=1,IF($A386&lt;VLOOKUP(R$5,NFI,5,0),1,0)*Data_NFI_t[[#This Row],[Complementary Kit]],0)</f>
        <v>0</v>
      </c>
      <c r="AK386" s="86">
        <f>IF(NFI_Expiration=1,IF($A386&lt;VLOOKUP(S$5,NFI,5,0),1,0)*Data_NFI_t[[#This Row],[Plastic Bucket]],0)</f>
        <v>0</v>
      </c>
      <c r="AL386" s="86">
        <f>IF(NFI_Expiration=1,IF($A386&lt;VLOOKUP(T$5,NFI,5,0),1,0)*Data_NFI_t[[#This Row],[Jerry Can]],0)</f>
        <v>0</v>
      </c>
      <c r="AM386" s="105">
        <f>IF(NFI_Expiration=1,IF($A386&lt;VLOOKUP(U$5,NFI,5,0),1,0)*Data_NFI_t[[#This Row],[Plastic Mat]],0)*IF(Data_NFI_t[[#This Row],[Distribution Date]]&gt;"01-06-2015",1,2.5)</f>
        <v>0</v>
      </c>
      <c r="AN386" s="734">
        <f>IF(NFI_Expiration=1,IF($A386&lt;VLOOKUP(V$5,NFI,5,0),1,0)*Data_NFI_t[[#This Row],[Adult Clothes]],0)</f>
        <v>0</v>
      </c>
      <c r="AO386" s="105">
        <f>IF(NFI_Expiration=1,IF($A386&lt;VLOOKUP(W$5,NFI,5,0),1,0)*Data_NFI_t[[#This Row],[Children Clothes]],0)</f>
        <v>0</v>
      </c>
      <c r="AP386" s="105">
        <f>IF(NFI_Expiration=1,IF($A386&lt;VLOOKUP(X$5,NFI,5,0),1,0)*Data_NFI_t[[#This Row],[Sewing Kit]],0)</f>
        <v>0</v>
      </c>
      <c r="AQ386" s="734">
        <f>IF(NFI_Expiration=1,IF($A386&lt;VLOOKUP(X$5,NFI,5,0),1,0)*Data_NFI_t[[#This Row],[Solar Lantern]],0)</f>
        <v>0</v>
      </c>
      <c r="AR386" s="105" t="str">
        <f ca="1">IFERROR(OFFSET(Camp_List[P_Code],MATCH(Data_NFI_t[[#This Row],[Camp Name]],Camp_List[Camp Name],0)-1,0,1,1),"")</f>
        <v/>
      </c>
      <c r="AS386" s="421" t="str">
        <f ca="1">IFERROR(OFFSET(Camp_List[Status],MATCH(Data_NFI_t[[#This Row],[Camp Name]],Camp_List[Camp Name],0)-1,0,1,1),"")</f>
        <v/>
      </c>
      <c r="AT386" s="105"/>
    </row>
    <row r="387" spans="1:46" s="78" customFormat="1" ht="19.5" customHeight="1" x14ac:dyDescent="0.25">
      <c r="A387" s="208">
        <f t="shared" si="5"/>
        <v>63.833333333333336</v>
      </c>
      <c r="B387" s="208">
        <f>YEAR(Data_NFI_t[[#This Row],[Distribution Date]])</f>
        <v>2013</v>
      </c>
      <c r="C387" s="744">
        <v>41275</v>
      </c>
      <c r="D387" s="402" t="s">
        <v>476</v>
      </c>
      <c r="E387" s="401" t="s">
        <v>476</v>
      </c>
      <c r="F387" s="402" t="s">
        <v>7</v>
      </c>
      <c r="G387" s="670" t="s">
        <v>17</v>
      </c>
      <c r="H387" s="670" t="s">
        <v>59</v>
      </c>
      <c r="I387" s="670">
        <v>20</v>
      </c>
      <c r="J387" s="670"/>
      <c r="K387" s="670"/>
      <c r="L387" s="42"/>
      <c r="M387" s="42"/>
      <c r="N387" s="42"/>
      <c r="O387" s="42"/>
      <c r="P387" s="42"/>
      <c r="Q387" s="42"/>
      <c r="R387" s="42"/>
      <c r="S387" s="42"/>
      <c r="T387" s="419"/>
      <c r="U387" s="42"/>
      <c r="V387" s="42"/>
      <c r="W387" s="42"/>
      <c r="X387" s="42"/>
      <c r="Y387" s="42"/>
      <c r="Z387" s="42"/>
      <c r="AA387" s="42"/>
      <c r="AB387" s="42"/>
      <c r="AC387" s="105">
        <f>IF(NFI_Expiration=1,IF($A387&lt;VLOOKUP(I$5,NFI,5,0),1,0)*Data_NFI_t[[#This Row],[Hygiene Kit]],0)</f>
        <v>0</v>
      </c>
      <c r="AD387" s="105">
        <f>IF(NFI_Expiration=1,IF($A387&lt;VLOOKUP(L$5,NFI,5,0),1,0)*Data_NFI_t[[#This Row],[NFI Core Kit]],0)</f>
        <v>0</v>
      </c>
      <c r="AE387" s="86">
        <f>IF(NFI_Expiration=1,IF($A387&lt;VLOOKUP(M$5,NFI,5,0),1,0)*Data_NFI_t[[#This Row],[Sanitary Kit]],0)</f>
        <v>0</v>
      </c>
      <c r="AF387" s="86">
        <f>IF(NFI_Expiration=1,IF($A387&lt;VLOOKUP(N$5,NFI,5,0),1,0)*Data_NFI_t[[#This Row],[Mosquito net]],0)</f>
        <v>0</v>
      </c>
      <c r="AG387" s="86">
        <f>IF(NFI_Expiration=1,IF($A387&lt;VLOOKUP(O$5,NFI,5,0),1,0)*Data_NFI_t[[#This Row],[Tarpaulin]],0)</f>
        <v>0</v>
      </c>
      <c r="AH387" s="86">
        <f>IF(NFI_Expiration=1,IF($A387&lt;VLOOKUP(P$5,NFI,5,0),1,0)*Data_NFI_t[[#This Row],[Blanket]],0)</f>
        <v>0</v>
      </c>
      <c r="AI387" s="86">
        <f>IF(NFI_Expiration=1,IF($A387&lt;VLOOKUP(Q$5,NFI,5,0),1,0)*Data_NFI_t[[#This Row],[Kitchen Set]],0)</f>
        <v>0</v>
      </c>
      <c r="AJ387" s="86">
        <f>IF(NFI_Expiration=1,IF($A387&lt;VLOOKUP(R$5,NFI,5,0),1,0)*Data_NFI_t[[#This Row],[Complementary Kit]],0)</f>
        <v>0</v>
      </c>
      <c r="AK387" s="86">
        <f>IF(NFI_Expiration=1,IF($A387&lt;VLOOKUP(S$5,NFI,5,0),1,0)*Data_NFI_t[[#This Row],[Plastic Bucket]],0)</f>
        <v>0</v>
      </c>
      <c r="AL387" s="86">
        <f>IF(NFI_Expiration=1,IF($A387&lt;VLOOKUP(T$5,NFI,5,0),1,0)*Data_NFI_t[[#This Row],[Jerry Can]],0)</f>
        <v>0</v>
      </c>
      <c r="AM387" s="105">
        <f>IF(NFI_Expiration=1,IF($A387&lt;VLOOKUP(U$5,NFI,5,0),1,0)*Data_NFI_t[[#This Row],[Plastic Mat]],0)*IF(Data_NFI_t[[#This Row],[Distribution Date]]&gt;"01-06-2015",1,2.5)</f>
        <v>0</v>
      </c>
      <c r="AN387" s="734">
        <f>IF(NFI_Expiration=1,IF($A387&lt;VLOOKUP(V$5,NFI,5,0),1,0)*Data_NFI_t[[#This Row],[Adult Clothes]],0)</f>
        <v>0</v>
      </c>
      <c r="AO387" s="105">
        <f>IF(NFI_Expiration=1,IF($A387&lt;VLOOKUP(W$5,NFI,5,0),1,0)*Data_NFI_t[[#This Row],[Children Clothes]],0)</f>
        <v>0</v>
      </c>
      <c r="AP387" s="105">
        <f>IF(NFI_Expiration=1,IF($A387&lt;VLOOKUP(X$5,NFI,5,0),1,0)*Data_NFI_t[[#This Row],[Sewing Kit]],0)</f>
        <v>0</v>
      </c>
      <c r="AQ387" s="734">
        <f>IF(NFI_Expiration=1,IF($A387&lt;VLOOKUP(X$5,NFI,5,0),1,0)*Data_NFI_t[[#This Row],[Solar Lantern]],0)</f>
        <v>0</v>
      </c>
      <c r="AR387" s="105" t="str">
        <f ca="1">IFERROR(OFFSET(Camp_List[P_Code],MATCH(Data_NFI_t[[#This Row],[Camp Name]],Camp_List[Camp Name],0)-1,0,1,1),"")</f>
        <v>MMR012CMP039</v>
      </c>
      <c r="AS387" s="421" t="str">
        <f ca="1">IFERROR(OFFSET(Camp_List[Status],MATCH(Data_NFI_t[[#This Row],[Camp Name]],Camp_List[Camp Name],0)-1,0,1,1),"")</f>
        <v>Open</v>
      </c>
      <c r="AT387" s="105"/>
    </row>
    <row r="388" spans="1:46" s="78" customFormat="1" ht="19.5" customHeight="1" x14ac:dyDescent="0.25">
      <c r="A388" s="208">
        <f t="shared" si="5"/>
        <v>63.833333333333336</v>
      </c>
      <c r="B388" s="208">
        <f>YEAR(Data_NFI_t[[#This Row],[Distribution Date]])</f>
        <v>2013</v>
      </c>
      <c r="C388" s="744">
        <v>41275</v>
      </c>
      <c r="D388" s="402" t="s">
        <v>1025</v>
      </c>
      <c r="E388" s="401" t="s">
        <v>277</v>
      </c>
      <c r="F388" s="402" t="s">
        <v>7</v>
      </c>
      <c r="G388" s="670" t="s">
        <v>17</v>
      </c>
      <c r="H388" s="670" t="s">
        <v>60</v>
      </c>
      <c r="I388" s="670">
        <v>4390</v>
      </c>
      <c r="J388" s="670"/>
      <c r="K388" s="670"/>
      <c r="L388" s="42"/>
      <c r="M388" s="42"/>
      <c r="N388" s="42"/>
      <c r="O388" s="42"/>
      <c r="P388" s="42"/>
      <c r="Q388" s="42"/>
      <c r="R388" s="42"/>
      <c r="S388" s="42"/>
      <c r="T388" s="419"/>
      <c r="U388" s="42"/>
      <c r="V388" s="42"/>
      <c r="W388" s="42"/>
      <c r="X388" s="42"/>
      <c r="Y388" s="42"/>
      <c r="Z388" s="42"/>
      <c r="AA388" s="42"/>
      <c r="AB388" s="42"/>
      <c r="AC388" s="105">
        <f>IF(NFI_Expiration=1,IF($A388&lt;VLOOKUP(I$5,NFI,5,0),1,0)*Data_NFI_t[[#This Row],[Hygiene Kit]],0)</f>
        <v>0</v>
      </c>
      <c r="AD388" s="105">
        <f>IF(NFI_Expiration=1,IF($A388&lt;VLOOKUP(L$5,NFI,5,0),1,0)*Data_NFI_t[[#This Row],[NFI Core Kit]],0)</f>
        <v>0</v>
      </c>
      <c r="AE388" s="86">
        <f>IF(NFI_Expiration=1,IF($A388&lt;VLOOKUP(M$5,NFI,5,0),1,0)*Data_NFI_t[[#This Row],[Sanitary Kit]],0)</f>
        <v>0</v>
      </c>
      <c r="AF388" s="86">
        <f>IF(NFI_Expiration=1,IF($A388&lt;VLOOKUP(N$5,NFI,5,0),1,0)*Data_NFI_t[[#This Row],[Mosquito net]],0)</f>
        <v>0</v>
      </c>
      <c r="AG388" s="86">
        <f>IF(NFI_Expiration=1,IF($A388&lt;VLOOKUP(O$5,NFI,5,0),1,0)*Data_NFI_t[[#This Row],[Tarpaulin]],0)</f>
        <v>0</v>
      </c>
      <c r="AH388" s="86">
        <f>IF(NFI_Expiration=1,IF($A388&lt;VLOOKUP(P$5,NFI,5,0),1,0)*Data_NFI_t[[#This Row],[Blanket]],0)</f>
        <v>0</v>
      </c>
      <c r="AI388" s="86">
        <f>IF(NFI_Expiration=1,IF($A388&lt;VLOOKUP(Q$5,NFI,5,0),1,0)*Data_NFI_t[[#This Row],[Kitchen Set]],0)</f>
        <v>0</v>
      </c>
      <c r="AJ388" s="86">
        <f>IF(NFI_Expiration=1,IF($A388&lt;VLOOKUP(R$5,NFI,5,0),1,0)*Data_NFI_t[[#This Row],[Complementary Kit]],0)</f>
        <v>0</v>
      </c>
      <c r="AK388" s="86">
        <f>IF(NFI_Expiration=1,IF($A388&lt;VLOOKUP(S$5,NFI,5,0),1,0)*Data_NFI_t[[#This Row],[Plastic Bucket]],0)</f>
        <v>0</v>
      </c>
      <c r="AL388" s="86">
        <f>IF(NFI_Expiration=1,IF($A388&lt;VLOOKUP(T$5,NFI,5,0),1,0)*Data_NFI_t[[#This Row],[Jerry Can]],0)</f>
        <v>0</v>
      </c>
      <c r="AM388" s="105">
        <f>IF(NFI_Expiration=1,IF($A388&lt;VLOOKUP(U$5,NFI,5,0),1,0)*Data_NFI_t[[#This Row],[Plastic Mat]],0)*IF(Data_NFI_t[[#This Row],[Distribution Date]]&gt;"01-06-2015",1,2.5)</f>
        <v>0</v>
      </c>
      <c r="AN388" s="734">
        <f>IF(NFI_Expiration=1,IF($A388&lt;VLOOKUP(V$5,NFI,5,0),1,0)*Data_NFI_t[[#This Row],[Adult Clothes]],0)</f>
        <v>0</v>
      </c>
      <c r="AO388" s="105">
        <f>IF(NFI_Expiration=1,IF($A388&lt;VLOOKUP(W$5,NFI,5,0),1,0)*Data_NFI_t[[#This Row],[Children Clothes]],0)</f>
        <v>0</v>
      </c>
      <c r="AP388" s="105">
        <f>IF(NFI_Expiration=1,IF($A388&lt;VLOOKUP(X$5,NFI,5,0),1,0)*Data_NFI_t[[#This Row],[Sewing Kit]],0)</f>
        <v>0</v>
      </c>
      <c r="AQ388" s="734">
        <f>IF(NFI_Expiration=1,IF($A388&lt;VLOOKUP(X$5,NFI,5,0),1,0)*Data_NFI_t[[#This Row],[Solar Lantern]],0)</f>
        <v>0</v>
      </c>
      <c r="AR388" s="105" t="str">
        <f ca="1">IFERROR(OFFSET(Camp_List[P_Code],MATCH(Data_NFI_t[[#This Row],[Camp Name]],Camp_List[Camp Name],0)-1,0,1,1),"")</f>
        <v>MMR012CMP040</v>
      </c>
      <c r="AS388" s="421" t="str">
        <f ca="1">IFERROR(OFFSET(Camp_List[Status],MATCH(Data_NFI_t[[#This Row],[Camp Name]],Camp_List[Camp Name],0)-1,0,1,1),"")</f>
        <v>Close</v>
      </c>
      <c r="AT388" s="105"/>
    </row>
    <row r="389" spans="1:46" s="78" customFormat="1" ht="19.5" customHeight="1" x14ac:dyDescent="0.25">
      <c r="A389" s="208">
        <f t="shared" si="5"/>
        <v>63.833333333333336</v>
      </c>
      <c r="B389" s="208">
        <f>YEAR(Data_NFI_t[[#This Row],[Distribution Date]])</f>
        <v>2013</v>
      </c>
      <c r="C389" s="744">
        <v>41275</v>
      </c>
      <c r="D389" s="402" t="s">
        <v>1025</v>
      </c>
      <c r="E389" s="401" t="s">
        <v>277</v>
      </c>
      <c r="F389" s="402" t="s">
        <v>7</v>
      </c>
      <c r="G389" s="670" t="s">
        <v>17</v>
      </c>
      <c r="H389" s="670" t="s">
        <v>61</v>
      </c>
      <c r="I389" s="670">
        <v>3758</v>
      </c>
      <c r="J389" s="670"/>
      <c r="K389" s="670"/>
      <c r="L389" s="42"/>
      <c r="M389" s="42"/>
      <c r="N389" s="42"/>
      <c r="O389" s="42"/>
      <c r="P389" s="42"/>
      <c r="Q389" s="42"/>
      <c r="R389" s="42"/>
      <c r="S389" s="42"/>
      <c r="T389" s="419"/>
      <c r="U389" s="42"/>
      <c r="V389" s="42"/>
      <c r="W389" s="42"/>
      <c r="X389" s="42"/>
      <c r="Y389" s="42"/>
      <c r="Z389" s="42"/>
      <c r="AA389" s="42"/>
      <c r="AB389" s="42"/>
      <c r="AC389" s="105">
        <f>IF(NFI_Expiration=1,IF($A389&lt;VLOOKUP(I$5,NFI,5,0),1,0)*Data_NFI_t[[#This Row],[Hygiene Kit]],0)</f>
        <v>0</v>
      </c>
      <c r="AD389" s="105">
        <f>IF(NFI_Expiration=1,IF($A389&lt;VLOOKUP(L$5,NFI,5,0),1,0)*Data_NFI_t[[#This Row],[NFI Core Kit]],0)</f>
        <v>0</v>
      </c>
      <c r="AE389" s="86">
        <f>IF(NFI_Expiration=1,IF($A389&lt;VLOOKUP(M$5,NFI,5,0),1,0)*Data_NFI_t[[#This Row],[Sanitary Kit]],0)</f>
        <v>0</v>
      </c>
      <c r="AF389" s="86">
        <f>IF(NFI_Expiration=1,IF($A389&lt;VLOOKUP(N$5,NFI,5,0),1,0)*Data_NFI_t[[#This Row],[Mosquito net]],0)</f>
        <v>0</v>
      </c>
      <c r="AG389" s="86">
        <f>IF(NFI_Expiration=1,IF($A389&lt;VLOOKUP(O$5,NFI,5,0),1,0)*Data_NFI_t[[#This Row],[Tarpaulin]],0)</f>
        <v>0</v>
      </c>
      <c r="AH389" s="86">
        <f>IF(NFI_Expiration=1,IF($A389&lt;VLOOKUP(P$5,NFI,5,0),1,0)*Data_NFI_t[[#This Row],[Blanket]],0)</f>
        <v>0</v>
      </c>
      <c r="AI389" s="86">
        <f>IF(NFI_Expiration=1,IF($A389&lt;VLOOKUP(Q$5,NFI,5,0),1,0)*Data_NFI_t[[#This Row],[Kitchen Set]],0)</f>
        <v>0</v>
      </c>
      <c r="AJ389" s="86">
        <f>IF(NFI_Expiration=1,IF($A389&lt;VLOOKUP(R$5,NFI,5,0),1,0)*Data_NFI_t[[#This Row],[Complementary Kit]],0)</f>
        <v>0</v>
      </c>
      <c r="AK389" s="86">
        <f>IF(NFI_Expiration=1,IF($A389&lt;VLOOKUP(S$5,NFI,5,0),1,0)*Data_NFI_t[[#This Row],[Plastic Bucket]],0)</f>
        <v>0</v>
      </c>
      <c r="AL389" s="86">
        <f>IF(NFI_Expiration=1,IF($A389&lt;VLOOKUP(T$5,NFI,5,0),1,0)*Data_NFI_t[[#This Row],[Jerry Can]],0)</f>
        <v>0</v>
      </c>
      <c r="AM389" s="105">
        <f>IF(NFI_Expiration=1,IF($A389&lt;VLOOKUP(U$5,NFI,5,0),1,0)*Data_NFI_t[[#This Row],[Plastic Mat]],0)*IF(Data_NFI_t[[#This Row],[Distribution Date]]&gt;"01-06-2015",1,2.5)</f>
        <v>0</v>
      </c>
      <c r="AN389" s="734">
        <f>IF(NFI_Expiration=1,IF($A389&lt;VLOOKUP(V$5,NFI,5,0),1,0)*Data_NFI_t[[#This Row],[Adult Clothes]],0)</f>
        <v>0</v>
      </c>
      <c r="AO389" s="105">
        <f>IF(NFI_Expiration=1,IF($A389&lt;VLOOKUP(W$5,NFI,5,0),1,0)*Data_NFI_t[[#This Row],[Children Clothes]],0)</f>
        <v>0</v>
      </c>
      <c r="AP389" s="105">
        <f>IF(NFI_Expiration=1,IF($A389&lt;VLOOKUP(X$5,NFI,5,0),1,0)*Data_NFI_t[[#This Row],[Sewing Kit]],0)</f>
        <v>0</v>
      </c>
      <c r="AQ389" s="734">
        <f>IF(NFI_Expiration=1,IF($A389&lt;VLOOKUP(X$5,NFI,5,0),1,0)*Data_NFI_t[[#This Row],[Solar Lantern]],0)</f>
        <v>0</v>
      </c>
      <c r="AR389" s="105" t="str">
        <f ca="1">IFERROR(OFFSET(Camp_List[P_Code],MATCH(Data_NFI_t[[#This Row],[Camp Name]],Camp_List[Camp Name],0)-1,0,1,1),"")</f>
        <v>MMR012CMP041</v>
      </c>
      <c r="AS389" s="421" t="str">
        <f ca="1">IFERROR(OFFSET(Camp_List[Status],MATCH(Data_NFI_t[[#This Row],[Camp Name]],Camp_List[Camp Name],0)-1,0,1,1),"")</f>
        <v>Open</v>
      </c>
      <c r="AT389" s="105"/>
    </row>
    <row r="390" spans="1:46" s="78" customFormat="1" ht="19.5" customHeight="1" x14ac:dyDescent="0.25">
      <c r="A390" s="208">
        <f t="shared" ref="A390:A453" si="6">IF(ISBLANK(C390),"",(Report_Date-C390)/30)</f>
        <v>63.833333333333336</v>
      </c>
      <c r="B390" s="208">
        <f>YEAR(Data_NFI_t[[#This Row],[Distribution Date]])</f>
        <v>2013</v>
      </c>
      <c r="C390" s="744">
        <v>41275</v>
      </c>
      <c r="D390" s="402" t="s">
        <v>476</v>
      </c>
      <c r="E390" s="401" t="s">
        <v>476</v>
      </c>
      <c r="F390" s="402" t="s">
        <v>7</v>
      </c>
      <c r="G390" s="670" t="s">
        <v>17</v>
      </c>
      <c r="H390" s="670" t="s">
        <v>62</v>
      </c>
      <c r="I390" s="670">
        <v>722</v>
      </c>
      <c r="J390" s="670"/>
      <c r="K390" s="670"/>
      <c r="L390" s="42"/>
      <c r="M390" s="42"/>
      <c r="N390" s="42"/>
      <c r="O390" s="42"/>
      <c r="P390" s="42"/>
      <c r="Q390" s="42"/>
      <c r="R390" s="42"/>
      <c r="S390" s="42"/>
      <c r="T390" s="419"/>
      <c r="U390" s="42"/>
      <c r="V390" s="42"/>
      <c r="W390" s="42"/>
      <c r="X390" s="42"/>
      <c r="Y390" s="42"/>
      <c r="Z390" s="42"/>
      <c r="AA390" s="42"/>
      <c r="AB390" s="42"/>
      <c r="AC390" s="105">
        <f>IF(NFI_Expiration=1,IF($A390&lt;VLOOKUP(I$5,NFI,5,0),1,0)*Data_NFI_t[[#This Row],[Hygiene Kit]],0)</f>
        <v>0</v>
      </c>
      <c r="AD390" s="105">
        <f>IF(NFI_Expiration=1,IF($A390&lt;VLOOKUP(L$5,NFI,5,0),1,0)*Data_NFI_t[[#This Row],[NFI Core Kit]],0)</f>
        <v>0</v>
      </c>
      <c r="AE390" s="86">
        <f>IF(NFI_Expiration=1,IF($A390&lt;VLOOKUP(M$5,NFI,5,0),1,0)*Data_NFI_t[[#This Row],[Sanitary Kit]],0)</f>
        <v>0</v>
      </c>
      <c r="AF390" s="86">
        <f>IF(NFI_Expiration=1,IF($A390&lt;VLOOKUP(N$5,NFI,5,0),1,0)*Data_NFI_t[[#This Row],[Mosquito net]],0)</f>
        <v>0</v>
      </c>
      <c r="AG390" s="86">
        <f>IF(NFI_Expiration=1,IF($A390&lt;VLOOKUP(O$5,NFI,5,0),1,0)*Data_NFI_t[[#This Row],[Tarpaulin]],0)</f>
        <v>0</v>
      </c>
      <c r="AH390" s="86">
        <f>IF(NFI_Expiration=1,IF($A390&lt;VLOOKUP(P$5,NFI,5,0),1,0)*Data_NFI_t[[#This Row],[Blanket]],0)</f>
        <v>0</v>
      </c>
      <c r="AI390" s="86">
        <f>IF(NFI_Expiration=1,IF($A390&lt;VLOOKUP(Q$5,NFI,5,0),1,0)*Data_NFI_t[[#This Row],[Kitchen Set]],0)</f>
        <v>0</v>
      </c>
      <c r="AJ390" s="86">
        <f>IF(NFI_Expiration=1,IF($A390&lt;VLOOKUP(R$5,NFI,5,0),1,0)*Data_NFI_t[[#This Row],[Complementary Kit]],0)</f>
        <v>0</v>
      </c>
      <c r="AK390" s="86">
        <f>IF(NFI_Expiration=1,IF($A390&lt;VLOOKUP(S$5,NFI,5,0),1,0)*Data_NFI_t[[#This Row],[Plastic Bucket]],0)</f>
        <v>0</v>
      </c>
      <c r="AL390" s="86">
        <f>IF(NFI_Expiration=1,IF($A390&lt;VLOOKUP(T$5,NFI,5,0),1,0)*Data_NFI_t[[#This Row],[Jerry Can]],0)</f>
        <v>0</v>
      </c>
      <c r="AM390" s="105">
        <f>IF(NFI_Expiration=1,IF($A390&lt;VLOOKUP(U$5,NFI,5,0),1,0)*Data_NFI_t[[#This Row],[Plastic Mat]],0)*IF(Data_NFI_t[[#This Row],[Distribution Date]]&gt;"01-06-2015",1,2.5)</f>
        <v>0</v>
      </c>
      <c r="AN390" s="734">
        <f>IF(NFI_Expiration=1,IF($A390&lt;VLOOKUP(V$5,NFI,5,0),1,0)*Data_NFI_t[[#This Row],[Adult Clothes]],0)</f>
        <v>0</v>
      </c>
      <c r="AO390" s="105">
        <f>IF(NFI_Expiration=1,IF($A390&lt;VLOOKUP(W$5,NFI,5,0),1,0)*Data_NFI_t[[#This Row],[Children Clothes]],0)</f>
        <v>0</v>
      </c>
      <c r="AP390" s="105">
        <f>IF(NFI_Expiration=1,IF($A390&lt;VLOOKUP(X$5,NFI,5,0),1,0)*Data_NFI_t[[#This Row],[Sewing Kit]],0)</f>
        <v>0</v>
      </c>
      <c r="AQ390" s="734">
        <f>IF(NFI_Expiration=1,IF($A390&lt;VLOOKUP(X$5,NFI,5,0),1,0)*Data_NFI_t[[#This Row],[Solar Lantern]],0)</f>
        <v>0</v>
      </c>
      <c r="AR390" s="105" t="str">
        <f ca="1">IFERROR(OFFSET(Camp_List[P_Code],MATCH(Data_NFI_t[[#This Row],[Camp Name]],Camp_List[Camp Name],0)-1,0,1,1),"")</f>
        <v>MMR012CMP042</v>
      </c>
      <c r="AS390" s="421" t="str">
        <f ca="1">IFERROR(OFFSET(Camp_List[Status],MATCH(Data_NFI_t[[#This Row],[Camp Name]],Camp_List[Camp Name],0)-1,0,1,1),"")</f>
        <v>Open</v>
      </c>
      <c r="AT390" s="105"/>
    </row>
    <row r="391" spans="1:46" s="78" customFormat="1" ht="19.5" customHeight="1" x14ac:dyDescent="0.25">
      <c r="A391" s="208">
        <f t="shared" si="6"/>
        <v>63.833333333333336</v>
      </c>
      <c r="B391" s="208">
        <f>YEAR(Data_NFI_t[[#This Row],[Distribution Date]])</f>
        <v>2013</v>
      </c>
      <c r="C391" s="744">
        <v>41275</v>
      </c>
      <c r="D391" s="402" t="s">
        <v>475</v>
      </c>
      <c r="E391" s="401" t="s">
        <v>475</v>
      </c>
      <c r="F391" s="402" t="s">
        <v>7</v>
      </c>
      <c r="G391" s="670" t="s">
        <v>17</v>
      </c>
      <c r="H391" s="670" t="s">
        <v>74</v>
      </c>
      <c r="I391" s="670">
        <v>80</v>
      </c>
      <c r="J391" s="670"/>
      <c r="K391" s="670"/>
      <c r="L391" s="42"/>
      <c r="M391" s="42"/>
      <c r="N391" s="42"/>
      <c r="O391" s="42"/>
      <c r="P391" s="42"/>
      <c r="Q391" s="42"/>
      <c r="R391" s="42"/>
      <c r="S391" s="42"/>
      <c r="T391" s="419"/>
      <c r="U391" s="42"/>
      <c r="V391" s="42"/>
      <c r="W391" s="42"/>
      <c r="X391" s="42"/>
      <c r="Y391" s="42"/>
      <c r="Z391" s="42"/>
      <c r="AA391" s="42"/>
      <c r="AB391" s="42"/>
      <c r="AC391" s="105">
        <f>IF(NFI_Expiration=1,IF($A391&lt;VLOOKUP(I$5,NFI,5,0),1,0)*Data_NFI_t[[#This Row],[Hygiene Kit]],0)</f>
        <v>0</v>
      </c>
      <c r="AD391" s="105">
        <f>IF(NFI_Expiration=1,IF($A391&lt;VLOOKUP(L$5,NFI,5,0),1,0)*Data_NFI_t[[#This Row],[NFI Core Kit]],0)</f>
        <v>0</v>
      </c>
      <c r="AE391" s="86">
        <f>IF(NFI_Expiration=1,IF($A391&lt;VLOOKUP(M$5,NFI,5,0),1,0)*Data_NFI_t[[#This Row],[Sanitary Kit]],0)</f>
        <v>0</v>
      </c>
      <c r="AF391" s="86">
        <f>IF(NFI_Expiration=1,IF($A391&lt;VLOOKUP(N$5,NFI,5,0),1,0)*Data_NFI_t[[#This Row],[Mosquito net]],0)</f>
        <v>0</v>
      </c>
      <c r="AG391" s="86">
        <f>IF(NFI_Expiration=1,IF($A391&lt;VLOOKUP(O$5,NFI,5,0),1,0)*Data_NFI_t[[#This Row],[Tarpaulin]],0)</f>
        <v>0</v>
      </c>
      <c r="AH391" s="86">
        <f>IF(NFI_Expiration=1,IF($A391&lt;VLOOKUP(P$5,NFI,5,0),1,0)*Data_NFI_t[[#This Row],[Blanket]],0)</f>
        <v>0</v>
      </c>
      <c r="AI391" s="86">
        <f>IF(NFI_Expiration=1,IF($A391&lt;VLOOKUP(Q$5,NFI,5,0),1,0)*Data_NFI_t[[#This Row],[Kitchen Set]],0)</f>
        <v>0</v>
      </c>
      <c r="AJ391" s="86">
        <f>IF(NFI_Expiration=1,IF($A391&lt;VLOOKUP(R$5,NFI,5,0),1,0)*Data_NFI_t[[#This Row],[Complementary Kit]],0)</f>
        <v>0</v>
      </c>
      <c r="AK391" s="86">
        <f>IF(NFI_Expiration=1,IF($A391&lt;VLOOKUP(S$5,NFI,5,0),1,0)*Data_NFI_t[[#This Row],[Plastic Bucket]],0)</f>
        <v>0</v>
      </c>
      <c r="AL391" s="86">
        <f>IF(NFI_Expiration=1,IF($A391&lt;VLOOKUP(T$5,NFI,5,0),1,0)*Data_NFI_t[[#This Row],[Jerry Can]],0)</f>
        <v>0</v>
      </c>
      <c r="AM391" s="105">
        <f>IF(NFI_Expiration=1,IF($A391&lt;VLOOKUP(U$5,NFI,5,0),1,0)*Data_NFI_t[[#This Row],[Plastic Mat]],0)*IF(Data_NFI_t[[#This Row],[Distribution Date]]&gt;"01-06-2015",1,2.5)</f>
        <v>0</v>
      </c>
      <c r="AN391" s="734">
        <f>IF(NFI_Expiration=1,IF($A391&lt;VLOOKUP(V$5,NFI,5,0),1,0)*Data_NFI_t[[#This Row],[Adult Clothes]],0)</f>
        <v>0</v>
      </c>
      <c r="AO391" s="105">
        <f>IF(NFI_Expiration=1,IF($A391&lt;VLOOKUP(W$5,NFI,5,0),1,0)*Data_NFI_t[[#This Row],[Children Clothes]],0)</f>
        <v>0</v>
      </c>
      <c r="AP391" s="105">
        <f>IF(NFI_Expiration=1,IF($A391&lt;VLOOKUP(X$5,NFI,5,0),1,0)*Data_NFI_t[[#This Row],[Sewing Kit]],0)</f>
        <v>0</v>
      </c>
      <c r="AQ391" s="734">
        <f>IF(NFI_Expiration=1,IF($A391&lt;VLOOKUP(X$5,NFI,5,0),1,0)*Data_NFI_t[[#This Row],[Solar Lantern]],0)</f>
        <v>0</v>
      </c>
      <c r="AR391" s="105" t="str">
        <f ca="1">IFERROR(OFFSET(Camp_List[P_Code],MATCH(Data_NFI_t[[#This Row],[Camp Name]],Camp_List[Camp Name],0)-1,0,1,1),"")</f>
        <v>MMR012CMP093</v>
      </c>
      <c r="AS391" s="421" t="str">
        <f ca="1">IFERROR(OFFSET(Camp_List[Status],MATCH(Data_NFI_t[[#This Row],[Camp Name]],Camp_List[Camp Name],0)-1,0,1,1),"")</f>
        <v>Relocated</v>
      </c>
      <c r="AT391" s="105"/>
    </row>
    <row r="392" spans="1:46" s="78" customFormat="1" ht="19.5" customHeight="1" x14ac:dyDescent="0.25">
      <c r="A392" s="208">
        <f t="shared" si="6"/>
        <v>63.833333333333336</v>
      </c>
      <c r="B392" s="208">
        <f>YEAR(Data_NFI_t[[#This Row],[Distribution Date]])</f>
        <v>2013</v>
      </c>
      <c r="C392" s="744">
        <v>41275</v>
      </c>
      <c r="D392" s="402" t="s">
        <v>475</v>
      </c>
      <c r="E392" s="401" t="s">
        <v>475</v>
      </c>
      <c r="F392" s="402" t="s">
        <v>7</v>
      </c>
      <c r="G392" s="670" t="s">
        <v>11</v>
      </c>
      <c r="H392" s="670" t="s">
        <v>33</v>
      </c>
      <c r="I392" s="670">
        <v>50</v>
      </c>
      <c r="J392" s="670"/>
      <c r="K392" s="670"/>
      <c r="L392" s="42"/>
      <c r="M392" s="42"/>
      <c r="N392" s="42"/>
      <c r="O392" s="42"/>
      <c r="P392" s="42"/>
      <c r="Q392" s="42"/>
      <c r="R392" s="42"/>
      <c r="S392" s="42"/>
      <c r="T392" s="419"/>
      <c r="U392" s="42"/>
      <c r="V392" s="42"/>
      <c r="W392" s="42"/>
      <c r="X392" s="42"/>
      <c r="Y392" s="42"/>
      <c r="Z392" s="42"/>
      <c r="AA392" s="42"/>
      <c r="AB392" s="42"/>
      <c r="AC392" s="105">
        <f>IF(NFI_Expiration=1,IF($A392&lt;VLOOKUP(I$5,NFI,5,0),1,0)*Data_NFI_t[[#This Row],[Hygiene Kit]],0)</f>
        <v>0</v>
      </c>
      <c r="AD392" s="105">
        <f>IF(NFI_Expiration=1,IF($A392&lt;VLOOKUP(L$5,NFI,5,0),1,0)*Data_NFI_t[[#This Row],[NFI Core Kit]],0)</f>
        <v>0</v>
      </c>
      <c r="AE392" s="86">
        <f>IF(NFI_Expiration=1,IF($A392&lt;VLOOKUP(M$5,NFI,5,0),1,0)*Data_NFI_t[[#This Row],[Sanitary Kit]],0)</f>
        <v>0</v>
      </c>
      <c r="AF392" s="86">
        <f>IF(NFI_Expiration=1,IF($A392&lt;VLOOKUP(N$5,NFI,5,0),1,0)*Data_NFI_t[[#This Row],[Mosquito net]],0)</f>
        <v>0</v>
      </c>
      <c r="AG392" s="86">
        <f>IF(NFI_Expiration=1,IF($A392&lt;VLOOKUP(O$5,NFI,5,0),1,0)*Data_NFI_t[[#This Row],[Tarpaulin]],0)</f>
        <v>0</v>
      </c>
      <c r="AH392" s="86">
        <f>IF(NFI_Expiration=1,IF($A392&lt;VLOOKUP(P$5,NFI,5,0),1,0)*Data_NFI_t[[#This Row],[Blanket]],0)</f>
        <v>0</v>
      </c>
      <c r="AI392" s="86">
        <f>IF(NFI_Expiration=1,IF($A392&lt;VLOOKUP(Q$5,NFI,5,0),1,0)*Data_NFI_t[[#This Row],[Kitchen Set]],0)</f>
        <v>0</v>
      </c>
      <c r="AJ392" s="86">
        <f>IF(NFI_Expiration=1,IF($A392&lt;VLOOKUP(R$5,NFI,5,0),1,0)*Data_NFI_t[[#This Row],[Complementary Kit]],0)</f>
        <v>0</v>
      </c>
      <c r="AK392" s="86">
        <f>IF(NFI_Expiration=1,IF($A392&lt;VLOOKUP(S$5,NFI,5,0),1,0)*Data_NFI_t[[#This Row],[Plastic Bucket]],0)</f>
        <v>0</v>
      </c>
      <c r="AL392" s="86">
        <f>IF(NFI_Expiration=1,IF($A392&lt;VLOOKUP(T$5,NFI,5,0),1,0)*Data_NFI_t[[#This Row],[Jerry Can]],0)</f>
        <v>0</v>
      </c>
      <c r="AM392" s="105">
        <f>IF(NFI_Expiration=1,IF($A392&lt;VLOOKUP(U$5,NFI,5,0),1,0)*Data_NFI_t[[#This Row],[Plastic Mat]],0)*IF(Data_NFI_t[[#This Row],[Distribution Date]]&gt;"01-06-2015",1,2.5)</f>
        <v>0</v>
      </c>
      <c r="AN392" s="734">
        <f>IF(NFI_Expiration=1,IF($A392&lt;VLOOKUP(V$5,NFI,5,0),1,0)*Data_NFI_t[[#This Row],[Adult Clothes]],0)</f>
        <v>0</v>
      </c>
      <c r="AO392" s="105">
        <f>IF(NFI_Expiration=1,IF($A392&lt;VLOOKUP(W$5,NFI,5,0),1,0)*Data_NFI_t[[#This Row],[Children Clothes]],0)</f>
        <v>0</v>
      </c>
      <c r="AP392" s="105">
        <f>IF(NFI_Expiration=1,IF($A392&lt;VLOOKUP(X$5,NFI,5,0),1,0)*Data_NFI_t[[#This Row],[Sewing Kit]],0)</f>
        <v>0</v>
      </c>
      <c r="AQ392" s="734">
        <f>IF(NFI_Expiration=1,IF($A392&lt;VLOOKUP(X$5,NFI,5,0),1,0)*Data_NFI_t[[#This Row],[Solar Lantern]],0)</f>
        <v>0</v>
      </c>
      <c r="AR392" s="105" t="str">
        <f ca="1">IFERROR(OFFSET(Camp_List[P_Code],MATCH(Data_NFI_t[[#This Row],[Camp Name]],Camp_List[Camp Name],0)-1,0,1,1),"")</f>
        <v>MMR012CMP011</v>
      </c>
      <c r="AS392" s="421" t="str">
        <f ca="1">IFERROR(OFFSET(Camp_List[Status],MATCH(Data_NFI_t[[#This Row],[Camp Name]],Camp_List[Camp Name],0)-1,0,1,1),"")</f>
        <v>Close</v>
      </c>
      <c r="AT392" s="105"/>
    </row>
    <row r="393" spans="1:46" s="78" customFormat="1" ht="19.5" customHeight="1" x14ac:dyDescent="0.25">
      <c r="A393" s="208">
        <f t="shared" si="6"/>
        <v>63.833333333333336</v>
      </c>
      <c r="B393" s="208">
        <f>YEAR(Data_NFI_t[[#This Row],[Distribution Date]])</f>
        <v>2013</v>
      </c>
      <c r="C393" s="744">
        <v>41275</v>
      </c>
      <c r="D393" s="402" t="s">
        <v>475</v>
      </c>
      <c r="E393" s="401" t="s">
        <v>475</v>
      </c>
      <c r="F393" s="402" t="s">
        <v>7</v>
      </c>
      <c r="G393" s="670" t="s">
        <v>17</v>
      </c>
      <c r="H393" s="670" t="s">
        <v>76</v>
      </c>
      <c r="I393" s="670">
        <v>220</v>
      </c>
      <c r="J393" s="670"/>
      <c r="K393" s="670"/>
      <c r="L393" s="42"/>
      <c r="M393" s="42"/>
      <c r="N393" s="42"/>
      <c r="O393" s="42"/>
      <c r="P393" s="42"/>
      <c r="Q393" s="42"/>
      <c r="R393" s="42"/>
      <c r="S393" s="42"/>
      <c r="T393" s="419"/>
      <c r="U393" s="42"/>
      <c r="V393" s="42"/>
      <c r="W393" s="42"/>
      <c r="X393" s="42"/>
      <c r="Y393" s="42"/>
      <c r="Z393" s="42"/>
      <c r="AA393" s="42"/>
      <c r="AB393" s="42"/>
      <c r="AC393" s="105">
        <f>IF(NFI_Expiration=1,IF($A393&lt;VLOOKUP(I$5,NFI,5,0),1,0)*Data_NFI_t[[#This Row],[Hygiene Kit]],0)</f>
        <v>0</v>
      </c>
      <c r="AD393" s="105">
        <f>IF(NFI_Expiration=1,IF($A393&lt;VLOOKUP(L$5,NFI,5,0),1,0)*Data_NFI_t[[#This Row],[NFI Core Kit]],0)</f>
        <v>0</v>
      </c>
      <c r="AE393" s="86">
        <f>IF(NFI_Expiration=1,IF($A393&lt;VLOOKUP(M$5,NFI,5,0),1,0)*Data_NFI_t[[#This Row],[Sanitary Kit]],0)</f>
        <v>0</v>
      </c>
      <c r="AF393" s="86">
        <f>IF(NFI_Expiration=1,IF($A393&lt;VLOOKUP(N$5,NFI,5,0),1,0)*Data_NFI_t[[#This Row],[Mosquito net]],0)</f>
        <v>0</v>
      </c>
      <c r="AG393" s="86">
        <f>IF(NFI_Expiration=1,IF($A393&lt;VLOOKUP(O$5,NFI,5,0),1,0)*Data_NFI_t[[#This Row],[Tarpaulin]],0)</f>
        <v>0</v>
      </c>
      <c r="AH393" s="86">
        <f>IF(NFI_Expiration=1,IF($A393&lt;VLOOKUP(P$5,NFI,5,0),1,0)*Data_NFI_t[[#This Row],[Blanket]],0)</f>
        <v>0</v>
      </c>
      <c r="AI393" s="86">
        <f>IF(NFI_Expiration=1,IF($A393&lt;VLOOKUP(Q$5,NFI,5,0),1,0)*Data_NFI_t[[#This Row],[Kitchen Set]],0)</f>
        <v>0</v>
      </c>
      <c r="AJ393" s="86">
        <f>IF(NFI_Expiration=1,IF($A393&lt;VLOOKUP(R$5,NFI,5,0),1,0)*Data_NFI_t[[#This Row],[Complementary Kit]],0)</f>
        <v>0</v>
      </c>
      <c r="AK393" s="86">
        <f>IF(NFI_Expiration=1,IF($A393&lt;VLOOKUP(S$5,NFI,5,0),1,0)*Data_NFI_t[[#This Row],[Plastic Bucket]],0)</f>
        <v>0</v>
      </c>
      <c r="AL393" s="86">
        <f>IF(NFI_Expiration=1,IF($A393&lt;VLOOKUP(T$5,NFI,5,0),1,0)*Data_NFI_t[[#This Row],[Jerry Can]],0)</f>
        <v>0</v>
      </c>
      <c r="AM393" s="105">
        <f>IF(NFI_Expiration=1,IF($A393&lt;VLOOKUP(U$5,NFI,5,0),1,0)*Data_NFI_t[[#This Row],[Plastic Mat]],0)*IF(Data_NFI_t[[#This Row],[Distribution Date]]&gt;"01-06-2015",1,2.5)</f>
        <v>0</v>
      </c>
      <c r="AN393" s="734">
        <f>IF(NFI_Expiration=1,IF($A393&lt;VLOOKUP(V$5,NFI,5,0),1,0)*Data_NFI_t[[#This Row],[Adult Clothes]],0)</f>
        <v>0</v>
      </c>
      <c r="AO393" s="105">
        <f>IF(NFI_Expiration=1,IF($A393&lt;VLOOKUP(W$5,NFI,5,0),1,0)*Data_NFI_t[[#This Row],[Children Clothes]],0)</f>
        <v>0</v>
      </c>
      <c r="AP393" s="105">
        <f>IF(NFI_Expiration=1,IF($A393&lt;VLOOKUP(X$5,NFI,5,0),1,0)*Data_NFI_t[[#This Row],[Sewing Kit]],0)</f>
        <v>0</v>
      </c>
      <c r="AQ393" s="734">
        <f>IF(NFI_Expiration=1,IF($A393&lt;VLOOKUP(X$5,NFI,5,0),1,0)*Data_NFI_t[[#This Row],[Solar Lantern]],0)</f>
        <v>0</v>
      </c>
      <c r="AR393" s="105" t="str">
        <f ca="1">IFERROR(OFFSET(Camp_List[P_Code],MATCH(Data_NFI_t[[#This Row],[Camp Name]],Camp_List[Camp Name],0)-1,0,1,1),"")</f>
        <v>MMR012CMP056</v>
      </c>
      <c r="AS393" s="421" t="str">
        <f ca="1">IFERROR(OFFSET(Camp_List[Status],MATCH(Data_NFI_t[[#This Row],[Camp Name]],Camp_List[Camp Name],0)-1,0,1,1),"")</f>
        <v>Relocated</v>
      </c>
      <c r="AT393" s="105"/>
    </row>
    <row r="394" spans="1:46" s="78" customFormat="1" ht="19.5" customHeight="1" x14ac:dyDescent="0.25">
      <c r="A394" s="208">
        <f t="shared" si="6"/>
        <v>63.833333333333336</v>
      </c>
      <c r="B394" s="208">
        <f>YEAR(Data_NFI_t[[#This Row],[Distribution Date]])</f>
        <v>2013</v>
      </c>
      <c r="C394" s="744">
        <v>41275</v>
      </c>
      <c r="D394" s="402" t="s">
        <v>1025</v>
      </c>
      <c r="E394" s="401" t="s">
        <v>277</v>
      </c>
      <c r="F394" s="402" t="s">
        <v>7</v>
      </c>
      <c r="G394" s="670" t="s">
        <v>17</v>
      </c>
      <c r="H394" s="670" t="s">
        <v>76</v>
      </c>
      <c r="I394" s="670">
        <v>220</v>
      </c>
      <c r="J394" s="670"/>
      <c r="K394" s="670"/>
      <c r="L394" s="42"/>
      <c r="M394" s="42"/>
      <c r="N394" s="42"/>
      <c r="O394" s="42"/>
      <c r="P394" s="42"/>
      <c r="Q394" s="42"/>
      <c r="R394" s="42"/>
      <c r="S394" s="42"/>
      <c r="T394" s="419"/>
      <c r="U394" s="42"/>
      <c r="V394" s="42"/>
      <c r="W394" s="42"/>
      <c r="X394" s="42"/>
      <c r="Y394" s="42"/>
      <c r="Z394" s="42"/>
      <c r="AA394" s="42"/>
      <c r="AB394" s="42"/>
      <c r="AC394" s="105">
        <f>IF(NFI_Expiration=1,IF($A394&lt;VLOOKUP(I$5,NFI,5,0),1,0)*Data_NFI_t[[#This Row],[Hygiene Kit]],0)</f>
        <v>0</v>
      </c>
      <c r="AD394" s="105">
        <f>IF(NFI_Expiration=1,IF($A394&lt;VLOOKUP(L$5,NFI,5,0),1,0)*Data_NFI_t[[#This Row],[NFI Core Kit]],0)</f>
        <v>0</v>
      </c>
      <c r="AE394" s="86">
        <f>IF(NFI_Expiration=1,IF($A394&lt;VLOOKUP(M$5,NFI,5,0),1,0)*Data_NFI_t[[#This Row],[Sanitary Kit]],0)</f>
        <v>0</v>
      </c>
      <c r="AF394" s="86">
        <f>IF(NFI_Expiration=1,IF($A394&lt;VLOOKUP(N$5,NFI,5,0),1,0)*Data_NFI_t[[#This Row],[Mosquito net]],0)</f>
        <v>0</v>
      </c>
      <c r="AG394" s="86">
        <f>IF(NFI_Expiration=1,IF($A394&lt;VLOOKUP(O$5,NFI,5,0),1,0)*Data_NFI_t[[#This Row],[Tarpaulin]],0)</f>
        <v>0</v>
      </c>
      <c r="AH394" s="86">
        <f>IF(NFI_Expiration=1,IF($A394&lt;VLOOKUP(P$5,NFI,5,0),1,0)*Data_NFI_t[[#This Row],[Blanket]],0)</f>
        <v>0</v>
      </c>
      <c r="AI394" s="86">
        <f>IF(NFI_Expiration=1,IF($A394&lt;VLOOKUP(Q$5,NFI,5,0),1,0)*Data_NFI_t[[#This Row],[Kitchen Set]],0)</f>
        <v>0</v>
      </c>
      <c r="AJ394" s="86">
        <f>IF(NFI_Expiration=1,IF($A394&lt;VLOOKUP(R$5,NFI,5,0),1,0)*Data_NFI_t[[#This Row],[Complementary Kit]],0)</f>
        <v>0</v>
      </c>
      <c r="AK394" s="86">
        <f>IF(NFI_Expiration=1,IF($A394&lt;VLOOKUP(S$5,NFI,5,0),1,0)*Data_NFI_t[[#This Row],[Plastic Bucket]],0)</f>
        <v>0</v>
      </c>
      <c r="AL394" s="86">
        <f>IF(NFI_Expiration=1,IF($A394&lt;VLOOKUP(T$5,NFI,5,0),1,0)*Data_NFI_t[[#This Row],[Jerry Can]],0)</f>
        <v>0</v>
      </c>
      <c r="AM394" s="105">
        <f>IF(NFI_Expiration=1,IF($A394&lt;VLOOKUP(U$5,NFI,5,0),1,0)*Data_NFI_t[[#This Row],[Plastic Mat]],0)*IF(Data_NFI_t[[#This Row],[Distribution Date]]&gt;"01-06-2015",1,2.5)</f>
        <v>0</v>
      </c>
      <c r="AN394" s="734">
        <f>IF(NFI_Expiration=1,IF($A394&lt;VLOOKUP(V$5,NFI,5,0),1,0)*Data_NFI_t[[#This Row],[Adult Clothes]],0)</f>
        <v>0</v>
      </c>
      <c r="AO394" s="105">
        <f>IF(NFI_Expiration=1,IF($A394&lt;VLOOKUP(W$5,NFI,5,0),1,0)*Data_NFI_t[[#This Row],[Children Clothes]],0)</f>
        <v>0</v>
      </c>
      <c r="AP394" s="105">
        <f>IF(NFI_Expiration=1,IF($A394&lt;VLOOKUP(X$5,NFI,5,0),1,0)*Data_NFI_t[[#This Row],[Sewing Kit]],0)</f>
        <v>0</v>
      </c>
      <c r="AQ394" s="734">
        <f>IF(NFI_Expiration=1,IF($A394&lt;VLOOKUP(X$5,NFI,5,0),1,0)*Data_NFI_t[[#This Row],[Solar Lantern]],0)</f>
        <v>0</v>
      </c>
      <c r="AR394" s="105" t="str">
        <f ca="1">IFERROR(OFFSET(Camp_List[P_Code],MATCH(Data_NFI_t[[#This Row],[Camp Name]],Camp_List[Camp Name],0)-1,0,1,1),"")</f>
        <v>MMR012CMP056</v>
      </c>
      <c r="AS394" s="421" t="str">
        <f ca="1">IFERROR(OFFSET(Camp_List[Status],MATCH(Data_NFI_t[[#This Row],[Camp Name]],Camp_List[Camp Name],0)-1,0,1,1),"")</f>
        <v>Relocated</v>
      </c>
      <c r="AT394" s="105"/>
    </row>
    <row r="395" spans="1:46" s="78" customFormat="1" ht="19.5" customHeight="1" x14ac:dyDescent="0.25">
      <c r="A395" s="208">
        <f t="shared" si="6"/>
        <v>63.833333333333336</v>
      </c>
      <c r="B395" s="208">
        <f>YEAR(Data_NFI_t[[#This Row],[Distribution Date]])</f>
        <v>2013</v>
      </c>
      <c r="C395" s="744">
        <v>41275</v>
      </c>
      <c r="D395" s="402" t="s">
        <v>1025</v>
      </c>
      <c r="E395" s="401" t="s">
        <v>277</v>
      </c>
      <c r="F395" s="402" t="s">
        <v>7</v>
      </c>
      <c r="G395" s="670" t="s">
        <v>17</v>
      </c>
      <c r="H395" s="670" t="s">
        <v>66</v>
      </c>
      <c r="I395" s="670">
        <v>2939</v>
      </c>
      <c r="J395" s="670"/>
      <c r="K395" s="670"/>
      <c r="L395" s="42"/>
      <c r="M395" s="42"/>
      <c r="N395" s="42"/>
      <c r="O395" s="42"/>
      <c r="P395" s="42"/>
      <c r="Q395" s="42"/>
      <c r="R395" s="42"/>
      <c r="S395" s="42"/>
      <c r="T395" s="419"/>
      <c r="U395" s="42"/>
      <c r="V395" s="42"/>
      <c r="W395" s="42"/>
      <c r="X395" s="42"/>
      <c r="Y395" s="42"/>
      <c r="Z395" s="42"/>
      <c r="AA395" s="42"/>
      <c r="AB395" s="42"/>
      <c r="AC395" s="105">
        <f>IF(NFI_Expiration=1,IF($A395&lt;VLOOKUP(I$5,NFI,5,0),1,0)*Data_NFI_t[[#This Row],[Hygiene Kit]],0)</f>
        <v>0</v>
      </c>
      <c r="AD395" s="105">
        <f>IF(NFI_Expiration=1,IF($A395&lt;VLOOKUP(L$5,NFI,5,0),1,0)*Data_NFI_t[[#This Row],[NFI Core Kit]],0)</f>
        <v>0</v>
      </c>
      <c r="AE395" s="86">
        <f>IF(NFI_Expiration=1,IF($A395&lt;VLOOKUP(M$5,NFI,5,0),1,0)*Data_NFI_t[[#This Row],[Sanitary Kit]],0)</f>
        <v>0</v>
      </c>
      <c r="AF395" s="86">
        <f>IF(NFI_Expiration=1,IF($A395&lt;VLOOKUP(N$5,NFI,5,0),1,0)*Data_NFI_t[[#This Row],[Mosquito net]],0)</f>
        <v>0</v>
      </c>
      <c r="AG395" s="86">
        <f>IF(NFI_Expiration=1,IF($A395&lt;VLOOKUP(O$5,NFI,5,0),1,0)*Data_NFI_t[[#This Row],[Tarpaulin]],0)</f>
        <v>0</v>
      </c>
      <c r="AH395" s="86">
        <f>IF(NFI_Expiration=1,IF($A395&lt;VLOOKUP(P$5,NFI,5,0),1,0)*Data_NFI_t[[#This Row],[Blanket]],0)</f>
        <v>0</v>
      </c>
      <c r="AI395" s="86">
        <f>IF(NFI_Expiration=1,IF($A395&lt;VLOOKUP(Q$5,NFI,5,0),1,0)*Data_NFI_t[[#This Row],[Kitchen Set]],0)</f>
        <v>0</v>
      </c>
      <c r="AJ395" s="86">
        <f>IF(NFI_Expiration=1,IF($A395&lt;VLOOKUP(R$5,NFI,5,0),1,0)*Data_NFI_t[[#This Row],[Complementary Kit]],0)</f>
        <v>0</v>
      </c>
      <c r="AK395" s="86">
        <f>IF(NFI_Expiration=1,IF($A395&lt;VLOOKUP(S$5,NFI,5,0),1,0)*Data_NFI_t[[#This Row],[Plastic Bucket]],0)</f>
        <v>0</v>
      </c>
      <c r="AL395" s="86">
        <f>IF(NFI_Expiration=1,IF($A395&lt;VLOOKUP(T$5,NFI,5,0),1,0)*Data_NFI_t[[#This Row],[Jerry Can]],0)</f>
        <v>0</v>
      </c>
      <c r="AM395" s="105">
        <f>IF(NFI_Expiration=1,IF($A395&lt;VLOOKUP(U$5,NFI,5,0),1,0)*Data_NFI_t[[#This Row],[Plastic Mat]],0)*IF(Data_NFI_t[[#This Row],[Distribution Date]]&gt;"01-06-2015",1,2.5)</f>
        <v>0</v>
      </c>
      <c r="AN395" s="734">
        <f>IF(NFI_Expiration=1,IF($A395&lt;VLOOKUP(V$5,NFI,5,0),1,0)*Data_NFI_t[[#This Row],[Adult Clothes]],0)</f>
        <v>0</v>
      </c>
      <c r="AO395" s="105">
        <f>IF(NFI_Expiration=1,IF($A395&lt;VLOOKUP(W$5,NFI,5,0),1,0)*Data_NFI_t[[#This Row],[Children Clothes]],0)</f>
        <v>0</v>
      </c>
      <c r="AP395" s="105">
        <f>IF(NFI_Expiration=1,IF($A395&lt;VLOOKUP(X$5,NFI,5,0),1,0)*Data_NFI_t[[#This Row],[Sewing Kit]],0)</f>
        <v>0</v>
      </c>
      <c r="AQ395" s="734">
        <f>IF(NFI_Expiration=1,IF($A395&lt;VLOOKUP(X$5,NFI,5,0),1,0)*Data_NFI_t[[#This Row],[Solar Lantern]],0)</f>
        <v>0</v>
      </c>
      <c r="AR395" s="105" t="str">
        <f ca="1">IFERROR(OFFSET(Camp_List[P_Code],MATCH(Data_NFI_t[[#This Row],[Camp Name]],Camp_List[Camp Name],0)-1,0,1,1),"")</f>
        <v>MMR012CMP046</v>
      </c>
      <c r="AS395" s="421" t="str">
        <f ca="1">IFERROR(OFFSET(Camp_List[Status],MATCH(Data_NFI_t[[#This Row],[Camp Name]],Camp_List[Camp Name],0)-1,0,1,1),"")</f>
        <v>Open</v>
      </c>
      <c r="AT395" s="105"/>
    </row>
    <row r="396" spans="1:46" s="78" customFormat="1" ht="19.5" customHeight="1" x14ac:dyDescent="0.25">
      <c r="A396" s="208">
        <f t="shared" si="6"/>
        <v>64.099999999999994</v>
      </c>
      <c r="B396" s="208">
        <f>YEAR(Data_NFI_t[[#This Row],[Distribution Date]])</f>
        <v>2012</v>
      </c>
      <c r="C396" s="744">
        <v>41267</v>
      </c>
      <c r="D396" s="402" t="s">
        <v>270</v>
      </c>
      <c r="E396" s="401"/>
      <c r="F396" s="402" t="s">
        <v>7</v>
      </c>
      <c r="G396" s="670" t="s">
        <v>13</v>
      </c>
      <c r="H396" s="670" t="s">
        <v>38</v>
      </c>
      <c r="I396" s="670"/>
      <c r="J396" s="670"/>
      <c r="K396" s="670"/>
      <c r="L396" s="42"/>
      <c r="M396" s="42"/>
      <c r="N396" s="42"/>
      <c r="O396" s="42">
        <v>758</v>
      </c>
      <c r="P396" s="42"/>
      <c r="Q396" s="42"/>
      <c r="R396" s="42"/>
      <c r="S396" s="42"/>
      <c r="T396" s="419"/>
      <c r="U396" s="42"/>
      <c r="V396" s="42"/>
      <c r="W396" s="42"/>
      <c r="X396" s="42"/>
      <c r="Y396" s="42"/>
      <c r="Z396" s="42"/>
      <c r="AA396" s="42"/>
      <c r="AB396" s="42"/>
      <c r="AC396" s="105">
        <f>IF(NFI_Expiration=1,IF($A396&lt;VLOOKUP(I$5,NFI,5,0),1,0)*Data_NFI_t[[#This Row],[Hygiene Kit]],0)</f>
        <v>0</v>
      </c>
      <c r="AD396" s="105">
        <f>IF(NFI_Expiration=1,IF($A396&lt;VLOOKUP(L$5,NFI,5,0),1,0)*Data_NFI_t[[#This Row],[NFI Core Kit]],0)</f>
        <v>0</v>
      </c>
      <c r="AE396" s="86">
        <f>IF(NFI_Expiration=1,IF($A396&lt;VLOOKUP(M$5,NFI,5,0),1,0)*Data_NFI_t[[#This Row],[Sanitary Kit]],0)</f>
        <v>0</v>
      </c>
      <c r="AF396" s="86">
        <f>IF(NFI_Expiration=1,IF($A396&lt;VLOOKUP(N$5,NFI,5,0),1,0)*Data_NFI_t[[#This Row],[Mosquito net]],0)</f>
        <v>0</v>
      </c>
      <c r="AG396" s="86">
        <f>IF(NFI_Expiration=1,IF($A396&lt;VLOOKUP(O$5,NFI,5,0),1,0)*Data_NFI_t[[#This Row],[Tarpaulin]],0)</f>
        <v>0</v>
      </c>
      <c r="AH396" s="86">
        <f>IF(NFI_Expiration=1,IF($A396&lt;VLOOKUP(P$5,NFI,5,0),1,0)*Data_NFI_t[[#This Row],[Blanket]],0)</f>
        <v>0</v>
      </c>
      <c r="AI396" s="86">
        <f>IF(NFI_Expiration=1,IF($A396&lt;VLOOKUP(Q$5,NFI,5,0),1,0)*Data_NFI_t[[#This Row],[Kitchen Set]],0)</f>
        <v>0</v>
      </c>
      <c r="AJ396" s="86">
        <f>IF(NFI_Expiration=1,IF($A396&lt;VLOOKUP(R$5,NFI,5,0),1,0)*Data_NFI_t[[#This Row],[Complementary Kit]],0)</f>
        <v>0</v>
      </c>
      <c r="AK396" s="86">
        <f>IF(NFI_Expiration=1,IF($A396&lt;VLOOKUP(S$5,NFI,5,0),1,0)*Data_NFI_t[[#This Row],[Plastic Bucket]],0)</f>
        <v>0</v>
      </c>
      <c r="AL396" s="86">
        <f>IF(NFI_Expiration=1,IF($A396&lt;VLOOKUP(T$5,NFI,5,0),1,0)*Data_NFI_t[[#This Row],[Jerry Can]],0)</f>
        <v>0</v>
      </c>
      <c r="AM396" s="105">
        <f>IF(NFI_Expiration=1,IF($A396&lt;VLOOKUP(U$5,NFI,5,0),1,0)*Data_NFI_t[[#This Row],[Plastic Mat]],0)*IF(Data_NFI_t[[#This Row],[Distribution Date]]&gt;"01-06-2015",1,2.5)</f>
        <v>0</v>
      </c>
      <c r="AN396" s="734">
        <f>IF(NFI_Expiration=1,IF($A396&lt;VLOOKUP(V$5,NFI,5,0),1,0)*Data_NFI_t[[#This Row],[Adult Clothes]],0)</f>
        <v>0</v>
      </c>
      <c r="AO396" s="105">
        <f>IF(NFI_Expiration=1,IF($A396&lt;VLOOKUP(W$5,NFI,5,0),1,0)*Data_NFI_t[[#This Row],[Children Clothes]],0)</f>
        <v>0</v>
      </c>
      <c r="AP396" s="105">
        <f>IF(NFI_Expiration=1,IF($A396&lt;VLOOKUP(X$5,NFI,5,0),1,0)*Data_NFI_t[[#This Row],[Sewing Kit]],0)</f>
        <v>0</v>
      </c>
      <c r="AQ396" s="734">
        <f>IF(NFI_Expiration=1,IF($A396&lt;VLOOKUP(X$5,NFI,5,0),1,0)*Data_NFI_t[[#This Row],[Solar Lantern]],0)</f>
        <v>0</v>
      </c>
      <c r="AR396" s="105" t="str">
        <f ca="1">IFERROR(OFFSET(Camp_List[P_Code],MATCH(Data_NFI_t[[#This Row],[Camp Name]],Camp_List[Camp Name],0)-1,0,1,1),"")</f>
        <v>MMR012CMP016</v>
      </c>
      <c r="AS396" s="421" t="str">
        <f ca="1">IFERROR(OFFSET(Camp_List[Status],MATCH(Data_NFI_t[[#This Row],[Camp Name]],Camp_List[Camp Name],0)-1,0,1,1),"")</f>
        <v>Open</v>
      </c>
      <c r="AT396" s="105"/>
    </row>
    <row r="397" spans="1:46" s="78" customFormat="1" ht="19.5" customHeight="1" x14ac:dyDescent="0.25">
      <c r="A397" s="208">
        <f t="shared" si="6"/>
        <v>64.099999999999994</v>
      </c>
      <c r="B397" s="208">
        <f>YEAR(Data_NFI_t[[#This Row],[Distribution Date]])</f>
        <v>2012</v>
      </c>
      <c r="C397" s="744">
        <v>41267</v>
      </c>
      <c r="D397" s="402" t="s">
        <v>270</v>
      </c>
      <c r="E397" s="401"/>
      <c r="F397" s="402" t="s">
        <v>7</v>
      </c>
      <c r="G397" s="670" t="s">
        <v>13</v>
      </c>
      <c r="H397" s="670" t="s">
        <v>39</v>
      </c>
      <c r="I397" s="670"/>
      <c r="J397" s="670"/>
      <c r="K397" s="670"/>
      <c r="L397" s="42"/>
      <c r="M397" s="42"/>
      <c r="N397" s="42"/>
      <c r="O397" s="42">
        <v>1306</v>
      </c>
      <c r="P397" s="42"/>
      <c r="Q397" s="42"/>
      <c r="R397" s="42"/>
      <c r="S397" s="42"/>
      <c r="T397" s="419"/>
      <c r="U397" s="42"/>
      <c r="V397" s="42"/>
      <c r="W397" s="42"/>
      <c r="X397" s="42"/>
      <c r="Y397" s="42"/>
      <c r="Z397" s="42"/>
      <c r="AA397" s="42"/>
      <c r="AB397" s="42"/>
      <c r="AC397" s="105">
        <f>IF(NFI_Expiration=1,IF($A397&lt;VLOOKUP(I$5,NFI,5,0),1,0)*Data_NFI_t[[#This Row],[Hygiene Kit]],0)</f>
        <v>0</v>
      </c>
      <c r="AD397" s="105">
        <f>IF(NFI_Expiration=1,IF($A397&lt;VLOOKUP(L$5,NFI,5,0),1,0)*Data_NFI_t[[#This Row],[NFI Core Kit]],0)</f>
        <v>0</v>
      </c>
      <c r="AE397" s="86">
        <f>IF(NFI_Expiration=1,IF($A397&lt;VLOOKUP(M$5,NFI,5,0),1,0)*Data_NFI_t[[#This Row],[Sanitary Kit]],0)</f>
        <v>0</v>
      </c>
      <c r="AF397" s="86">
        <f>IF(NFI_Expiration=1,IF($A397&lt;VLOOKUP(N$5,NFI,5,0),1,0)*Data_NFI_t[[#This Row],[Mosquito net]],0)</f>
        <v>0</v>
      </c>
      <c r="AG397" s="86">
        <f>IF(NFI_Expiration=1,IF($A397&lt;VLOOKUP(O$5,NFI,5,0),1,0)*Data_NFI_t[[#This Row],[Tarpaulin]],0)</f>
        <v>0</v>
      </c>
      <c r="AH397" s="86">
        <f>IF(NFI_Expiration=1,IF($A397&lt;VLOOKUP(P$5,NFI,5,0),1,0)*Data_NFI_t[[#This Row],[Blanket]],0)</f>
        <v>0</v>
      </c>
      <c r="AI397" s="86">
        <f>IF(NFI_Expiration=1,IF($A397&lt;VLOOKUP(Q$5,NFI,5,0),1,0)*Data_NFI_t[[#This Row],[Kitchen Set]],0)</f>
        <v>0</v>
      </c>
      <c r="AJ397" s="86">
        <f>IF(NFI_Expiration=1,IF($A397&lt;VLOOKUP(R$5,NFI,5,0),1,0)*Data_NFI_t[[#This Row],[Complementary Kit]],0)</f>
        <v>0</v>
      </c>
      <c r="AK397" s="86">
        <f>IF(NFI_Expiration=1,IF($A397&lt;VLOOKUP(S$5,NFI,5,0),1,0)*Data_NFI_t[[#This Row],[Plastic Bucket]],0)</f>
        <v>0</v>
      </c>
      <c r="AL397" s="86">
        <f>IF(NFI_Expiration=1,IF($A397&lt;VLOOKUP(T$5,NFI,5,0),1,0)*Data_NFI_t[[#This Row],[Jerry Can]],0)</f>
        <v>0</v>
      </c>
      <c r="AM397" s="105">
        <f>IF(NFI_Expiration=1,IF($A397&lt;VLOOKUP(U$5,NFI,5,0),1,0)*Data_NFI_t[[#This Row],[Plastic Mat]],0)*IF(Data_NFI_t[[#This Row],[Distribution Date]]&gt;"01-06-2015",1,2.5)</f>
        <v>0</v>
      </c>
      <c r="AN397" s="734">
        <f>IF(NFI_Expiration=1,IF($A397&lt;VLOOKUP(V$5,NFI,5,0),1,0)*Data_NFI_t[[#This Row],[Adult Clothes]],0)</f>
        <v>0</v>
      </c>
      <c r="AO397" s="105">
        <f>IF(NFI_Expiration=1,IF($A397&lt;VLOOKUP(W$5,NFI,5,0),1,0)*Data_NFI_t[[#This Row],[Children Clothes]],0)</f>
        <v>0</v>
      </c>
      <c r="AP397" s="105">
        <f>IF(NFI_Expiration=1,IF($A397&lt;VLOOKUP(X$5,NFI,5,0),1,0)*Data_NFI_t[[#This Row],[Sewing Kit]],0)</f>
        <v>0</v>
      </c>
      <c r="AQ397" s="734">
        <f>IF(NFI_Expiration=1,IF($A397&lt;VLOOKUP(X$5,NFI,5,0),1,0)*Data_NFI_t[[#This Row],[Solar Lantern]],0)</f>
        <v>0</v>
      </c>
      <c r="AR397" s="105" t="str">
        <f ca="1">IFERROR(OFFSET(Camp_List[P_Code],MATCH(Data_NFI_t[[#This Row],[Camp Name]],Camp_List[Camp Name],0)-1,0,1,1),"")</f>
        <v/>
      </c>
      <c r="AS397" s="421" t="str">
        <f ca="1">IFERROR(OFFSET(Camp_List[Status],MATCH(Data_NFI_t[[#This Row],[Camp Name]],Camp_List[Camp Name],0)-1,0,1,1),"")</f>
        <v/>
      </c>
      <c r="AT397" s="105"/>
    </row>
    <row r="398" spans="1:46" s="78" customFormat="1" ht="19.5" customHeight="1" x14ac:dyDescent="0.25">
      <c r="A398" s="208">
        <f t="shared" si="6"/>
        <v>64.099999999999994</v>
      </c>
      <c r="B398" s="208">
        <f>YEAR(Data_NFI_t[[#This Row],[Distribution Date]])</f>
        <v>2012</v>
      </c>
      <c r="C398" s="744">
        <v>41267</v>
      </c>
      <c r="D398" s="402" t="s">
        <v>270</v>
      </c>
      <c r="E398" s="401"/>
      <c r="F398" s="402" t="s">
        <v>7</v>
      </c>
      <c r="G398" s="670" t="s">
        <v>13</v>
      </c>
      <c r="H398" s="670" t="s">
        <v>41</v>
      </c>
      <c r="I398" s="670"/>
      <c r="J398" s="670"/>
      <c r="K398" s="670"/>
      <c r="L398" s="42"/>
      <c r="M398" s="42"/>
      <c r="N398" s="42"/>
      <c r="O398" s="42">
        <v>796</v>
      </c>
      <c r="P398" s="42"/>
      <c r="Q398" s="42"/>
      <c r="R398" s="42"/>
      <c r="S398" s="42"/>
      <c r="T398" s="419"/>
      <c r="U398" s="42"/>
      <c r="V398" s="42"/>
      <c r="W398" s="42"/>
      <c r="X398" s="42"/>
      <c r="Y398" s="42"/>
      <c r="Z398" s="42"/>
      <c r="AA398" s="42"/>
      <c r="AB398" s="42"/>
      <c r="AC398" s="105">
        <f>IF(NFI_Expiration=1,IF($A398&lt;VLOOKUP(I$5,NFI,5,0),1,0)*Data_NFI_t[[#This Row],[Hygiene Kit]],0)</f>
        <v>0</v>
      </c>
      <c r="AD398" s="105">
        <f>IF(NFI_Expiration=1,IF($A398&lt;VLOOKUP(L$5,NFI,5,0),1,0)*Data_NFI_t[[#This Row],[NFI Core Kit]],0)</f>
        <v>0</v>
      </c>
      <c r="AE398" s="86">
        <f>IF(NFI_Expiration=1,IF($A398&lt;VLOOKUP(M$5,NFI,5,0),1,0)*Data_NFI_t[[#This Row],[Sanitary Kit]],0)</f>
        <v>0</v>
      </c>
      <c r="AF398" s="86">
        <f>IF(NFI_Expiration=1,IF($A398&lt;VLOOKUP(N$5,NFI,5,0),1,0)*Data_NFI_t[[#This Row],[Mosquito net]],0)</f>
        <v>0</v>
      </c>
      <c r="AG398" s="86">
        <f>IF(NFI_Expiration=1,IF($A398&lt;VLOOKUP(O$5,NFI,5,0),1,0)*Data_NFI_t[[#This Row],[Tarpaulin]],0)</f>
        <v>0</v>
      </c>
      <c r="AH398" s="86">
        <f>IF(NFI_Expiration=1,IF($A398&lt;VLOOKUP(P$5,NFI,5,0),1,0)*Data_NFI_t[[#This Row],[Blanket]],0)</f>
        <v>0</v>
      </c>
      <c r="AI398" s="86">
        <f>IF(NFI_Expiration=1,IF($A398&lt;VLOOKUP(Q$5,NFI,5,0),1,0)*Data_NFI_t[[#This Row],[Kitchen Set]],0)</f>
        <v>0</v>
      </c>
      <c r="AJ398" s="86">
        <f>IF(NFI_Expiration=1,IF($A398&lt;VLOOKUP(R$5,NFI,5,0),1,0)*Data_NFI_t[[#This Row],[Complementary Kit]],0)</f>
        <v>0</v>
      </c>
      <c r="AK398" s="86">
        <f>IF(NFI_Expiration=1,IF($A398&lt;VLOOKUP(S$5,NFI,5,0),1,0)*Data_NFI_t[[#This Row],[Plastic Bucket]],0)</f>
        <v>0</v>
      </c>
      <c r="AL398" s="86">
        <f>IF(NFI_Expiration=1,IF($A398&lt;VLOOKUP(T$5,NFI,5,0),1,0)*Data_NFI_t[[#This Row],[Jerry Can]],0)</f>
        <v>0</v>
      </c>
      <c r="AM398" s="105">
        <f>IF(NFI_Expiration=1,IF($A398&lt;VLOOKUP(U$5,NFI,5,0),1,0)*Data_NFI_t[[#This Row],[Plastic Mat]],0)*IF(Data_NFI_t[[#This Row],[Distribution Date]]&gt;"01-06-2015",1,2.5)</f>
        <v>0</v>
      </c>
      <c r="AN398" s="734">
        <f>IF(NFI_Expiration=1,IF($A398&lt;VLOOKUP(V$5,NFI,5,0),1,0)*Data_NFI_t[[#This Row],[Adult Clothes]],0)</f>
        <v>0</v>
      </c>
      <c r="AO398" s="105">
        <f>IF(NFI_Expiration=1,IF($A398&lt;VLOOKUP(W$5,NFI,5,0),1,0)*Data_NFI_t[[#This Row],[Children Clothes]],0)</f>
        <v>0</v>
      </c>
      <c r="AP398" s="105">
        <f>IF(NFI_Expiration=1,IF($A398&lt;VLOOKUP(X$5,NFI,5,0),1,0)*Data_NFI_t[[#This Row],[Sewing Kit]],0)</f>
        <v>0</v>
      </c>
      <c r="AQ398" s="734">
        <f>IF(NFI_Expiration=1,IF($A398&lt;VLOOKUP(X$5,NFI,5,0),1,0)*Data_NFI_t[[#This Row],[Solar Lantern]],0)</f>
        <v>0</v>
      </c>
      <c r="AR398" s="105" t="str">
        <f ca="1">IFERROR(OFFSET(Camp_List[P_Code],MATCH(Data_NFI_t[[#This Row],[Camp Name]],Camp_List[Camp Name],0)-1,0,1,1),"")</f>
        <v>MMR012CMP019</v>
      </c>
      <c r="AS398" s="421" t="str">
        <f ca="1">IFERROR(OFFSET(Camp_List[Status],MATCH(Data_NFI_t[[#This Row],[Camp Name]],Camp_List[Camp Name],0)-1,0,1,1),"")</f>
        <v>Open</v>
      </c>
      <c r="AT398" s="105"/>
    </row>
    <row r="399" spans="1:46" s="78" customFormat="1" ht="19.5" customHeight="1" x14ac:dyDescent="0.25">
      <c r="A399" s="208">
        <f t="shared" si="6"/>
        <v>64.13333333333334</v>
      </c>
      <c r="B399" s="208">
        <f>YEAR(Data_NFI_t[[#This Row],[Distribution Date]])</f>
        <v>2012</v>
      </c>
      <c r="C399" s="744">
        <v>41266</v>
      </c>
      <c r="D399" s="402" t="s">
        <v>270</v>
      </c>
      <c r="E399" s="401"/>
      <c r="F399" s="402" t="s">
        <v>7</v>
      </c>
      <c r="G399" s="670" t="s">
        <v>18</v>
      </c>
      <c r="H399" s="670"/>
      <c r="I399" s="670"/>
      <c r="J399" s="670"/>
      <c r="K399" s="670"/>
      <c r="L399" s="42"/>
      <c r="M399" s="42">
        <v>3000</v>
      </c>
      <c r="N399" s="42"/>
      <c r="O399" s="42"/>
      <c r="P399" s="42"/>
      <c r="Q399" s="42"/>
      <c r="R399" s="42"/>
      <c r="S399" s="42"/>
      <c r="T399" s="419"/>
      <c r="U399" s="42"/>
      <c r="V399" s="42"/>
      <c r="W399" s="42"/>
      <c r="X399" s="42"/>
      <c r="Y399" s="42"/>
      <c r="Z399" s="42"/>
      <c r="AA399" s="42"/>
      <c r="AB399" s="42"/>
      <c r="AC399" s="105">
        <f>IF(NFI_Expiration=1,IF($A399&lt;VLOOKUP(I$5,NFI,5,0),1,0)*Data_NFI_t[[#This Row],[Hygiene Kit]],0)</f>
        <v>0</v>
      </c>
      <c r="AD399" s="105">
        <f>IF(NFI_Expiration=1,IF($A399&lt;VLOOKUP(L$5,NFI,5,0),1,0)*Data_NFI_t[[#This Row],[NFI Core Kit]],0)</f>
        <v>0</v>
      </c>
      <c r="AE399" s="86">
        <f>IF(NFI_Expiration=1,IF($A399&lt;VLOOKUP(M$5,NFI,5,0),1,0)*Data_NFI_t[[#This Row],[Sanitary Kit]],0)</f>
        <v>0</v>
      </c>
      <c r="AF399" s="86">
        <f>IF(NFI_Expiration=1,IF($A399&lt;VLOOKUP(N$5,NFI,5,0),1,0)*Data_NFI_t[[#This Row],[Mosquito net]],0)</f>
        <v>0</v>
      </c>
      <c r="AG399" s="86">
        <f>IF(NFI_Expiration=1,IF($A399&lt;VLOOKUP(O$5,NFI,5,0),1,0)*Data_NFI_t[[#This Row],[Tarpaulin]],0)</f>
        <v>0</v>
      </c>
      <c r="AH399" s="86">
        <f>IF(NFI_Expiration=1,IF($A399&lt;VLOOKUP(P$5,NFI,5,0),1,0)*Data_NFI_t[[#This Row],[Blanket]],0)</f>
        <v>0</v>
      </c>
      <c r="AI399" s="86">
        <f>IF(NFI_Expiration=1,IF($A399&lt;VLOOKUP(Q$5,NFI,5,0),1,0)*Data_NFI_t[[#This Row],[Kitchen Set]],0)</f>
        <v>0</v>
      </c>
      <c r="AJ399" s="86">
        <f>IF(NFI_Expiration=1,IF($A399&lt;VLOOKUP(R$5,NFI,5,0),1,0)*Data_NFI_t[[#This Row],[Complementary Kit]],0)</f>
        <v>0</v>
      </c>
      <c r="AK399" s="86">
        <f>IF(NFI_Expiration=1,IF($A399&lt;VLOOKUP(S$5,NFI,5,0),1,0)*Data_NFI_t[[#This Row],[Plastic Bucket]],0)</f>
        <v>0</v>
      </c>
      <c r="AL399" s="86">
        <f>IF(NFI_Expiration=1,IF($A399&lt;VLOOKUP(T$5,NFI,5,0),1,0)*Data_NFI_t[[#This Row],[Jerry Can]],0)</f>
        <v>0</v>
      </c>
      <c r="AM399" s="105">
        <f>IF(NFI_Expiration=1,IF($A399&lt;VLOOKUP(U$5,NFI,5,0),1,0)*Data_NFI_t[[#This Row],[Plastic Mat]],0)*IF(Data_NFI_t[[#This Row],[Distribution Date]]&gt;"01-06-2015",1,2.5)</f>
        <v>0</v>
      </c>
      <c r="AN399" s="734">
        <f>IF(NFI_Expiration=1,IF($A399&lt;VLOOKUP(V$5,NFI,5,0),1,0)*Data_NFI_t[[#This Row],[Adult Clothes]],0)</f>
        <v>0</v>
      </c>
      <c r="AO399" s="105">
        <f>IF(NFI_Expiration=1,IF($A399&lt;VLOOKUP(W$5,NFI,5,0),1,0)*Data_NFI_t[[#This Row],[Children Clothes]],0)</f>
        <v>0</v>
      </c>
      <c r="AP399" s="105">
        <f>IF(NFI_Expiration=1,IF($A399&lt;VLOOKUP(X$5,NFI,5,0),1,0)*Data_NFI_t[[#This Row],[Sewing Kit]],0)</f>
        <v>0</v>
      </c>
      <c r="AQ399" s="734">
        <f>IF(NFI_Expiration=1,IF($A399&lt;VLOOKUP(X$5,NFI,5,0),1,0)*Data_NFI_t[[#This Row],[Solar Lantern]],0)</f>
        <v>0</v>
      </c>
      <c r="AR399" s="105" t="str">
        <f ca="1">IFERROR(OFFSET(Camp_List[P_Code],MATCH(Data_NFI_t[[#This Row],[Camp Name]],Camp_List[Camp Name],0)-1,0,1,1),"")</f>
        <v/>
      </c>
      <c r="AS399" s="421" t="str">
        <f ca="1">IFERROR(OFFSET(Camp_List[Status],MATCH(Data_NFI_t[[#This Row],[Camp Name]],Camp_List[Camp Name],0)-1,0,1,1),"")</f>
        <v/>
      </c>
      <c r="AT399" s="105"/>
    </row>
    <row r="400" spans="1:46" s="78" customFormat="1" ht="19.5" customHeight="1" x14ac:dyDescent="0.25">
      <c r="A400" s="208">
        <f t="shared" si="6"/>
        <v>64.13333333333334</v>
      </c>
      <c r="B400" s="208">
        <f>YEAR(Data_NFI_t[[#This Row],[Distribution Date]])</f>
        <v>2012</v>
      </c>
      <c r="C400" s="744">
        <v>41266</v>
      </c>
      <c r="D400" s="402" t="s">
        <v>270</v>
      </c>
      <c r="E400" s="401"/>
      <c r="F400" s="402" t="s">
        <v>7</v>
      </c>
      <c r="G400" s="670" t="s">
        <v>18</v>
      </c>
      <c r="H400" s="670"/>
      <c r="I400" s="670"/>
      <c r="J400" s="670"/>
      <c r="K400" s="670"/>
      <c r="L400" s="42"/>
      <c r="M400" s="42"/>
      <c r="N400" s="42"/>
      <c r="O400" s="42">
        <v>1180</v>
      </c>
      <c r="P400" s="42"/>
      <c r="Q400" s="42"/>
      <c r="R400" s="42"/>
      <c r="S400" s="42"/>
      <c r="T400" s="419"/>
      <c r="U400" s="42"/>
      <c r="V400" s="42"/>
      <c r="W400" s="42"/>
      <c r="X400" s="42"/>
      <c r="Y400" s="42"/>
      <c r="Z400" s="42"/>
      <c r="AA400" s="42"/>
      <c r="AB400" s="42"/>
      <c r="AC400" s="105">
        <f>IF(NFI_Expiration=1,IF($A400&lt;VLOOKUP(I$5,NFI,5,0),1,0)*Data_NFI_t[[#This Row],[Hygiene Kit]],0)</f>
        <v>0</v>
      </c>
      <c r="AD400" s="105">
        <f>IF(NFI_Expiration=1,IF($A400&lt;VLOOKUP(L$5,NFI,5,0),1,0)*Data_NFI_t[[#This Row],[NFI Core Kit]],0)</f>
        <v>0</v>
      </c>
      <c r="AE400" s="86">
        <f>IF(NFI_Expiration=1,IF($A400&lt;VLOOKUP(M$5,NFI,5,0),1,0)*Data_NFI_t[[#This Row],[Sanitary Kit]],0)</f>
        <v>0</v>
      </c>
      <c r="AF400" s="86">
        <f>IF(NFI_Expiration=1,IF($A400&lt;VLOOKUP(N$5,NFI,5,0),1,0)*Data_NFI_t[[#This Row],[Mosquito net]],0)</f>
        <v>0</v>
      </c>
      <c r="AG400" s="86">
        <f>IF(NFI_Expiration=1,IF($A400&lt;VLOOKUP(O$5,NFI,5,0),1,0)*Data_NFI_t[[#This Row],[Tarpaulin]],0)</f>
        <v>0</v>
      </c>
      <c r="AH400" s="86">
        <f>IF(NFI_Expiration=1,IF($A400&lt;VLOOKUP(P$5,NFI,5,0),1,0)*Data_NFI_t[[#This Row],[Blanket]],0)</f>
        <v>0</v>
      </c>
      <c r="AI400" s="86">
        <f>IF(NFI_Expiration=1,IF($A400&lt;VLOOKUP(Q$5,NFI,5,0),1,0)*Data_NFI_t[[#This Row],[Kitchen Set]],0)</f>
        <v>0</v>
      </c>
      <c r="AJ400" s="86">
        <f>IF(NFI_Expiration=1,IF($A400&lt;VLOOKUP(R$5,NFI,5,0),1,0)*Data_NFI_t[[#This Row],[Complementary Kit]],0)</f>
        <v>0</v>
      </c>
      <c r="AK400" s="86">
        <f>IF(NFI_Expiration=1,IF($A400&lt;VLOOKUP(S$5,NFI,5,0),1,0)*Data_NFI_t[[#This Row],[Plastic Bucket]],0)</f>
        <v>0</v>
      </c>
      <c r="AL400" s="86">
        <f>IF(NFI_Expiration=1,IF($A400&lt;VLOOKUP(T$5,NFI,5,0),1,0)*Data_NFI_t[[#This Row],[Jerry Can]],0)</f>
        <v>0</v>
      </c>
      <c r="AM400" s="105">
        <f>IF(NFI_Expiration=1,IF($A400&lt;VLOOKUP(U$5,NFI,5,0),1,0)*Data_NFI_t[[#This Row],[Plastic Mat]],0)*IF(Data_NFI_t[[#This Row],[Distribution Date]]&gt;"01-06-2015",1,2.5)</f>
        <v>0</v>
      </c>
      <c r="AN400" s="734">
        <f>IF(NFI_Expiration=1,IF($A400&lt;VLOOKUP(V$5,NFI,5,0),1,0)*Data_NFI_t[[#This Row],[Adult Clothes]],0)</f>
        <v>0</v>
      </c>
      <c r="AO400" s="105">
        <f>IF(NFI_Expiration=1,IF($A400&lt;VLOOKUP(W$5,NFI,5,0),1,0)*Data_NFI_t[[#This Row],[Children Clothes]],0)</f>
        <v>0</v>
      </c>
      <c r="AP400" s="105">
        <f>IF(NFI_Expiration=1,IF($A400&lt;VLOOKUP(X$5,NFI,5,0),1,0)*Data_NFI_t[[#This Row],[Sewing Kit]],0)</f>
        <v>0</v>
      </c>
      <c r="AQ400" s="734">
        <f>IF(NFI_Expiration=1,IF($A400&lt;VLOOKUP(X$5,NFI,5,0),1,0)*Data_NFI_t[[#This Row],[Solar Lantern]],0)</f>
        <v>0</v>
      </c>
      <c r="AR400" s="105" t="str">
        <f ca="1">IFERROR(OFFSET(Camp_List[P_Code],MATCH(Data_NFI_t[[#This Row],[Camp Name]],Camp_List[Camp Name],0)-1,0,1,1),"")</f>
        <v/>
      </c>
      <c r="AS400" s="421" t="str">
        <f ca="1">IFERROR(OFFSET(Camp_List[Status],MATCH(Data_NFI_t[[#This Row],[Camp Name]],Camp_List[Camp Name],0)-1,0,1,1),"")</f>
        <v/>
      </c>
      <c r="AT400" s="105"/>
    </row>
    <row r="401" spans="1:46" s="78" customFormat="1" ht="19.5" customHeight="1" x14ac:dyDescent="0.25">
      <c r="A401" s="208">
        <f t="shared" si="6"/>
        <v>64.3</v>
      </c>
      <c r="B401" s="208">
        <f>YEAR(Data_NFI_t[[#This Row],[Distribution Date]])</f>
        <v>2012</v>
      </c>
      <c r="C401" s="744">
        <v>41261</v>
      </c>
      <c r="D401" s="402" t="s">
        <v>270</v>
      </c>
      <c r="E401" s="401"/>
      <c r="F401" s="402" t="s">
        <v>7</v>
      </c>
      <c r="G401" s="670" t="s">
        <v>14</v>
      </c>
      <c r="H401" s="670" t="s">
        <v>45</v>
      </c>
      <c r="I401" s="670"/>
      <c r="J401" s="670"/>
      <c r="K401" s="670"/>
      <c r="L401" s="42"/>
      <c r="M401" s="42"/>
      <c r="N401" s="42">
        <v>160</v>
      </c>
      <c r="O401" s="42">
        <v>80</v>
      </c>
      <c r="P401" s="42">
        <v>160</v>
      </c>
      <c r="Q401" s="42">
        <v>80</v>
      </c>
      <c r="R401" s="42">
        <v>80</v>
      </c>
      <c r="S401" s="42"/>
      <c r="T401" s="419"/>
      <c r="U401" s="42"/>
      <c r="V401" s="42"/>
      <c r="W401" s="42"/>
      <c r="X401" s="42"/>
      <c r="Y401" s="42"/>
      <c r="Z401" s="42"/>
      <c r="AA401" s="42"/>
      <c r="AB401" s="42"/>
      <c r="AC401" s="105">
        <f>IF(NFI_Expiration=1,IF($A401&lt;VLOOKUP(I$5,NFI,5,0),1,0)*Data_NFI_t[[#This Row],[Hygiene Kit]],0)</f>
        <v>0</v>
      </c>
      <c r="AD401" s="105">
        <f>IF(NFI_Expiration=1,IF($A401&lt;VLOOKUP(L$5,NFI,5,0),1,0)*Data_NFI_t[[#This Row],[NFI Core Kit]],0)</f>
        <v>0</v>
      </c>
      <c r="AE401" s="86">
        <f>IF(NFI_Expiration=1,IF($A401&lt;VLOOKUP(M$5,NFI,5,0),1,0)*Data_NFI_t[[#This Row],[Sanitary Kit]],0)</f>
        <v>0</v>
      </c>
      <c r="AF401" s="86">
        <f>IF(NFI_Expiration=1,IF($A401&lt;VLOOKUP(N$5,NFI,5,0),1,0)*Data_NFI_t[[#This Row],[Mosquito net]],0)</f>
        <v>0</v>
      </c>
      <c r="AG401" s="86">
        <f>IF(NFI_Expiration=1,IF($A401&lt;VLOOKUP(O$5,NFI,5,0),1,0)*Data_NFI_t[[#This Row],[Tarpaulin]],0)</f>
        <v>0</v>
      </c>
      <c r="AH401" s="86">
        <f>IF(NFI_Expiration=1,IF($A401&lt;VLOOKUP(P$5,NFI,5,0),1,0)*Data_NFI_t[[#This Row],[Blanket]],0)</f>
        <v>0</v>
      </c>
      <c r="AI401" s="86">
        <f>IF(NFI_Expiration=1,IF($A401&lt;VLOOKUP(Q$5,NFI,5,0),1,0)*Data_NFI_t[[#This Row],[Kitchen Set]],0)</f>
        <v>0</v>
      </c>
      <c r="AJ401" s="86">
        <f>IF(NFI_Expiration=1,IF($A401&lt;VLOOKUP(R$5,NFI,5,0),1,0)*Data_NFI_t[[#This Row],[Complementary Kit]],0)</f>
        <v>0</v>
      </c>
      <c r="AK401" s="86">
        <f>IF(NFI_Expiration=1,IF($A401&lt;VLOOKUP(S$5,NFI,5,0),1,0)*Data_NFI_t[[#This Row],[Plastic Bucket]],0)</f>
        <v>0</v>
      </c>
      <c r="AL401" s="86">
        <f>IF(NFI_Expiration=1,IF($A401&lt;VLOOKUP(T$5,NFI,5,0),1,0)*Data_NFI_t[[#This Row],[Jerry Can]],0)</f>
        <v>0</v>
      </c>
      <c r="AM401" s="105">
        <f>IF(NFI_Expiration=1,IF($A401&lt;VLOOKUP(U$5,NFI,5,0),1,0)*Data_NFI_t[[#This Row],[Plastic Mat]],0)*IF(Data_NFI_t[[#This Row],[Distribution Date]]&gt;"01-06-2015",1,2.5)</f>
        <v>0</v>
      </c>
      <c r="AN401" s="734">
        <f>IF(NFI_Expiration=1,IF($A401&lt;VLOOKUP(V$5,NFI,5,0),1,0)*Data_NFI_t[[#This Row],[Adult Clothes]],0)</f>
        <v>0</v>
      </c>
      <c r="AO401" s="105">
        <f>IF(NFI_Expiration=1,IF($A401&lt;VLOOKUP(W$5,NFI,5,0),1,0)*Data_NFI_t[[#This Row],[Children Clothes]],0)</f>
        <v>0</v>
      </c>
      <c r="AP401" s="105">
        <f>IF(NFI_Expiration=1,IF($A401&lt;VLOOKUP(X$5,NFI,5,0),1,0)*Data_NFI_t[[#This Row],[Sewing Kit]],0)</f>
        <v>0</v>
      </c>
      <c r="AQ401" s="734">
        <f>IF(NFI_Expiration=1,IF($A401&lt;VLOOKUP(X$5,NFI,5,0),1,0)*Data_NFI_t[[#This Row],[Solar Lantern]],0)</f>
        <v>0</v>
      </c>
      <c r="AR401" s="105" t="str">
        <f ca="1">IFERROR(OFFSET(Camp_List[P_Code],MATCH(Data_NFI_t[[#This Row],[Camp Name]],Camp_List[Camp Name],0)-1,0,1,1),"")</f>
        <v>MMR012CMP023</v>
      </c>
      <c r="AS401" s="421" t="str">
        <f ca="1">IFERROR(OFFSET(Camp_List[Status],MATCH(Data_NFI_t[[#This Row],[Camp Name]],Camp_List[Camp Name],0)-1,0,1,1),"")</f>
        <v>Open</v>
      </c>
      <c r="AT401" s="105"/>
    </row>
    <row r="402" spans="1:46" s="78" customFormat="1" ht="19.5" customHeight="1" x14ac:dyDescent="0.25">
      <c r="A402" s="208">
        <f t="shared" si="6"/>
        <v>64.3</v>
      </c>
      <c r="B402" s="208">
        <f>YEAR(Data_NFI_t[[#This Row],[Distribution Date]])</f>
        <v>2012</v>
      </c>
      <c r="C402" s="744">
        <v>41261</v>
      </c>
      <c r="D402" s="402" t="s">
        <v>270</v>
      </c>
      <c r="E402" s="401"/>
      <c r="F402" s="402" t="s">
        <v>7</v>
      </c>
      <c r="G402" s="670" t="s">
        <v>14</v>
      </c>
      <c r="H402" s="670" t="s">
        <v>43</v>
      </c>
      <c r="I402" s="670"/>
      <c r="J402" s="670"/>
      <c r="K402" s="670"/>
      <c r="L402" s="42"/>
      <c r="M402" s="42"/>
      <c r="N402" s="42">
        <v>174</v>
      </c>
      <c r="O402" s="42"/>
      <c r="P402" s="42">
        <v>174</v>
      </c>
      <c r="Q402" s="42"/>
      <c r="R402" s="42"/>
      <c r="S402" s="42"/>
      <c r="T402" s="419"/>
      <c r="U402" s="42"/>
      <c r="V402" s="42"/>
      <c r="W402" s="42"/>
      <c r="X402" s="42"/>
      <c r="Y402" s="42"/>
      <c r="Z402" s="42"/>
      <c r="AA402" s="42"/>
      <c r="AB402" s="42"/>
      <c r="AC402" s="105">
        <f>IF(NFI_Expiration=1,IF($A402&lt;VLOOKUP(I$5,NFI,5,0),1,0)*Data_NFI_t[[#This Row],[Hygiene Kit]],0)</f>
        <v>0</v>
      </c>
      <c r="AD402" s="105">
        <f>IF(NFI_Expiration=1,IF($A402&lt;VLOOKUP(L$5,NFI,5,0),1,0)*Data_NFI_t[[#This Row],[NFI Core Kit]],0)</f>
        <v>0</v>
      </c>
      <c r="AE402" s="86">
        <f>IF(NFI_Expiration=1,IF($A402&lt;VLOOKUP(M$5,NFI,5,0),1,0)*Data_NFI_t[[#This Row],[Sanitary Kit]],0)</f>
        <v>0</v>
      </c>
      <c r="AF402" s="86">
        <f>IF(NFI_Expiration=1,IF($A402&lt;VLOOKUP(N$5,NFI,5,0),1,0)*Data_NFI_t[[#This Row],[Mosquito net]],0)</f>
        <v>0</v>
      </c>
      <c r="AG402" s="86">
        <f>IF(NFI_Expiration=1,IF($A402&lt;VLOOKUP(O$5,NFI,5,0),1,0)*Data_NFI_t[[#This Row],[Tarpaulin]],0)</f>
        <v>0</v>
      </c>
      <c r="AH402" s="86">
        <f>IF(NFI_Expiration=1,IF($A402&lt;VLOOKUP(P$5,NFI,5,0),1,0)*Data_NFI_t[[#This Row],[Blanket]],0)</f>
        <v>0</v>
      </c>
      <c r="AI402" s="86">
        <f>IF(NFI_Expiration=1,IF($A402&lt;VLOOKUP(Q$5,NFI,5,0),1,0)*Data_NFI_t[[#This Row],[Kitchen Set]],0)</f>
        <v>0</v>
      </c>
      <c r="AJ402" s="86">
        <f>IF(NFI_Expiration=1,IF($A402&lt;VLOOKUP(R$5,NFI,5,0),1,0)*Data_NFI_t[[#This Row],[Complementary Kit]],0)</f>
        <v>0</v>
      </c>
      <c r="AK402" s="86">
        <f>IF(NFI_Expiration=1,IF($A402&lt;VLOOKUP(S$5,NFI,5,0),1,0)*Data_NFI_t[[#This Row],[Plastic Bucket]],0)</f>
        <v>0</v>
      </c>
      <c r="AL402" s="86">
        <f>IF(NFI_Expiration=1,IF($A402&lt;VLOOKUP(T$5,NFI,5,0),1,0)*Data_NFI_t[[#This Row],[Jerry Can]],0)</f>
        <v>0</v>
      </c>
      <c r="AM402" s="105">
        <f>IF(NFI_Expiration=1,IF($A402&lt;VLOOKUP(U$5,NFI,5,0),1,0)*Data_NFI_t[[#This Row],[Plastic Mat]],0)*IF(Data_NFI_t[[#This Row],[Distribution Date]]&gt;"01-06-2015",1,2.5)</f>
        <v>0</v>
      </c>
      <c r="AN402" s="734">
        <f>IF(NFI_Expiration=1,IF($A402&lt;VLOOKUP(V$5,NFI,5,0),1,0)*Data_NFI_t[[#This Row],[Adult Clothes]],0)</f>
        <v>0</v>
      </c>
      <c r="AO402" s="105">
        <f>IF(NFI_Expiration=1,IF($A402&lt;VLOOKUP(W$5,NFI,5,0),1,0)*Data_NFI_t[[#This Row],[Children Clothes]],0)</f>
        <v>0</v>
      </c>
      <c r="AP402" s="105">
        <f>IF(NFI_Expiration=1,IF($A402&lt;VLOOKUP(X$5,NFI,5,0),1,0)*Data_NFI_t[[#This Row],[Sewing Kit]],0)</f>
        <v>0</v>
      </c>
      <c r="AQ402" s="734">
        <f>IF(NFI_Expiration=1,IF($A402&lt;VLOOKUP(X$5,NFI,5,0),1,0)*Data_NFI_t[[#This Row],[Solar Lantern]],0)</f>
        <v>0</v>
      </c>
      <c r="AR402" s="105" t="str">
        <f ca="1">IFERROR(OFFSET(Camp_List[P_Code],MATCH(Data_NFI_t[[#This Row],[Camp Name]],Camp_List[Camp Name],0)-1,0,1,1),"")</f>
        <v>MMR012CMP021</v>
      </c>
      <c r="AS402" s="421" t="str">
        <f ca="1">IFERROR(OFFSET(Camp_List[Status],MATCH(Data_NFI_t[[#This Row],[Camp Name]],Camp_List[Camp Name],0)-1,0,1,1),"")</f>
        <v>Returned</v>
      </c>
      <c r="AT402" s="105"/>
    </row>
    <row r="403" spans="1:46" s="78" customFormat="1" ht="19.5" customHeight="1" x14ac:dyDescent="0.25">
      <c r="A403" s="208">
        <f t="shared" si="6"/>
        <v>64.333333333333329</v>
      </c>
      <c r="B403" s="208">
        <f>YEAR(Data_NFI_t[[#This Row],[Distribution Date]])</f>
        <v>2012</v>
      </c>
      <c r="C403" s="744">
        <v>41260</v>
      </c>
      <c r="D403" s="402" t="s">
        <v>270</v>
      </c>
      <c r="E403" s="401"/>
      <c r="F403" s="402" t="s">
        <v>7</v>
      </c>
      <c r="G403" s="670" t="s">
        <v>817</v>
      </c>
      <c r="H403" s="670" t="s">
        <v>36</v>
      </c>
      <c r="I403" s="670"/>
      <c r="J403" s="670"/>
      <c r="K403" s="670"/>
      <c r="L403" s="42"/>
      <c r="M403" s="42"/>
      <c r="N403" s="42">
        <v>632</v>
      </c>
      <c r="O403" s="42"/>
      <c r="P403" s="42">
        <v>632</v>
      </c>
      <c r="Q403" s="42"/>
      <c r="R403" s="42"/>
      <c r="S403" s="42"/>
      <c r="T403" s="419"/>
      <c r="U403" s="42"/>
      <c r="V403" s="42"/>
      <c r="W403" s="42"/>
      <c r="X403" s="42"/>
      <c r="Y403" s="42"/>
      <c r="Z403" s="42"/>
      <c r="AA403" s="42"/>
      <c r="AB403" s="42"/>
      <c r="AC403" s="105">
        <f>IF(NFI_Expiration=1,IF($A403&lt;VLOOKUP(I$5,NFI,5,0),1,0)*Data_NFI_t[[#This Row],[Hygiene Kit]],0)</f>
        <v>0</v>
      </c>
      <c r="AD403" s="105">
        <f>IF(NFI_Expiration=1,IF($A403&lt;VLOOKUP(L$5,NFI,5,0),1,0)*Data_NFI_t[[#This Row],[NFI Core Kit]],0)</f>
        <v>0</v>
      </c>
      <c r="AE403" s="86">
        <f>IF(NFI_Expiration=1,IF($A403&lt;VLOOKUP(M$5,NFI,5,0),1,0)*Data_NFI_t[[#This Row],[Sanitary Kit]],0)</f>
        <v>0</v>
      </c>
      <c r="AF403" s="86">
        <f>IF(NFI_Expiration=1,IF($A403&lt;VLOOKUP(N$5,NFI,5,0),1,0)*Data_NFI_t[[#This Row],[Mosquito net]],0)</f>
        <v>0</v>
      </c>
      <c r="AG403" s="86">
        <f>IF(NFI_Expiration=1,IF($A403&lt;VLOOKUP(O$5,NFI,5,0),1,0)*Data_NFI_t[[#This Row],[Tarpaulin]],0)</f>
        <v>0</v>
      </c>
      <c r="AH403" s="86">
        <f>IF(NFI_Expiration=1,IF($A403&lt;VLOOKUP(P$5,NFI,5,0),1,0)*Data_NFI_t[[#This Row],[Blanket]],0)</f>
        <v>0</v>
      </c>
      <c r="AI403" s="86">
        <f>IF(NFI_Expiration=1,IF($A403&lt;VLOOKUP(Q$5,NFI,5,0),1,0)*Data_NFI_t[[#This Row],[Kitchen Set]],0)</f>
        <v>0</v>
      </c>
      <c r="AJ403" s="86">
        <f>IF(NFI_Expiration=1,IF($A403&lt;VLOOKUP(R$5,NFI,5,0),1,0)*Data_NFI_t[[#This Row],[Complementary Kit]],0)</f>
        <v>0</v>
      </c>
      <c r="AK403" s="86">
        <f>IF(NFI_Expiration=1,IF($A403&lt;VLOOKUP(S$5,NFI,5,0),1,0)*Data_NFI_t[[#This Row],[Plastic Bucket]],0)</f>
        <v>0</v>
      </c>
      <c r="AL403" s="86">
        <f>IF(NFI_Expiration=1,IF($A403&lt;VLOOKUP(T$5,NFI,5,0),1,0)*Data_NFI_t[[#This Row],[Jerry Can]],0)</f>
        <v>0</v>
      </c>
      <c r="AM403" s="105">
        <f>IF(NFI_Expiration=1,IF($A403&lt;VLOOKUP(U$5,NFI,5,0),1,0)*Data_NFI_t[[#This Row],[Plastic Mat]],0)*IF(Data_NFI_t[[#This Row],[Distribution Date]]&gt;"01-06-2015",1,2.5)</f>
        <v>0</v>
      </c>
      <c r="AN403" s="734">
        <f>IF(NFI_Expiration=1,IF($A403&lt;VLOOKUP(V$5,NFI,5,0),1,0)*Data_NFI_t[[#This Row],[Adult Clothes]],0)</f>
        <v>0</v>
      </c>
      <c r="AO403" s="105">
        <f>IF(NFI_Expiration=1,IF($A403&lt;VLOOKUP(W$5,NFI,5,0),1,0)*Data_NFI_t[[#This Row],[Children Clothes]],0)</f>
        <v>0</v>
      </c>
      <c r="AP403" s="105">
        <f>IF(NFI_Expiration=1,IF($A403&lt;VLOOKUP(X$5,NFI,5,0),1,0)*Data_NFI_t[[#This Row],[Sewing Kit]],0)</f>
        <v>0</v>
      </c>
      <c r="AQ403" s="734">
        <f>IF(NFI_Expiration=1,IF($A403&lt;VLOOKUP(X$5,NFI,5,0),1,0)*Data_NFI_t[[#This Row],[Solar Lantern]],0)</f>
        <v>0</v>
      </c>
      <c r="AR403" s="105" t="str">
        <f ca="1">IFERROR(OFFSET(Camp_List[P_Code],MATCH(Data_NFI_t[[#This Row],[Camp Name]],Camp_List[Camp Name],0)-1,0,1,1),"")</f>
        <v>MMR012CMP014</v>
      </c>
      <c r="AS403" s="421" t="str">
        <f ca="1">IFERROR(OFFSET(Camp_List[Status],MATCH(Data_NFI_t[[#This Row],[Camp Name]],Camp_List[Camp Name],0)-1,0,1,1),"")</f>
        <v>Open</v>
      </c>
      <c r="AT403" s="105"/>
    </row>
    <row r="404" spans="1:46" s="78" customFormat="1" ht="19.5" customHeight="1" x14ac:dyDescent="0.25">
      <c r="A404" s="208">
        <f t="shared" si="6"/>
        <v>64.333333333333329</v>
      </c>
      <c r="B404" s="208">
        <f>YEAR(Data_NFI_t[[#This Row],[Distribution Date]])</f>
        <v>2012</v>
      </c>
      <c r="C404" s="744">
        <v>41260</v>
      </c>
      <c r="D404" s="402" t="s">
        <v>270</v>
      </c>
      <c r="E404" s="401"/>
      <c r="F404" s="402" t="s">
        <v>7</v>
      </c>
      <c r="G404" s="670" t="s">
        <v>11</v>
      </c>
      <c r="H404" s="670" t="s">
        <v>24</v>
      </c>
      <c r="I404" s="670"/>
      <c r="J404" s="670"/>
      <c r="K404" s="670"/>
      <c r="L404" s="42"/>
      <c r="M404" s="42"/>
      <c r="N404" s="42">
        <v>406</v>
      </c>
      <c r="O404" s="42"/>
      <c r="P404" s="42"/>
      <c r="Q404" s="42"/>
      <c r="R404" s="42"/>
      <c r="S404" s="42"/>
      <c r="T404" s="419"/>
      <c r="U404" s="42"/>
      <c r="V404" s="42"/>
      <c r="W404" s="42"/>
      <c r="X404" s="42"/>
      <c r="Y404" s="42"/>
      <c r="Z404" s="42"/>
      <c r="AA404" s="42"/>
      <c r="AB404" s="42"/>
      <c r="AC404" s="105">
        <f>IF(NFI_Expiration=1,IF($A404&lt;VLOOKUP(I$5,NFI,5,0),1,0)*Data_NFI_t[[#This Row],[Hygiene Kit]],0)</f>
        <v>0</v>
      </c>
      <c r="AD404" s="105">
        <f>IF(NFI_Expiration=1,IF($A404&lt;VLOOKUP(L$5,NFI,5,0),1,0)*Data_NFI_t[[#This Row],[NFI Core Kit]],0)</f>
        <v>0</v>
      </c>
      <c r="AE404" s="86">
        <f>IF(NFI_Expiration=1,IF($A404&lt;VLOOKUP(M$5,NFI,5,0),1,0)*Data_NFI_t[[#This Row],[Sanitary Kit]],0)</f>
        <v>0</v>
      </c>
      <c r="AF404" s="86">
        <f>IF(NFI_Expiration=1,IF($A404&lt;VLOOKUP(N$5,NFI,5,0),1,0)*Data_NFI_t[[#This Row],[Mosquito net]],0)</f>
        <v>0</v>
      </c>
      <c r="AG404" s="86">
        <f>IF(NFI_Expiration=1,IF($A404&lt;VLOOKUP(O$5,NFI,5,0),1,0)*Data_NFI_t[[#This Row],[Tarpaulin]],0)</f>
        <v>0</v>
      </c>
      <c r="AH404" s="86">
        <f>IF(NFI_Expiration=1,IF($A404&lt;VLOOKUP(P$5,NFI,5,0),1,0)*Data_NFI_t[[#This Row],[Blanket]],0)</f>
        <v>0</v>
      </c>
      <c r="AI404" s="86">
        <f>IF(NFI_Expiration=1,IF($A404&lt;VLOOKUP(Q$5,NFI,5,0),1,0)*Data_NFI_t[[#This Row],[Kitchen Set]],0)</f>
        <v>0</v>
      </c>
      <c r="AJ404" s="86">
        <f>IF(NFI_Expiration=1,IF($A404&lt;VLOOKUP(R$5,NFI,5,0),1,0)*Data_NFI_t[[#This Row],[Complementary Kit]],0)</f>
        <v>0</v>
      </c>
      <c r="AK404" s="86">
        <f>IF(NFI_Expiration=1,IF($A404&lt;VLOOKUP(S$5,NFI,5,0),1,0)*Data_NFI_t[[#This Row],[Plastic Bucket]],0)</f>
        <v>0</v>
      </c>
      <c r="AL404" s="86">
        <f>IF(NFI_Expiration=1,IF($A404&lt;VLOOKUP(T$5,NFI,5,0),1,0)*Data_NFI_t[[#This Row],[Jerry Can]],0)</f>
        <v>0</v>
      </c>
      <c r="AM404" s="105">
        <f>IF(NFI_Expiration=1,IF($A404&lt;VLOOKUP(U$5,NFI,5,0),1,0)*Data_NFI_t[[#This Row],[Plastic Mat]],0)*IF(Data_NFI_t[[#This Row],[Distribution Date]]&gt;"01-06-2015",1,2.5)</f>
        <v>0</v>
      </c>
      <c r="AN404" s="734">
        <f>IF(NFI_Expiration=1,IF($A404&lt;VLOOKUP(V$5,NFI,5,0),1,0)*Data_NFI_t[[#This Row],[Adult Clothes]],0)</f>
        <v>0</v>
      </c>
      <c r="AO404" s="105">
        <f>IF(NFI_Expiration=1,IF($A404&lt;VLOOKUP(W$5,NFI,5,0),1,0)*Data_NFI_t[[#This Row],[Children Clothes]],0)</f>
        <v>0</v>
      </c>
      <c r="AP404" s="105">
        <f>IF(NFI_Expiration=1,IF($A404&lt;VLOOKUP(X$5,NFI,5,0),1,0)*Data_NFI_t[[#This Row],[Sewing Kit]],0)</f>
        <v>0</v>
      </c>
      <c r="AQ404" s="734">
        <f>IF(NFI_Expiration=1,IF($A404&lt;VLOOKUP(X$5,NFI,5,0),1,0)*Data_NFI_t[[#This Row],[Solar Lantern]],0)</f>
        <v>0</v>
      </c>
      <c r="AR404" s="105" t="str">
        <f ca="1">IFERROR(OFFSET(Camp_List[P_Code],MATCH(Data_NFI_t[[#This Row],[Camp Name]],Camp_List[Camp Name],0)-1,0,1,1),"")</f>
        <v>MMR012CMP002</v>
      </c>
      <c r="AS404" s="421" t="str">
        <f ca="1">IFERROR(OFFSET(Camp_List[Status],MATCH(Data_NFI_t[[#This Row],[Camp Name]],Camp_List[Camp Name],0)-1,0,1,1),"")</f>
        <v>Returned</v>
      </c>
      <c r="AT404" s="105"/>
    </row>
    <row r="405" spans="1:46" s="78" customFormat="1" ht="19.5" customHeight="1" x14ac:dyDescent="0.25">
      <c r="A405" s="208">
        <f t="shared" si="6"/>
        <v>64.36666666666666</v>
      </c>
      <c r="B405" s="208">
        <f>YEAR(Data_NFI_t[[#This Row],[Distribution Date]])</f>
        <v>2012</v>
      </c>
      <c r="C405" s="744">
        <v>41259</v>
      </c>
      <c r="D405" s="402" t="s">
        <v>274</v>
      </c>
      <c r="E405" s="401" t="s">
        <v>270</v>
      </c>
      <c r="F405" s="402" t="s">
        <v>7</v>
      </c>
      <c r="G405" s="670" t="s">
        <v>17</v>
      </c>
      <c r="H405" s="670" t="s">
        <v>69</v>
      </c>
      <c r="I405" s="670"/>
      <c r="J405" s="670"/>
      <c r="K405" s="670"/>
      <c r="L405" s="42"/>
      <c r="M405" s="42"/>
      <c r="N405" s="42"/>
      <c r="O405" s="42"/>
      <c r="P405" s="42">
        <v>49</v>
      </c>
      <c r="Q405" s="42"/>
      <c r="R405" s="42"/>
      <c r="S405" s="42"/>
      <c r="T405" s="419"/>
      <c r="U405" s="42"/>
      <c r="V405" s="42"/>
      <c r="W405" s="42"/>
      <c r="X405" s="42"/>
      <c r="Y405" s="42"/>
      <c r="Z405" s="42"/>
      <c r="AA405" s="42"/>
      <c r="AB405" s="42"/>
      <c r="AC405" s="105">
        <f>IF(NFI_Expiration=1,IF($A405&lt;VLOOKUP(I$5,NFI,5,0),1,0)*Data_NFI_t[[#This Row],[Hygiene Kit]],0)</f>
        <v>0</v>
      </c>
      <c r="AD405" s="105">
        <f>IF(NFI_Expiration=1,IF($A405&lt;VLOOKUP(L$5,NFI,5,0),1,0)*Data_NFI_t[[#This Row],[NFI Core Kit]],0)</f>
        <v>0</v>
      </c>
      <c r="AE405" s="86">
        <f>IF(NFI_Expiration=1,IF($A405&lt;VLOOKUP(M$5,NFI,5,0),1,0)*Data_NFI_t[[#This Row],[Sanitary Kit]],0)</f>
        <v>0</v>
      </c>
      <c r="AF405" s="86">
        <f>IF(NFI_Expiration=1,IF($A405&lt;VLOOKUP(N$5,NFI,5,0),1,0)*Data_NFI_t[[#This Row],[Mosquito net]],0)</f>
        <v>0</v>
      </c>
      <c r="AG405" s="86">
        <f>IF(NFI_Expiration=1,IF($A405&lt;VLOOKUP(O$5,NFI,5,0),1,0)*Data_NFI_t[[#This Row],[Tarpaulin]],0)</f>
        <v>0</v>
      </c>
      <c r="AH405" s="86">
        <f>IF(NFI_Expiration=1,IF($A405&lt;VLOOKUP(P$5,NFI,5,0),1,0)*Data_NFI_t[[#This Row],[Blanket]],0)</f>
        <v>0</v>
      </c>
      <c r="AI405" s="86">
        <f>IF(NFI_Expiration=1,IF($A405&lt;VLOOKUP(Q$5,NFI,5,0),1,0)*Data_NFI_t[[#This Row],[Kitchen Set]],0)</f>
        <v>0</v>
      </c>
      <c r="AJ405" s="86">
        <f>IF(NFI_Expiration=1,IF($A405&lt;VLOOKUP(R$5,NFI,5,0),1,0)*Data_NFI_t[[#This Row],[Complementary Kit]],0)</f>
        <v>0</v>
      </c>
      <c r="AK405" s="86">
        <f>IF(NFI_Expiration=1,IF($A405&lt;VLOOKUP(S$5,NFI,5,0),1,0)*Data_NFI_t[[#This Row],[Plastic Bucket]],0)</f>
        <v>0</v>
      </c>
      <c r="AL405" s="86">
        <f>IF(NFI_Expiration=1,IF($A405&lt;VLOOKUP(T$5,NFI,5,0),1,0)*Data_NFI_t[[#This Row],[Jerry Can]],0)</f>
        <v>0</v>
      </c>
      <c r="AM405" s="105">
        <f>IF(NFI_Expiration=1,IF($A405&lt;VLOOKUP(U$5,NFI,5,0),1,0)*Data_NFI_t[[#This Row],[Plastic Mat]],0)*IF(Data_NFI_t[[#This Row],[Distribution Date]]&gt;"01-06-2015",1,2.5)</f>
        <v>0</v>
      </c>
      <c r="AN405" s="734">
        <f>IF(NFI_Expiration=1,IF($A405&lt;VLOOKUP(V$5,NFI,5,0),1,0)*Data_NFI_t[[#This Row],[Adult Clothes]],0)</f>
        <v>0</v>
      </c>
      <c r="AO405" s="105">
        <f>IF(NFI_Expiration=1,IF($A405&lt;VLOOKUP(W$5,NFI,5,0),1,0)*Data_NFI_t[[#This Row],[Children Clothes]],0)</f>
        <v>0</v>
      </c>
      <c r="AP405" s="105">
        <f>IF(NFI_Expiration=1,IF($A405&lt;VLOOKUP(X$5,NFI,5,0),1,0)*Data_NFI_t[[#This Row],[Sewing Kit]],0)</f>
        <v>0</v>
      </c>
      <c r="AQ405" s="734">
        <f>IF(NFI_Expiration=1,IF($A405&lt;VLOOKUP(X$5,NFI,5,0),1,0)*Data_NFI_t[[#This Row],[Solar Lantern]],0)</f>
        <v>0</v>
      </c>
      <c r="AR405" s="105" t="str">
        <f ca="1">IFERROR(OFFSET(Camp_List[P_Code],MATCH(Data_NFI_t[[#This Row],[Camp Name]],Camp_List[Camp Name],0)-1,0,1,1),"")</f>
        <v>MMR012CMP049</v>
      </c>
      <c r="AS405" s="421" t="str">
        <f ca="1">IFERROR(OFFSET(Camp_List[Status],MATCH(Data_NFI_t[[#This Row],[Camp Name]],Camp_List[Camp Name],0)-1,0,1,1),"")</f>
        <v>Close</v>
      </c>
      <c r="AT405" s="105"/>
    </row>
    <row r="406" spans="1:46" s="78" customFormat="1" ht="19.5" customHeight="1" x14ac:dyDescent="0.25">
      <c r="A406" s="208">
        <f t="shared" si="6"/>
        <v>64.36666666666666</v>
      </c>
      <c r="B406" s="208">
        <f>YEAR(Data_NFI_t[[#This Row],[Distribution Date]])</f>
        <v>2012</v>
      </c>
      <c r="C406" s="744">
        <v>41259</v>
      </c>
      <c r="D406" s="402" t="s">
        <v>274</v>
      </c>
      <c r="E406" s="401" t="s">
        <v>270</v>
      </c>
      <c r="F406" s="402" t="s">
        <v>7</v>
      </c>
      <c r="G406" s="670" t="s">
        <v>17</v>
      </c>
      <c r="H406" s="670" t="s">
        <v>69</v>
      </c>
      <c r="I406" s="670"/>
      <c r="J406" s="670"/>
      <c r="K406" s="670"/>
      <c r="L406" s="42"/>
      <c r="M406" s="42"/>
      <c r="N406" s="42"/>
      <c r="O406" s="42"/>
      <c r="P406" s="42">
        <v>11</v>
      </c>
      <c r="Q406" s="42"/>
      <c r="R406" s="42"/>
      <c r="S406" s="42"/>
      <c r="T406" s="419"/>
      <c r="U406" s="42"/>
      <c r="V406" s="42"/>
      <c r="W406" s="42"/>
      <c r="X406" s="42"/>
      <c r="Y406" s="42"/>
      <c r="Z406" s="42"/>
      <c r="AA406" s="42"/>
      <c r="AB406" s="42"/>
      <c r="AC406" s="105">
        <f>IF(NFI_Expiration=1,IF($A406&lt;VLOOKUP(I$5,NFI,5,0),1,0)*Data_NFI_t[[#This Row],[Hygiene Kit]],0)</f>
        <v>0</v>
      </c>
      <c r="AD406" s="105">
        <f>IF(NFI_Expiration=1,IF($A406&lt;VLOOKUP(L$5,NFI,5,0),1,0)*Data_NFI_t[[#This Row],[NFI Core Kit]],0)</f>
        <v>0</v>
      </c>
      <c r="AE406" s="86">
        <f>IF(NFI_Expiration=1,IF($A406&lt;VLOOKUP(M$5,NFI,5,0),1,0)*Data_NFI_t[[#This Row],[Sanitary Kit]],0)</f>
        <v>0</v>
      </c>
      <c r="AF406" s="86">
        <f>IF(NFI_Expiration=1,IF($A406&lt;VLOOKUP(N$5,NFI,5,0),1,0)*Data_NFI_t[[#This Row],[Mosquito net]],0)</f>
        <v>0</v>
      </c>
      <c r="AG406" s="86">
        <f>IF(NFI_Expiration=1,IF($A406&lt;VLOOKUP(O$5,NFI,5,0),1,0)*Data_NFI_t[[#This Row],[Tarpaulin]],0)</f>
        <v>0</v>
      </c>
      <c r="AH406" s="86">
        <f>IF(NFI_Expiration=1,IF($A406&lt;VLOOKUP(P$5,NFI,5,0),1,0)*Data_NFI_t[[#This Row],[Blanket]],0)</f>
        <v>0</v>
      </c>
      <c r="AI406" s="86">
        <f>IF(NFI_Expiration=1,IF($A406&lt;VLOOKUP(Q$5,NFI,5,0),1,0)*Data_NFI_t[[#This Row],[Kitchen Set]],0)</f>
        <v>0</v>
      </c>
      <c r="AJ406" s="86">
        <f>IF(NFI_Expiration=1,IF($A406&lt;VLOOKUP(R$5,NFI,5,0),1,0)*Data_NFI_t[[#This Row],[Complementary Kit]],0)</f>
        <v>0</v>
      </c>
      <c r="AK406" s="86">
        <f>IF(NFI_Expiration=1,IF($A406&lt;VLOOKUP(S$5,NFI,5,0),1,0)*Data_NFI_t[[#This Row],[Plastic Bucket]],0)</f>
        <v>0</v>
      </c>
      <c r="AL406" s="86">
        <f>IF(NFI_Expiration=1,IF($A406&lt;VLOOKUP(T$5,NFI,5,0),1,0)*Data_NFI_t[[#This Row],[Jerry Can]],0)</f>
        <v>0</v>
      </c>
      <c r="AM406" s="105">
        <f>IF(NFI_Expiration=1,IF($A406&lt;VLOOKUP(U$5,NFI,5,0),1,0)*Data_NFI_t[[#This Row],[Plastic Mat]],0)*IF(Data_NFI_t[[#This Row],[Distribution Date]]&gt;"01-06-2015",1,2.5)</f>
        <v>0</v>
      </c>
      <c r="AN406" s="734">
        <f>IF(NFI_Expiration=1,IF($A406&lt;VLOOKUP(V$5,NFI,5,0),1,0)*Data_NFI_t[[#This Row],[Adult Clothes]],0)</f>
        <v>0</v>
      </c>
      <c r="AO406" s="105">
        <f>IF(NFI_Expiration=1,IF($A406&lt;VLOOKUP(W$5,NFI,5,0),1,0)*Data_NFI_t[[#This Row],[Children Clothes]],0)</f>
        <v>0</v>
      </c>
      <c r="AP406" s="105">
        <f>IF(NFI_Expiration=1,IF($A406&lt;VLOOKUP(X$5,NFI,5,0),1,0)*Data_NFI_t[[#This Row],[Sewing Kit]],0)</f>
        <v>0</v>
      </c>
      <c r="AQ406" s="734">
        <f>IF(NFI_Expiration=1,IF($A406&lt;VLOOKUP(X$5,NFI,5,0),1,0)*Data_NFI_t[[#This Row],[Solar Lantern]],0)</f>
        <v>0</v>
      </c>
      <c r="AR406" s="105" t="str">
        <f ca="1">IFERROR(OFFSET(Camp_List[P_Code],MATCH(Data_NFI_t[[#This Row],[Camp Name]],Camp_List[Camp Name],0)-1,0,1,1),"")</f>
        <v>MMR012CMP049</v>
      </c>
      <c r="AS406" s="421" t="str">
        <f ca="1">IFERROR(OFFSET(Camp_List[Status],MATCH(Data_NFI_t[[#This Row],[Camp Name]],Camp_List[Camp Name],0)-1,0,1,1),"")</f>
        <v>Close</v>
      </c>
      <c r="AT406" s="105"/>
    </row>
    <row r="407" spans="1:46" s="78" customFormat="1" ht="19.5" customHeight="1" x14ac:dyDescent="0.25">
      <c r="A407" s="208">
        <f t="shared" si="6"/>
        <v>64.400000000000006</v>
      </c>
      <c r="B407" s="208">
        <f>YEAR(Data_NFI_t[[#This Row],[Distribution Date]])</f>
        <v>2012</v>
      </c>
      <c r="C407" s="744">
        <v>41258</v>
      </c>
      <c r="D407" s="402" t="s">
        <v>270</v>
      </c>
      <c r="E407" s="401"/>
      <c r="F407" s="402" t="s">
        <v>7</v>
      </c>
      <c r="G407" s="670" t="s">
        <v>11</v>
      </c>
      <c r="H407" s="670" t="s">
        <v>28</v>
      </c>
      <c r="I407" s="670"/>
      <c r="J407" s="670"/>
      <c r="K407" s="670"/>
      <c r="L407" s="42"/>
      <c r="M407" s="42"/>
      <c r="N407" s="42">
        <v>172</v>
      </c>
      <c r="O407" s="42"/>
      <c r="P407" s="42"/>
      <c r="Q407" s="42"/>
      <c r="R407" s="42"/>
      <c r="S407" s="42"/>
      <c r="T407" s="419"/>
      <c r="U407" s="42"/>
      <c r="V407" s="42"/>
      <c r="W407" s="42"/>
      <c r="X407" s="42"/>
      <c r="Y407" s="42"/>
      <c r="Z407" s="42"/>
      <c r="AA407" s="42"/>
      <c r="AB407" s="42"/>
      <c r="AC407" s="105">
        <f>IF(NFI_Expiration=1,IF($A407&lt;VLOOKUP(I$5,NFI,5,0),1,0)*Data_NFI_t[[#This Row],[Hygiene Kit]],0)</f>
        <v>0</v>
      </c>
      <c r="AD407" s="105">
        <f>IF(NFI_Expiration=1,IF($A407&lt;VLOOKUP(L$5,NFI,5,0),1,0)*Data_NFI_t[[#This Row],[NFI Core Kit]],0)</f>
        <v>0</v>
      </c>
      <c r="AE407" s="86">
        <f>IF(NFI_Expiration=1,IF($A407&lt;VLOOKUP(M$5,NFI,5,0),1,0)*Data_NFI_t[[#This Row],[Sanitary Kit]],0)</f>
        <v>0</v>
      </c>
      <c r="AF407" s="86">
        <f>IF(NFI_Expiration=1,IF($A407&lt;VLOOKUP(N$5,NFI,5,0),1,0)*Data_NFI_t[[#This Row],[Mosquito net]],0)</f>
        <v>0</v>
      </c>
      <c r="AG407" s="86">
        <f>IF(NFI_Expiration=1,IF($A407&lt;VLOOKUP(O$5,NFI,5,0),1,0)*Data_NFI_t[[#This Row],[Tarpaulin]],0)</f>
        <v>0</v>
      </c>
      <c r="AH407" s="86">
        <f>IF(NFI_Expiration=1,IF($A407&lt;VLOOKUP(P$5,NFI,5,0),1,0)*Data_NFI_t[[#This Row],[Blanket]],0)</f>
        <v>0</v>
      </c>
      <c r="AI407" s="86">
        <f>IF(NFI_Expiration=1,IF($A407&lt;VLOOKUP(Q$5,NFI,5,0),1,0)*Data_NFI_t[[#This Row],[Kitchen Set]],0)</f>
        <v>0</v>
      </c>
      <c r="AJ407" s="86">
        <f>IF(NFI_Expiration=1,IF($A407&lt;VLOOKUP(R$5,NFI,5,0),1,0)*Data_NFI_t[[#This Row],[Complementary Kit]],0)</f>
        <v>0</v>
      </c>
      <c r="AK407" s="86">
        <f>IF(NFI_Expiration=1,IF($A407&lt;VLOOKUP(S$5,NFI,5,0),1,0)*Data_NFI_t[[#This Row],[Plastic Bucket]],0)</f>
        <v>0</v>
      </c>
      <c r="AL407" s="86">
        <f>IF(NFI_Expiration=1,IF($A407&lt;VLOOKUP(T$5,NFI,5,0),1,0)*Data_NFI_t[[#This Row],[Jerry Can]],0)</f>
        <v>0</v>
      </c>
      <c r="AM407" s="105">
        <f>IF(NFI_Expiration=1,IF($A407&lt;VLOOKUP(U$5,NFI,5,0),1,0)*Data_NFI_t[[#This Row],[Plastic Mat]],0)*IF(Data_NFI_t[[#This Row],[Distribution Date]]&gt;"01-06-2015",1,2.5)</f>
        <v>0</v>
      </c>
      <c r="AN407" s="734">
        <f>IF(NFI_Expiration=1,IF($A407&lt;VLOOKUP(V$5,NFI,5,0),1,0)*Data_NFI_t[[#This Row],[Adult Clothes]],0)</f>
        <v>0</v>
      </c>
      <c r="AO407" s="105">
        <f>IF(NFI_Expiration=1,IF($A407&lt;VLOOKUP(W$5,NFI,5,0),1,0)*Data_NFI_t[[#This Row],[Children Clothes]],0)</f>
        <v>0</v>
      </c>
      <c r="AP407" s="105">
        <f>IF(NFI_Expiration=1,IF($A407&lt;VLOOKUP(X$5,NFI,5,0),1,0)*Data_NFI_t[[#This Row],[Sewing Kit]],0)</f>
        <v>0</v>
      </c>
      <c r="AQ407" s="734">
        <f>IF(NFI_Expiration=1,IF($A407&lt;VLOOKUP(X$5,NFI,5,0),1,0)*Data_NFI_t[[#This Row],[Solar Lantern]],0)</f>
        <v>0</v>
      </c>
      <c r="AR407" s="105" t="str">
        <f ca="1">IFERROR(OFFSET(Camp_List[P_Code],MATCH(Data_NFI_t[[#This Row],[Camp Name]],Camp_List[Camp Name],0)-1,0,1,1),"")</f>
        <v>MMR012CMP006</v>
      </c>
      <c r="AS407" s="421" t="str">
        <f ca="1">IFERROR(OFFSET(Camp_List[Status],MATCH(Data_NFI_t[[#This Row],[Camp Name]],Camp_List[Camp Name],0)-1,0,1,1),"")</f>
        <v>Returned</v>
      </c>
      <c r="AT407" s="105"/>
    </row>
    <row r="408" spans="1:46" s="78" customFormat="1" ht="19.5" customHeight="1" x14ac:dyDescent="0.25">
      <c r="A408" s="208">
        <f t="shared" si="6"/>
        <v>64.400000000000006</v>
      </c>
      <c r="B408" s="208">
        <f>YEAR(Data_NFI_t[[#This Row],[Distribution Date]])</f>
        <v>2012</v>
      </c>
      <c r="C408" s="744">
        <v>41258</v>
      </c>
      <c r="D408" s="402" t="s">
        <v>270</v>
      </c>
      <c r="E408" s="401"/>
      <c r="F408" s="402" t="s">
        <v>7</v>
      </c>
      <c r="G408" s="670" t="s">
        <v>11</v>
      </c>
      <c r="H408" s="670" t="s">
        <v>26</v>
      </c>
      <c r="I408" s="670"/>
      <c r="J408" s="670"/>
      <c r="K408" s="670"/>
      <c r="L408" s="42"/>
      <c r="M408" s="42"/>
      <c r="N408" s="42"/>
      <c r="O408" s="42"/>
      <c r="P408" s="42">
        <v>156</v>
      </c>
      <c r="Q408" s="42"/>
      <c r="R408" s="42"/>
      <c r="S408" s="42"/>
      <c r="T408" s="419"/>
      <c r="U408" s="42"/>
      <c r="V408" s="42"/>
      <c r="W408" s="42"/>
      <c r="X408" s="42"/>
      <c r="Y408" s="42"/>
      <c r="Z408" s="42"/>
      <c r="AA408" s="42"/>
      <c r="AB408" s="42"/>
      <c r="AC408" s="105">
        <f>IF(NFI_Expiration=1,IF($A408&lt;VLOOKUP(I$5,NFI,5,0),1,0)*Data_NFI_t[[#This Row],[Hygiene Kit]],0)</f>
        <v>0</v>
      </c>
      <c r="AD408" s="105">
        <f>IF(NFI_Expiration=1,IF($A408&lt;VLOOKUP(L$5,NFI,5,0),1,0)*Data_NFI_t[[#This Row],[NFI Core Kit]],0)</f>
        <v>0</v>
      </c>
      <c r="AE408" s="86">
        <f>IF(NFI_Expiration=1,IF($A408&lt;VLOOKUP(M$5,NFI,5,0),1,0)*Data_NFI_t[[#This Row],[Sanitary Kit]],0)</f>
        <v>0</v>
      </c>
      <c r="AF408" s="86">
        <f>IF(NFI_Expiration=1,IF($A408&lt;VLOOKUP(N$5,NFI,5,0),1,0)*Data_NFI_t[[#This Row],[Mosquito net]],0)</f>
        <v>0</v>
      </c>
      <c r="AG408" s="86">
        <f>IF(NFI_Expiration=1,IF($A408&lt;VLOOKUP(O$5,NFI,5,0),1,0)*Data_NFI_t[[#This Row],[Tarpaulin]],0)</f>
        <v>0</v>
      </c>
      <c r="AH408" s="86">
        <f>IF(NFI_Expiration=1,IF($A408&lt;VLOOKUP(P$5,NFI,5,0),1,0)*Data_NFI_t[[#This Row],[Blanket]],0)</f>
        <v>0</v>
      </c>
      <c r="AI408" s="86">
        <f>IF(NFI_Expiration=1,IF($A408&lt;VLOOKUP(Q$5,NFI,5,0),1,0)*Data_NFI_t[[#This Row],[Kitchen Set]],0)</f>
        <v>0</v>
      </c>
      <c r="AJ408" s="86">
        <f>IF(NFI_Expiration=1,IF($A408&lt;VLOOKUP(R$5,NFI,5,0),1,0)*Data_NFI_t[[#This Row],[Complementary Kit]],0)</f>
        <v>0</v>
      </c>
      <c r="AK408" s="86">
        <f>IF(NFI_Expiration=1,IF($A408&lt;VLOOKUP(S$5,NFI,5,0),1,0)*Data_NFI_t[[#This Row],[Plastic Bucket]],0)</f>
        <v>0</v>
      </c>
      <c r="AL408" s="86">
        <f>IF(NFI_Expiration=1,IF($A408&lt;VLOOKUP(T$5,NFI,5,0),1,0)*Data_NFI_t[[#This Row],[Jerry Can]],0)</f>
        <v>0</v>
      </c>
      <c r="AM408" s="105">
        <f>IF(NFI_Expiration=1,IF($A408&lt;VLOOKUP(U$5,NFI,5,0),1,0)*Data_NFI_t[[#This Row],[Plastic Mat]],0)*IF(Data_NFI_t[[#This Row],[Distribution Date]]&gt;"01-06-2015",1,2.5)</f>
        <v>0</v>
      </c>
      <c r="AN408" s="734">
        <f>IF(NFI_Expiration=1,IF($A408&lt;VLOOKUP(V$5,NFI,5,0),1,0)*Data_NFI_t[[#This Row],[Adult Clothes]],0)</f>
        <v>0</v>
      </c>
      <c r="AO408" s="105">
        <f>IF(NFI_Expiration=1,IF($A408&lt;VLOOKUP(W$5,NFI,5,0),1,0)*Data_NFI_t[[#This Row],[Children Clothes]],0)</f>
        <v>0</v>
      </c>
      <c r="AP408" s="105">
        <f>IF(NFI_Expiration=1,IF($A408&lt;VLOOKUP(X$5,NFI,5,0),1,0)*Data_NFI_t[[#This Row],[Sewing Kit]],0)</f>
        <v>0</v>
      </c>
      <c r="AQ408" s="734">
        <f>IF(NFI_Expiration=1,IF($A408&lt;VLOOKUP(X$5,NFI,5,0),1,0)*Data_NFI_t[[#This Row],[Solar Lantern]],0)</f>
        <v>0</v>
      </c>
      <c r="AR408" s="105" t="str">
        <f ca="1">IFERROR(OFFSET(Camp_List[P_Code],MATCH(Data_NFI_t[[#This Row],[Camp Name]],Camp_List[Camp Name],0)-1,0,1,1),"")</f>
        <v>MMR012CMP004</v>
      </c>
      <c r="AS408" s="421" t="str">
        <f ca="1">IFERROR(OFFSET(Camp_List[Status],MATCH(Data_NFI_t[[#This Row],[Camp Name]],Camp_List[Camp Name],0)-1,0,1,1),"")</f>
        <v>Close</v>
      </c>
      <c r="AT408" s="105"/>
    </row>
    <row r="409" spans="1:46" s="78" customFormat="1" ht="19.5" customHeight="1" x14ac:dyDescent="0.25">
      <c r="A409" s="208">
        <f t="shared" si="6"/>
        <v>64.400000000000006</v>
      </c>
      <c r="B409" s="208">
        <f>YEAR(Data_NFI_t[[#This Row],[Distribution Date]])</f>
        <v>2012</v>
      </c>
      <c r="C409" s="744">
        <v>41258</v>
      </c>
      <c r="D409" s="402" t="s">
        <v>270</v>
      </c>
      <c r="E409" s="401"/>
      <c r="F409" s="402" t="s">
        <v>7</v>
      </c>
      <c r="G409" s="670" t="s">
        <v>941</v>
      </c>
      <c r="H409" s="670" t="s">
        <v>31</v>
      </c>
      <c r="I409" s="670"/>
      <c r="J409" s="670"/>
      <c r="K409" s="670"/>
      <c r="L409" s="42"/>
      <c r="M409" s="42"/>
      <c r="N409" s="42">
        <v>240</v>
      </c>
      <c r="O409" s="42"/>
      <c r="P409" s="42"/>
      <c r="Q409" s="42"/>
      <c r="R409" s="42"/>
      <c r="S409" s="42"/>
      <c r="T409" s="419"/>
      <c r="U409" s="42"/>
      <c r="V409" s="42"/>
      <c r="W409" s="42"/>
      <c r="X409" s="42"/>
      <c r="Y409" s="42"/>
      <c r="Z409" s="42"/>
      <c r="AA409" s="42"/>
      <c r="AB409" s="42"/>
      <c r="AC409" s="105">
        <f>IF(NFI_Expiration=1,IF($A409&lt;VLOOKUP(I$5,NFI,5,0),1,0)*Data_NFI_t[[#This Row],[Hygiene Kit]],0)</f>
        <v>0</v>
      </c>
      <c r="AD409" s="105">
        <f>IF(NFI_Expiration=1,IF($A409&lt;VLOOKUP(L$5,NFI,5,0),1,0)*Data_NFI_t[[#This Row],[NFI Core Kit]],0)</f>
        <v>0</v>
      </c>
      <c r="AE409" s="86">
        <f>IF(NFI_Expiration=1,IF($A409&lt;VLOOKUP(M$5,NFI,5,0),1,0)*Data_NFI_t[[#This Row],[Sanitary Kit]],0)</f>
        <v>0</v>
      </c>
      <c r="AF409" s="86">
        <f>IF(NFI_Expiration=1,IF($A409&lt;VLOOKUP(N$5,NFI,5,0),1,0)*Data_NFI_t[[#This Row],[Mosquito net]],0)</f>
        <v>0</v>
      </c>
      <c r="AG409" s="86">
        <f>IF(NFI_Expiration=1,IF($A409&lt;VLOOKUP(O$5,NFI,5,0),1,0)*Data_NFI_t[[#This Row],[Tarpaulin]],0)</f>
        <v>0</v>
      </c>
      <c r="AH409" s="86">
        <f>IF(NFI_Expiration=1,IF($A409&lt;VLOOKUP(P$5,NFI,5,0),1,0)*Data_NFI_t[[#This Row],[Blanket]],0)</f>
        <v>0</v>
      </c>
      <c r="AI409" s="86">
        <f>IF(NFI_Expiration=1,IF($A409&lt;VLOOKUP(Q$5,NFI,5,0),1,0)*Data_NFI_t[[#This Row],[Kitchen Set]],0)</f>
        <v>0</v>
      </c>
      <c r="AJ409" s="86">
        <f>IF(NFI_Expiration=1,IF($A409&lt;VLOOKUP(R$5,NFI,5,0),1,0)*Data_NFI_t[[#This Row],[Complementary Kit]],0)</f>
        <v>0</v>
      </c>
      <c r="AK409" s="86">
        <f>IF(NFI_Expiration=1,IF($A409&lt;VLOOKUP(S$5,NFI,5,0),1,0)*Data_NFI_t[[#This Row],[Plastic Bucket]],0)</f>
        <v>0</v>
      </c>
      <c r="AL409" s="86">
        <f>IF(NFI_Expiration=1,IF($A409&lt;VLOOKUP(T$5,NFI,5,0),1,0)*Data_NFI_t[[#This Row],[Jerry Can]],0)</f>
        <v>0</v>
      </c>
      <c r="AM409" s="105">
        <f>IF(NFI_Expiration=1,IF($A409&lt;VLOOKUP(U$5,NFI,5,0),1,0)*Data_NFI_t[[#This Row],[Plastic Mat]],0)*IF(Data_NFI_t[[#This Row],[Distribution Date]]&gt;"01-06-2015",1,2.5)</f>
        <v>0</v>
      </c>
      <c r="AN409" s="734">
        <f>IF(NFI_Expiration=1,IF($A409&lt;VLOOKUP(V$5,NFI,5,0),1,0)*Data_NFI_t[[#This Row],[Adult Clothes]],0)</f>
        <v>0</v>
      </c>
      <c r="AO409" s="105">
        <f>IF(NFI_Expiration=1,IF($A409&lt;VLOOKUP(W$5,NFI,5,0),1,0)*Data_NFI_t[[#This Row],[Children Clothes]],0)</f>
        <v>0</v>
      </c>
      <c r="AP409" s="105">
        <f>IF(NFI_Expiration=1,IF($A409&lt;VLOOKUP(X$5,NFI,5,0),1,0)*Data_NFI_t[[#This Row],[Sewing Kit]],0)</f>
        <v>0</v>
      </c>
      <c r="AQ409" s="734">
        <f>IF(NFI_Expiration=1,IF($A409&lt;VLOOKUP(X$5,NFI,5,0),1,0)*Data_NFI_t[[#This Row],[Solar Lantern]],0)</f>
        <v>0</v>
      </c>
      <c r="AR409" s="105" t="str">
        <f ca="1">IFERROR(OFFSET(Camp_List[P_Code],MATCH(Data_NFI_t[[#This Row],[Camp Name]],Camp_List[Camp Name],0)-1,0,1,1),"")</f>
        <v>MMR012CMP009</v>
      </c>
      <c r="AS409" s="421" t="str">
        <f ca="1">IFERROR(OFFSET(Camp_List[Status],MATCH(Data_NFI_t[[#This Row],[Camp Name]],Camp_List[Camp Name],0)-1,0,1,1),"")</f>
        <v>Returned</v>
      </c>
      <c r="AT409" s="105"/>
    </row>
    <row r="410" spans="1:46" s="78" customFormat="1" ht="19.5" customHeight="1" x14ac:dyDescent="0.25">
      <c r="A410" s="208">
        <f t="shared" si="6"/>
        <v>64.400000000000006</v>
      </c>
      <c r="B410" s="208">
        <f>YEAR(Data_NFI_t[[#This Row],[Distribution Date]])</f>
        <v>2012</v>
      </c>
      <c r="C410" s="744">
        <v>41258</v>
      </c>
      <c r="D410" s="402" t="s">
        <v>270</v>
      </c>
      <c r="E410" s="401"/>
      <c r="F410" s="402" t="s">
        <v>7</v>
      </c>
      <c r="G410" s="670" t="s">
        <v>11</v>
      </c>
      <c r="H410" s="670" t="s">
        <v>30</v>
      </c>
      <c r="I410" s="670"/>
      <c r="J410" s="670"/>
      <c r="K410" s="670"/>
      <c r="L410" s="42"/>
      <c r="M410" s="42"/>
      <c r="N410" s="42">
        <v>200</v>
      </c>
      <c r="O410" s="42"/>
      <c r="P410" s="42"/>
      <c r="Q410" s="42"/>
      <c r="R410" s="42"/>
      <c r="S410" s="42"/>
      <c r="T410" s="419"/>
      <c r="U410" s="42"/>
      <c r="V410" s="42"/>
      <c r="W410" s="42"/>
      <c r="X410" s="42"/>
      <c r="Y410" s="42"/>
      <c r="Z410" s="42"/>
      <c r="AA410" s="42"/>
      <c r="AB410" s="42"/>
      <c r="AC410" s="105">
        <f>IF(NFI_Expiration=1,IF($A410&lt;VLOOKUP(I$5,NFI,5,0),1,0)*Data_NFI_t[[#This Row],[Hygiene Kit]],0)</f>
        <v>0</v>
      </c>
      <c r="AD410" s="105">
        <f>IF(NFI_Expiration=1,IF($A410&lt;VLOOKUP(L$5,NFI,5,0),1,0)*Data_NFI_t[[#This Row],[NFI Core Kit]],0)</f>
        <v>0</v>
      </c>
      <c r="AE410" s="86">
        <f>IF(NFI_Expiration=1,IF($A410&lt;VLOOKUP(M$5,NFI,5,0),1,0)*Data_NFI_t[[#This Row],[Sanitary Kit]],0)</f>
        <v>0</v>
      </c>
      <c r="AF410" s="86">
        <f>IF(NFI_Expiration=1,IF($A410&lt;VLOOKUP(N$5,NFI,5,0),1,0)*Data_NFI_t[[#This Row],[Mosquito net]],0)</f>
        <v>0</v>
      </c>
      <c r="AG410" s="86">
        <f>IF(NFI_Expiration=1,IF($A410&lt;VLOOKUP(O$5,NFI,5,0),1,0)*Data_NFI_t[[#This Row],[Tarpaulin]],0)</f>
        <v>0</v>
      </c>
      <c r="AH410" s="86">
        <f>IF(NFI_Expiration=1,IF($A410&lt;VLOOKUP(P$5,NFI,5,0),1,0)*Data_NFI_t[[#This Row],[Blanket]],0)</f>
        <v>0</v>
      </c>
      <c r="AI410" s="86">
        <f>IF(NFI_Expiration=1,IF($A410&lt;VLOOKUP(Q$5,NFI,5,0),1,0)*Data_NFI_t[[#This Row],[Kitchen Set]],0)</f>
        <v>0</v>
      </c>
      <c r="AJ410" s="86">
        <f>IF(NFI_Expiration=1,IF($A410&lt;VLOOKUP(R$5,NFI,5,0),1,0)*Data_NFI_t[[#This Row],[Complementary Kit]],0)</f>
        <v>0</v>
      </c>
      <c r="AK410" s="86">
        <f>IF(NFI_Expiration=1,IF($A410&lt;VLOOKUP(S$5,NFI,5,0),1,0)*Data_NFI_t[[#This Row],[Plastic Bucket]],0)</f>
        <v>0</v>
      </c>
      <c r="AL410" s="86">
        <f>IF(NFI_Expiration=1,IF($A410&lt;VLOOKUP(T$5,NFI,5,0),1,0)*Data_NFI_t[[#This Row],[Jerry Can]],0)</f>
        <v>0</v>
      </c>
      <c r="AM410" s="105">
        <f>IF(NFI_Expiration=1,IF($A410&lt;VLOOKUP(U$5,NFI,5,0),1,0)*Data_NFI_t[[#This Row],[Plastic Mat]],0)*IF(Data_NFI_t[[#This Row],[Distribution Date]]&gt;"01-06-2015",1,2.5)</f>
        <v>0</v>
      </c>
      <c r="AN410" s="734">
        <f>IF(NFI_Expiration=1,IF($A410&lt;VLOOKUP(V$5,NFI,5,0),1,0)*Data_NFI_t[[#This Row],[Adult Clothes]],0)</f>
        <v>0</v>
      </c>
      <c r="AO410" s="105">
        <f>IF(NFI_Expiration=1,IF($A410&lt;VLOOKUP(W$5,NFI,5,0),1,0)*Data_NFI_t[[#This Row],[Children Clothes]],0)</f>
        <v>0</v>
      </c>
      <c r="AP410" s="105">
        <f>IF(NFI_Expiration=1,IF($A410&lt;VLOOKUP(X$5,NFI,5,0),1,0)*Data_NFI_t[[#This Row],[Sewing Kit]],0)</f>
        <v>0</v>
      </c>
      <c r="AQ410" s="734">
        <f>IF(NFI_Expiration=1,IF($A410&lt;VLOOKUP(X$5,NFI,5,0),1,0)*Data_NFI_t[[#This Row],[Solar Lantern]],0)</f>
        <v>0</v>
      </c>
      <c r="AR410" s="105" t="str">
        <f ca="1">IFERROR(OFFSET(Camp_List[P_Code],MATCH(Data_NFI_t[[#This Row],[Camp Name]],Camp_List[Camp Name],0)-1,0,1,1),"")</f>
        <v>MMR012CMP008</v>
      </c>
      <c r="AS410" s="421" t="str">
        <f ca="1">IFERROR(OFFSET(Camp_List[Status],MATCH(Data_NFI_t[[#This Row],[Camp Name]],Camp_List[Camp Name],0)-1,0,1,1),"")</f>
        <v>Returned</v>
      </c>
      <c r="AT410" s="105"/>
    </row>
    <row r="411" spans="1:46" s="78" customFormat="1" ht="19.5" customHeight="1" x14ac:dyDescent="0.25">
      <c r="A411" s="208">
        <f t="shared" si="6"/>
        <v>64.400000000000006</v>
      </c>
      <c r="B411" s="208">
        <f>YEAR(Data_NFI_t[[#This Row],[Distribution Date]])</f>
        <v>2012</v>
      </c>
      <c r="C411" s="744">
        <v>41258</v>
      </c>
      <c r="D411" s="402" t="s">
        <v>270</v>
      </c>
      <c r="E411" s="401"/>
      <c r="F411" s="402" t="s">
        <v>7</v>
      </c>
      <c r="G411" s="670" t="s">
        <v>11</v>
      </c>
      <c r="H411" s="670" t="s">
        <v>25</v>
      </c>
      <c r="I411" s="670"/>
      <c r="J411" s="670"/>
      <c r="K411" s="670"/>
      <c r="L411" s="42"/>
      <c r="M411" s="42"/>
      <c r="N411" s="42"/>
      <c r="O411" s="42"/>
      <c r="P411" s="42"/>
      <c r="Q411" s="42">
        <v>86</v>
      </c>
      <c r="R411" s="42"/>
      <c r="S411" s="42"/>
      <c r="T411" s="419"/>
      <c r="U411" s="42"/>
      <c r="V411" s="42"/>
      <c r="W411" s="42"/>
      <c r="X411" s="42"/>
      <c r="Y411" s="42"/>
      <c r="Z411" s="42"/>
      <c r="AA411" s="42"/>
      <c r="AB411" s="42"/>
      <c r="AC411" s="105">
        <f>IF(NFI_Expiration=1,IF($A411&lt;VLOOKUP(I$5,NFI,5,0),1,0)*Data_NFI_t[[#This Row],[Hygiene Kit]],0)</f>
        <v>0</v>
      </c>
      <c r="AD411" s="105">
        <f>IF(NFI_Expiration=1,IF($A411&lt;VLOOKUP(L$5,NFI,5,0),1,0)*Data_NFI_t[[#This Row],[NFI Core Kit]],0)</f>
        <v>0</v>
      </c>
      <c r="AE411" s="86">
        <f>IF(NFI_Expiration=1,IF($A411&lt;VLOOKUP(M$5,NFI,5,0),1,0)*Data_NFI_t[[#This Row],[Sanitary Kit]],0)</f>
        <v>0</v>
      </c>
      <c r="AF411" s="86">
        <f>IF(NFI_Expiration=1,IF($A411&lt;VLOOKUP(N$5,NFI,5,0),1,0)*Data_NFI_t[[#This Row],[Mosquito net]],0)</f>
        <v>0</v>
      </c>
      <c r="AG411" s="86">
        <f>IF(NFI_Expiration=1,IF($A411&lt;VLOOKUP(O$5,NFI,5,0),1,0)*Data_NFI_t[[#This Row],[Tarpaulin]],0)</f>
        <v>0</v>
      </c>
      <c r="AH411" s="86">
        <f>IF(NFI_Expiration=1,IF($A411&lt;VLOOKUP(P$5,NFI,5,0),1,0)*Data_NFI_t[[#This Row],[Blanket]],0)</f>
        <v>0</v>
      </c>
      <c r="AI411" s="86">
        <f>IF(NFI_Expiration=1,IF($A411&lt;VLOOKUP(Q$5,NFI,5,0),1,0)*Data_NFI_t[[#This Row],[Kitchen Set]],0)</f>
        <v>0</v>
      </c>
      <c r="AJ411" s="86">
        <f>IF(NFI_Expiration=1,IF($A411&lt;VLOOKUP(R$5,NFI,5,0),1,0)*Data_NFI_t[[#This Row],[Complementary Kit]],0)</f>
        <v>0</v>
      </c>
      <c r="AK411" s="86">
        <f>IF(NFI_Expiration=1,IF($A411&lt;VLOOKUP(S$5,NFI,5,0),1,0)*Data_NFI_t[[#This Row],[Plastic Bucket]],0)</f>
        <v>0</v>
      </c>
      <c r="AL411" s="86">
        <f>IF(NFI_Expiration=1,IF($A411&lt;VLOOKUP(T$5,NFI,5,0),1,0)*Data_NFI_t[[#This Row],[Jerry Can]],0)</f>
        <v>0</v>
      </c>
      <c r="AM411" s="105">
        <f>IF(NFI_Expiration=1,IF($A411&lt;VLOOKUP(U$5,NFI,5,0),1,0)*Data_NFI_t[[#This Row],[Plastic Mat]],0)*IF(Data_NFI_t[[#This Row],[Distribution Date]]&gt;"01-06-2015",1,2.5)</f>
        <v>0</v>
      </c>
      <c r="AN411" s="734">
        <f>IF(NFI_Expiration=1,IF($A411&lt;VLOOKUP(V$5,NFI,5,0),1,0)*Data_NFI_t[[#This Row],[Adult Clothes]],0)</f>
        <v>0</v>
      </c>
      <c r="AO411" s="105">
        <f>IF(NFI_Expiration=1,IF($A411&lt;VLOOKUP(W$5,NFI,5,0),1,0)*Data_NFI_t[[#This Row],[Children Clothes]],0)</f>
        <v>0</v>
      </c>
      <c r="AP411" s="105">
        <f>IF(NFI_Expiration=1,IF($A411&lt;VLOOKUP(X$5,NFI,5,0),1,0)*Data_NFI_t[[#This Row],[Sewing Kit]],0)</f>
        <v>0</v>
      </c>
      <c r="AQ411" s="734">
        <f>IF(NFI_Expiration=1,IF($A411&lt;VLOOKUP(X$5,NFI,5,0),1,0)*Data_NFI_t[[#This Row],[Solar Lantern]],0)</f>
        <v>0</v>
      </c>
      <c r="AR411" s="105" t="str">
        <f ca="1">IFERROR(OFFSET(Camp_List[P_Code],MATCH(Data_NFI_t[[#This Row],[Camp Name]],Camp_List[Camp Name],0)-1,0,1,1),"")</f>
        <v>MMR012CMP003</v>
      </c>
      <c r="AS411" s="421" t="str">
        <f ca="1">IFERROR(OFFSET(Camp_List[Status],MATCH(Data_NFI_t[[#This Row],[Camp Name]],Camp_List[Camp Name],0)-1,0,1,1),"")</f>
        <v>Returned</v>
      </c>
      <c r="AT411" s="105"/>
    </row>
    <row r="412" spans="1:46" s="78" customFormat="1" ht="19.5" customHeight="1" x14ac:dyDescent="0.25">
      <c r="A412" s="208">
        <f t="shared" si="6"/>
        <v>64.400000000000006</v>
      </c>
      <c r="B412" s="208">
        <f>YEAR(Data_NFI_t[[#This Row],[Distribution Date]])</f>
        <v>2012</v>
      </c>
      <c r="C412" s="744">
        <v>41258</v>
      </c>
      <c r="D412" s="402" t="s">
        <v>270</v>
      </c>
      <c r="E412" s="401"/>
      <c r="F412" s="402" t="s">
        <v>7</v>
      </c>
      <c r="G412" s="670" t="s">
        <v>11</v>
      </c>
      <c r="H412" s="670" t="s">
        <v>24</v>
      </c>
      <c r="I412" s="670"/>
      <c r="J412" s="670"/>
      <c r="K412" s="670"/>
      <c r="L412" s="42"/>
      <c r="M412" s="42"/>
      <c r="N412" s="42"/>
      <c r="O412" s="42"/>
      <c r="P412" s="42">
        <v>406</v>
      </c>
      <c r="Q412" s="42"/>
      <c r="R412" s="42"/>
      <c r="S412" s="42"/>
      <c r="T412" s="419"/>
      <c r="U412" s="42"/>
      <c r="V412" s="42"/>
      <c r="W412" s="42"/>
      <c r="X412" s="42"/>
      <c r="Y412" s="42"/>
      <c r="Z412" s="42"/>
      <c r="AA412" s="42"/>
      <c r="AB412" s="42"/>
      <c r="AC412" s="105">
        <f>IF(NFI_Expiration=1,IF($A412&lt;VLOOKUP(I$5,NFI,5,0),1,0)*Data_NFI_t[[#This Row],[Hygiene Kit]],0)</f>
        <v>0</v>
      </c>
      <c r="AD412" s="105">
        <f>IF(NFI_Expiration=1,IF($A412&lt;VLOOKUP(L$5,NFI,5,0),1,0)*Data_NFI_t[[#This Row],[NFI Core Kit]],0)</f>
        <v>0</v>
      </c>
      <c r="AE412" s="86">
        <f>IF(NFI_Expiration=1,IF($A412&lt;VLOOKUP(M$5,NFI,5,0),1,0)*Data_NFI_t[[#This Row],[Sanitary Kit]],0)</f>
        <v>0</v>
      </c>
      <c r="AF412" s="86">
        <f>IF(NFI_Expiration=1,IF($A412&lt;VLOOKUP(N$5,NFI,5,0),1,0)*Data_NFI_t[[#This Row],[Mosquito net]],0)</f>
        <v>0</v>
      </c>
      <c r="AG412" s="86">
        <f>IF(NFI_Expiration=1,IF($A412&lt;VLOOKUP(O$5,NFI,5,0),1,0)*Data_NFI_t[[#This Row],[Tarpaulin]],0)</f>
        <v>0</v>
      </c>
      <c r="AH412" s="86">
        <f>IF(NFI_Expiration=1,IF($A412&lt;VLOOKUP(P$5,NFI,5,0),1,0)*Data_NFI_t[[#This Row],[Blanket]],0)</f>
        <v>0</v>
      </c>
      <c r="AI412" s="86">
        <f>IF(NFI_Expiration=1,IF($A412&lt;VLOOKUP(Q$5,NFI,5,0),1,0)*Data_NFI_t[[#This Row],[Kitchen Set]],0)</f>
        <v>0</v>
      </c>
      <c r="AJ412" s="86">
        <f>IF(NFI_Expiration=1,IF($A412&lt;VLOOKUP(R$5,NFI,5,0),1,0)*Data_NFI_t[[#This Row],[Complementary Kit]],0)</f>
        <v>0</v>
      </c>
      <c r="AK412" s="86">
        <f>IF(NFI_Expiration=1,IF($A412&lt;VLOOKUP(S$5,NFI,5,0),1,0)*Data_NFI_t[[#This Row],[Plastic Bucket]],0)</f>
        <v>0</v>
      </c>
      <c r="AL412" s="86">
        <f>IF(NFI_Expiration=1,IF($A412&lt;VLOOKUP(T$5,NFI,5,0),1,0)*Data_NFI_t[[#This Row],[Jerry Can]],0)</f>
        <v>0</v>
      </c>
      <c r="AM412" s="105">
        <f>IF(NFI_Expiration=1,IF($A412&lt;VLOOKUP(U$5,NFI,5,0),1,0)*Data_NFI_t[[#This Row],[Plastic Mat]],0)*IF(Data_NFI_t[[#This Row],[Distribution Date]]&gt;"01-06-2015",1,2.5)</f>
        <v>0</v>
      </c>
      <c r="AN412" s="734">
        <f>IF(NFI_Expiration=1,IF($A412&lt;VLOOKUP(V$5,NFI,5,0),1,0)*Data_NFI_t[[#This Row],[Adult Clothes]],0)</f>
        <v>0</v>
      </c>
      <c r="AO412" s="105">
        <f>IF(NFI_Expiration=1,IF($A412&lt;VLOOKUP(W$5,NFI,5,0),1,0)*Data_NFI_t[[#This Row],[Children Clothes]],0)</f>
        <v>0</v>
      </c>
      <c r="AP412" s="105">
        <f>IF(NFI_Expiration=1,IF($A412&lt;VLOOKUP(X$5,NFI,5,0),1,0)*Data_NFI_t[[#This Row],[Sewing Kit]],0)</f>
        <v>0</v>
      </c>
      <c r="AQ412" s="734">
        <f>IF(NFI_Expiration=1,IF($A412&lt;VLOOKUP(X$5,NFI,5,0),1,0)*Data_NFI_t[[#This Row],[Solar Lantern]],0)</f>
        <v>0</v>
      </c>
      <c r="AR412" s="105" t="str">
        <f ca="1">IFERROR(OFFSET(Camp_List[P_Code],MATCH(Data_NFI_t[[#This Row],[Camp Name]],Camp_List[Camp Name],0)-1,0,1,1),"")</f>
        <v>MMR012CMP002</v>
      </c>
      <c r="AS412" s="421" t="str">
        <f ca="1">IFERROR(OFFSET(Camp_List[Status],MATCH(Data_NFI_t[[#This Row],[Camp Name]],Camp_List[Camp Name],0)-1,0,1,1),"")</f>
        <v>Returned</v>
      </c>
      <c r="AT412" s="105"/>
    </row>
    <row r="413" spans="1:46" s="78" customFormat="1" ht="19.5" customHeight="1" x14ac:dyDescent="0.25">
      <c r="A413" s="208">
        <f t="shared" si="6"/>
        <v>64.433333333333337</v>
      </c>
      <c r="B413" s="208">
        <f>YEAR(Data_NFI_t[[#This Row],[Distribution Date]])</f>
        <v>2012</v>
      </c>
      <c r="C413" s="744">
        <v>41257</v>
      </c>
      <c r="D413" s="402" t="s">
        <v>274</v>
      </c>
      <c r="E413" s="401" t="s">
        <v>270</v>
      </c>
      <c r="F413" s="402" t="s">
        <v>7</v>
      </c>
      <c r="G413" s="670" t="s">
        <v>17</v>
      </c>
      <c r="H413" s="670" t="s">
        <v>69</v>
      </c>
      <c r="I413" s="670"/>
      <c r="J413" s="670"/>
      <c r="K413" s="670"/>
      <c r="L413" s="42"/>
      <c r="M413" s="42"/>
      <c r="N413" s="42"/>
      <c r="O413" s="42"/>
      <c r="P413" s="42">
        <v>55</v>
      </c>
      <c r="Q413" s="42"/>
      <c r="R413" s="42"/>
      <c r="S413" s="42"/>
      <c r="T413" s="419"/>
      <c r="U413" s="42"/>
      <c r="V413" s="42"/>
      <c r="W413" s="42"/>
      <c r="X413" s="42"/>
      <c r="Y413" s="42"/>
      <c r="Z413" s="42"/>
      <c r="AA413" s="42"/>
      <c r="AB413" s="42"/>
      <c r="AC413" s="105">
        <f>IF(NFI_Expiration=1,IF($A413&lt;VLOOKUP(I$5,NFI,5,0),1,0)*Data_NFI_t[[#This Row],[Hygiene Kit]],0)</f>
        <v>0</v>
      </c>
      <c r="AD413" s="105">
        <f>IF(NFI_Expiration=1,IF($A413&lt;VLOOKUP(L$5,NFI,5,0),1,0)*Data_NFI_t[[#This Row],[NFI Core Kit]],0)</f>
        <v>0</v>
      </c>
      <c r="AE413" s="86">
        <f>IF(NFI_Expiration=1,IF($A413&lt;VLOOKUP(M$5,NFI,5,0),1,0)*Data_NFI_t[[#This Row],[Sanitary Kit]],0)</f>
        <v>0</v>
      </c>
      <c r="AF413" s="86">
        <f>IF(NFI_Expiration=1,IF($A413&lt;VLOOKUP(N$5,NFI,5,0),1,0)*Data_NFI_t[[#This Row],[Mosquito net]],0)</f>
        <v>0</v>
      </c>
      <c r="AG413" s="86">
        <f>IF(NFI_Expiration=1,IF($A413&lt;VLOOKUP(O$5,NFI,5,0),1,0)*Data_NFI_t[[#This Row],[Tarpaulin]],0)</f>
        <v>0</v>
      </c>
      <c r="AH413" s="86">
        <f>IF(NFI_Expiration=1,IF($A413&lt;VLOOKUP(P$5,NFI,5,0),1,0)*Data_NFI_t[[#This Row],[Blanket]],0)</f>
        <v>0</v>
      </c>
      <c r="AI413" s="86">
        <f>IF(NFI_Expiration=1,IF($A413&lt;VLOOKUP(Q$5,NFI,5,0),1,0)*Data_NFI_t[[#This Row],[Kitchen Set]],0)</f>
        <v>0</v>
      </c>
      <c r="AJ413" s="86">
        <f>IF(NFI_Expiration=1,IF($A413&lt;VLOOKUP(R$5,NFI,5,0),1,0)*Data_NFI_t[[#This Row],[Complementary Kit]],0)</f>
        <v>0</v>
      </c>
      <c r="AK413" s="86">
        <f>IF(NFI_Expiration=1,IF($A413&lt;VLOOKUP(S$5,NFI,5,0),1,0)*Data_NFI_t[[#This Row],[Plastic Bucket]],0)</f>
        <v>0</v>
      </c>
      <c r="AL413" s="86">
        <f>IF(NFI_Expiration=1,IF($A413&lt;VLOOKUP(T$5,NFI,5,0),1,0)*Data_NFI_t[[#This Row],[Jerry Can]],0)</f>
        <v>0</v>
      </c>
      <c r="AM413" s="105">
        <f>IF(NFI_Expiration=1,IF($A413&lt;VLOOKUP(U$5,NFI,5,0),1,0)*Data_NFI_t[[#This Row],[Plastic Mat]],0)*IF(Data_NFI_t[[#This Row],[Distribution Date]]&gt;"01-06-2015",1,2.5)</f>
        <v>0</v>
      </c>
      <c r="AN413" s="734">
        <f>IF(NFI_Expiration=1,IF($A413&lt;VLOOKUP(V$5,NFI,5,0),1,0)*Data_NFI_t[[#This Row],[Adult Clothes]],0)</f>
        <v>0</v>
      </c>
      <c r="AO413" s="105">
        <f>IF(NFI_Expiration=1,IF($A413&lt;VLOOKUP(W$5,NFI,5,0),1,0)*Data_NFI_t[[#This Row],[Children Clothes]],0)</f>
        <v>0</v>
      </c>
      <c r="AP413" s="105">
        <f>IF(NFI_Expiration=1,IF($A413&lt;VLOOKUP(X$5,NFI,5,0),1,0)*Data_NFI_t[[#This Row],[Sewing Kit]],0)</f>
        <v>0</v>
      </c>
      <c r="AQ413" s="734">
        <f>IF(NFI_Expiration=1,IF($A413&lt;VLOOKUP(X$5,NFI,5,0),1,0)*Data_NFI_t[[#This Row],[Solar Lantern]],0)</f>
        <v>0</v>
      </c>
      <c r="AR413" s="105" t="str">
        <f ca="1">IFERROR(OFFSET(Camp_List[P_Code],MATCH(Data_NFI_t[[#This Row],[Camp Name]],Camp_List[Camp Name],0)-1,0,1,1),"")</f>
        <v>MMR012CMP049</v>
      </c>
      <c r="AS413" s="421" t="str">
        <f ca="1">IFERROR(OFFSET(Camp_List[Status],MATCH(Data_NFI_t[[#This Row],[Camp Name]],Camp_List[Camp Name],0)-1,0,1,1),"")</f>
        <v>Close</v>
      </c>
      <c r="AT413" s="105"/>
    </row>
    <row r="414" spans="1:46" s="78" customFormat="1" ht="19.5" customHeight="1" x14ac:dyDescent="0.25">
      <c r="A414" s="208">
        <f t="shared" si="6"/>
        <v>64.466666666666669</v>
      </c>
      <c r="B414" s="208">
        <f>YEAR(Data_NFI_t[[#This Row],[Distribution Date]])</f>
        <v>2012</v>
      </c>
      <c r="C414" s="744">
        <v>41256</v>
      </c>
      <c r="D414" s="402" t="s">
        <v>270</v>
      </c>
      <c r="E414" s="401"/>
      <c r="F414" s="402" t="s">
        <v>7</v>
      </c>
      <c r="G414" s="670" t="s">
        <v>14</v>
      </c>
      <c r="H414" s="670" t="s">
        <v>47</v>
      </c>
      <c r="I414" s="670"/>
      <c r="J414" s="670"/>
      <c r="K414" s="670"/>
      <c r="L414" s="42"/>
      <c r="M414" s="42"/>
      <c r="N414" s="42">
        <v>180</v>
      </c>
      <c r="O414" s="42"/>
      <c r="P414" s="42">
        <v>180</v>
      </c>
      <c r="Q414" s="42">
        <v>90</v>
      </c>
      <c r="R414" s="42"/>
      <c r="S414" s="42"/>
      <c r="T414" s="419"/>
      <c r="U414" s="42"/>
      <c r="V414" s="42"/>
      <c r="W414" s="42"/>
      <c r="X414" s="42"/>
      <c r="Y414" s="42"/>
      <c r="Z414" s="42"/>
      <c r="AA414" s="42"/>
      <c r="AB414" s="42"/>
      <c r="AC414" s="105">
        <f>IF(NFI_Expiration=1,IF($A414&lt;VLOOKUP(I$5,NFI,5,0),1,0)*Data_NFI_t[[#This Row],[Hygiene Kit]],0)</f>
        <v>0</v>
      </c>
      <c r="AD414" s="105">
        <f>IF(NFI_Expiration=1,IF($A414&lt;VLOOKUP(L$5,NFI,5,0),1,0)*Data_NFI_t[[#This Row],[NFI Core Kit]],0)</f>
        <v>0</v>
      </c>
      <c r="AE414" s="86">
        <f>IF(NFI_Expiration=1,IF($A414&lt;VLOOKUP(M$5,NFI,5,0),1,0)*Data_NFI_t[[#This Row],[Sanitary Kit]],0)</f>
        <v>0</v>
      </c>
      <c r="AF414" s="86">
        <f>IF(NFI_Expiration=1,IF($A414&lt;VLOOKUP(N$5,NFI,5,0),1,0)*Data_NFI_t[[#This Row],[Mosquito net]],0)</f>
        <v>0</v>
      </c>
      <c r="AG414" s="86">
        <f>IF(NFI_Expiration=1,IF($A414&lt;VLOOKUP(O$5,NFI,5,0),1,0)*Data_NFI_t[[#This Row],[Tarpaulin]],0)</f>
        <v>0</v>
      </c>
      <c r="AH414" s="86">
        <f>IF(NFI_Expiration=1,IF($A414&lt;VLOOKUP(P$5,NFI,5,0),1,0)*Data_NFI_t[[#This Row],[Blanket]],0)</f>
        <v>0</v>
      </c>
      <c r="AI414" s="86">
        <f>IF(NFI_Expiration=1,IF($A414&lt;VLOOKUP(Q$5,NFI,5,0),1,0)*Data_NFI_t[[#This Row],[Kitchen Set]],0)</f>
        <v>0</v>
      </c>
      <c r="AJ414" s="86">
        <f>IF(NFI_Expiration=1,IF($A414&lt;VLOOKUP(R$5,NFI,5,0),1,0)*Data_NFI_t[[#This Row],[Complementary Kit]],0)</f>
        <v>0</v>
      </c>
      <c r="AK414" s="86">
        <f>IF(NFI_Expiration=1,IF($A414&lt;VLOOKUP(S$5,NFI,5,0),1,0)*Data_NFI_t[[#This Row],[Plastic Bucket]],0)</f>
        <v>0</v>
      </c>
      <c r="AL414" s="86">
        <f>IF(NFI_Expiration=1,IF($A414&lt;VLOOKUP(T$5,NFI,5,0),1,0)*Data_NFI_t[[#This Row],[Jerry Can]],0)</f>
        <v>0</v>
      </c>
      <c r="AM414" s="105">
        <f>IF(NFI_Expiration=1,IF($A414&lt;VLOOKUP(U$5,NFI,5,0),1,0)*Data_NFI_t[[#This Row],[Plastic Mat]],0)*IF(Data_NFI_t[[#This Row],[Distribution Date]]&gt;"01-06-2015",1,2.5)</f>
        <v>0</v>
      </c>
      <c r="AN414" s="734">
        <f>IF(NFI_Expiration=1,IF($A414&lt;VLOOKUP(V$5,NFI,5,0),1,0)*Data_NFI_t[[#This Row],[Adult Clothes]],0)</f>
        <v>0</v>
      </c>
      <c r="AO414" s="105">
        <f>IF(NFI_Expiration=1,IF($A414&lt;VLOOKUP(W$5,NFI,5,0),1,0)*Data_NFI_t[[#This Row],[Children Clothes]],0)</f>
        <v>0</v>
      </c>
      <c r="AP414" s="105">
        <f>IF(NFI_Expiration=1,IF($A414&lt;VLOOKUP(X$5,NFI,5,0),1,0)*Data_NFI_t[[#This Row],[Sewing Kit]],0)</f>
        <v>0</v>
      </c>
      <c r="AQ414" s="734">
        <f>IF(NFI_Expiration=1,IF($A414&lt;VLOOKUP(X$5,NFI,5,0),1,0)*Data_NFI_t[[#This Row],[Solar Lantern]],0)</f>
        <v>0</v>
      </c>
      <c r="AR414" s="105" t="str">
        <f ca="1">IFERROR(OFFSET(Camp_List[P_Code],MATCH(Data_NFI_t[[#This Row],[Camp Name]],Camp_List[Camp Name],0)-1,0,1,1),"")</f>
        <v>MMR012CMP025</v>
      </c>
      <c r="AS414" s="421" t="str">
        <f ca="1">IFERROR(OFFSET(Camp_List[Status],MATCH(Data_NFI_t[[#This Row],[Camp Name]],Camp_List[Camp Name],0)-1,0,1,1),"")</f>
        <v>Returned</v>
      </c>
      <c r="AT414" s="105"/>
    </row>
    <row r="415" spans="1:46" s="78" customFormat="1" ht="19.5" customHeight="1" x14ac:dyDescent="0.25">
      <c r="A415" s="208">
        <f t="shared" si="6"/>
        <v>64.466666666666669</v>
      </c>
      <c r="B415" s="208">
        <f>YEAR(Data_NFI_t[[#This Row],[Distribution Date]])</f>
        <v>2012</v>
      </c>
      <c r="C415" s="744">
        <v>41256</v>
      </c>
      <c r="D415" s="402" t="s">
        <v>270</v>
      </c>
      <c r="E415" s="401"/>
      <c r="F415" s="402" t="s">
        <v>7</v>
      </c>
      <c r="G415" s="670" t="s">
        <v>14</v>
      </c>
      <c r="H415" s="670" t="s">
        <v>46</v>
      </c>
      <c r="I415" s="670"/>
      <c r="J415" s="670"/>
      <c r="K415" s="670"/>
      <c r="L415" s="42"/>
      <c r="M415" s="42"/>
      <c r="N415" s="42"/>
      <c r="O415" s="42"/>
      <c r="P415" s="42"/>
      <c r="Q415" s="42"/>
      <c r="R415" s="42">
        <v>90</v>
      </c>
      <c r="S415" s="42"/>
      <c r="T415" s="419"/>
      <c r="U415" s="42"/>
      <c r="V415" s="42"/>
      <c r="W415" s="42"/>
      <c r="X415" s="42"/>
      <c r="Y415" s="42"/>
      <c r="Z415" s="42"/>
      <c r="AA415" s="42"/>
      <c r="AB415" s="42"/>
      <c r="AC415" s="105">
        <f>IF(NFI_Expiration=1,IF($A415&lt;VLOOKUP(I$5,NFI,5,0),1,0)*Data_NFI_t[[#This Row],[Hygiene Kit]],0)</f>
        <v>0</v>
      </c>
      <c r="AD415" s="105">
        <f>IF(NFI_Expiration=1,IF($A415&lt;VLOOKUP(L$5,NFI,5,0),1,0)*Data_NFI_t[[#This Row],[NFI Core Kit]],0)</f>
        <v>0</v>
      </c>
      <c r="AE415" s="86">
        <f>IF(NFI_Expiration=1,IF($A415&lt;VLOOKUP(M$5,NFI,5,0),1,0)*Data_NFI_t[[#This Row],[Sanitary Kit]],0)</f>
        <v>0</v>
      </c>
      <c r="AF415" s="86">
        <f>IF(NFI_Expiration=1,IF($A415&lt;VLOOKUP(N$5,NFI,5,0),1,0)*Data_NFI_t[[#This Row],[Mosquito net]],0)</f>
        <v>0</v>
      </c>
      <c r="AG415" s="86">
        <f>IF(NFI_Expiration=1,IF($A415&lt;VLOOKUP(O$5,NFI,5,0),1,0)*Data_NFI_t[[#This Row],[Tarpaulin]],0)</f>
        <v>0</v>
      </c>
      <c r="AH415" s="86">
        <f>IF(NFI_Expiration=1,IF($A415&lt;VLOOKUP(P$5,NFI,5,0),1,0)*Data_NFI_t[[#This Row],[Blanket]],0)</f>
        <v>0</v>
      </c>
      <c r="AI415" s="86">
        <f>IF(NFI_Expiration=1,IF($A415&lt;VLOOKUP(Q$5,NFI,5,0),1,0)*Data_NFI_t[[#This Row],[Kitchen Set]],0)</f>
        <v>0</v>
      </c>
      <c r="AJ415" s="86">
        <f>IF(NFI_Expiration=1,IF($A415&lt;VLOOKUP(R$5,NFI,5,0),1,0)*Data_NFI_t[[#This Row],[Complementary Kit]],0)</f>
        <v>0</v>
      </c>
      <c r="AK415" s="86">
        <f>IF(NFI_Expiration=1,IF($A415&lt;VLOOKUP(S$5,NFI,5,0),1,0)*Data_NFI_t[[#This Row],[Plastic Bucket]],0)</f>
        <v>0</v>
      </c>
      <c r="AL415" s="86">
        <f>IF(NFI_Expiration=1,IF($A415&lt;VLOOKUP(T$5,NFI,5,0),1,0)*Data_NFI_t[[#This Row],[Jerry Can]],0)</f>
        <v>0</v>
      </c>
      <c r="AM415" s="105">
        <f>IF(NFI_Expiration=1,IF($A415&lt;VLOOKUP(U$5,NFI,5,0),1,0)*Data_NFI_t[[#This Row],[Plastic Mat]],0)*IF(Data_NFI_t[[#This Row],[Distribution Date]]&gt;"01-06-2015",1,2.5)</f>
        <v>0</v>
      </c>
      <c r="AN415" s="734">
        <f>IF(NFI_Expiration=1,IF($A415&lt;VLOOKUP(V$5,NFI,5,0),1,0)*Data_NFI_t[[#This Row],[Adult Clothes]],0)</f>
        <v>0</v>
      </c>
      <c r="AO415" s="105">
        <f>IF(NFI_Expiration=1,IF($A415&lt;VLOOKUP(W$5,NFI,5,0),1,0)*Data_NFI_t[[#This Row],[Children Clothes]],0)</f>
        <v>0</v>
      </c>
      <c r="AP415" s="105">
        <f>IF(NFI_Expiration=1,IF($A415&lt;VLOOKUP(X$5,NFI,5,0),1,0)*Data_NFI_t[[#This Row],[Sewing Kit]],0)</f>
        <v>0</v>
      </c>
      <c r="AQ415" s="734">
        <f>IF(NFI_Expiration=1,IF($A415&lt;VLOOKUP(X$5,NFI,5,0),1,0)*Data_NFI_t[[#This Row],[Solar Lantern]],0)</f>
        <v>0</v>
      </c>
      <c r="AR415" s="105" t="str">
        <f ca="1">IFERROR(OFFSET(Camp_List[P_Code],MATCH(Data_NFI_t[[#This Row],[Camp Name]],Camp_List[Camp Name],0)-1,0,1,1),"")</f>
        <v>MMR012CMP024</v>
      </c>
      <c r="AS415" s="421" t="str">
        <f ca="1">IFERROR(OFFSET(Camp_List[Status],MATCH(Data_NFI_t[[#This Row],[Camp Name]],Camp_List[Camp Name],0)-1,0,1,1),"")</f>
        <v>Returned</v>
      </c>
      <c r="AT415" s="105"/>
    </row>
    <row r="416" spans="1:46" s="78" customFormat="1" ht="19.5" customHeight="1" x14ac:dyDescent="0.25">
      <c r="A416" s="208">
        <f t="shared" si="6"/>
        <v>64.466666666666669</v>
      </c>
      <c r="B416" s="208">
        <f>YEAR(Data_NFI_t[[#This Row],[Distribution Date]])</f>
        <v>2012</v>
      </c>
      <c r="C416" s="744">
        <v>41256</v>
      </c>
      <c r="D416" s="402" t="s">
        <v>270</v>
      </c>
      <c r="E416" s="401"/>
      <c r="F416" s="402" t="s">
        <v>7</v>
      </c>
      <c r="G416" s="670" t="s">
        <v>17</v>
      </c>
      <c r="H416" s="670" t="s">
        <v>59</v>
      </c>
      <c r="I416" s="670"/>
      <c r="J416" s="670"/>
      <c r="K416" s="670"/>
      <c r="L416" s="42"/>
      <c r="M416" s="42">
        <v>302</v>
      </c>
      <c r="N416" s="42"/>
      <c r="O416" s="42"/>
      <c r="P416" s="42"/>
      <c r="Q416" s="42"/>
      <c r="R416" s="42"/>
      <c r="S416" s="42"/>
      <c r="T416" s="419"/>
      <c r="U416" s="42"/>
      <c r="V416" s="42"/>
      <c r="W416" s="42"/>
      <c r="X416" s="42"/>
      <c r="Y416" s="42"/>
      <c r="Z416" s="42"/>
      <c r="AA416" s="42"/>
      <c r="AB416" s="42"/>
      <c r="AC416" s="105">
        <f>IF(NFI_Expiration=1,IF($A416&lt;VLOOKUP(I$5,NFI,5,0),1,0)*Data_NFI_t[[#This Row],[Hygiene Kit]],0)</f>
        <v>0</v>
      </c>
      <c r="AD416" s="105">
        <f>IF(NFI_Expiration=1,IF($A416&lt;VLOOKUP(L$5,NFI,5,0),1,0)*Data_NFI_t[[#This Row],[NFI Core Kit]],0)</f>
        <v>0</v>
      </c>
      <c r="AE416" s="86">
        <f>IF(NFI_Expiration=1,IF($A416&lt;VLOOKUP(M$5,NFI,5,0),1,0)*Data_NFI_t[[#This Row],[Sanitary Kit]],0)</f>
        <v>0</v>
      </c>
      <c r="AF416" s="86">
        <f>IF(NFI_Expiration=1,IF($A416&lt;VLOOKUP(N$5,NFI,5,0),1,0)*Data_NFI_t[[#This Row],[Mosquito net]],0)</f>
        <v>0</v>
      </c>
      <c r="AG416" s="86">
        <f>IF(NFI_Expiration=1,IF($A416&lt;VLOOKUP(O$5,NFI,5,0),1,0)*Data_NFI_t[[#This Row],[Tarpaulin]],0)</f>
        <v>0</v>
      </c>
      <c r="AH416" s="86">
        <f>IF(NFI_Expiration=1,IF($A416&lt;VLOOKUP(P$5,NFI,5,0),1,0)*Data_NFI_t[[#This Row],[Blanket]],0)</f>
        <v>0</v>
      </c>
      <c r="AI416" s="86">
        <f>IF(NFI_Expiration=1,IF($A416&lt;VLOOKUP(Q$5,NFI,5,0),1,0)*Data_NFI_t[[#This Row],[Kitchen Set]],0)</f>
        <v>0</v>
      </c>
      <c r="AJ416" s="86">
        <f>IF(NFI_Expiration=1,IF($A416&lt;VLOOKUP(R$5,NFI,5,0),1,0)*Data_NFI_t[[#This Row],[Complementary Kit]],0)</f>
        <v>0</v>
      </c>
      <c r="AK416" s="86">
        <f>IF(NFI_Expiration=1,IF($A416&lt;VLOOKUP(S$5,NFI,5,0),1,0)*Data_NFI_t[[#This Row],[Plastic Bucket]],0)</f>
        <v>0</v>
      </c>
      <c r="AL416" s="86">
        <f>IF(NFI_Expiration=1,IF($A416&lt;VLOOKUP(T$5,NFI,5,0),1,0)*Data_NFI_t[[#This Row],[Jerry Can]],0)</f>
        <v>0</v>
      </c>
      <c r="AM416" s="105">
        <f>IF(NFI_Expiration=1,IF($A416&lt;VLOOKUP(U$5,NFI,5,0),1,0)*Data_NFI_t[[#This Row],[Plastic Mat]],0)*IF(Data_NFI_t[[#This Row],[Distribution Date]]&gt;"01-06-2015",1,2.5)</f>
        <v>0</v>
      </c>
      <c r="AN416" s="734">
        <f>IF(NFI_Expiration=1,IF($A416&lt;VLOOKUP(V$5,NFI,5,0),1,0)*Data_NFI_t[[#This Row],[Adult Clothes]],0)</f>
        <v>0</v>
      </c>
      <c r="AO416" s="105">
        <f>IF(NFI_Expiration=1,IF($A416&lt;VLOOKUP(W$5,NFI,5,0),1,0)*Data_NFI_t[[#This Row],[Children Clothes]],0)</f>
        <v>0</v>
      </c>
      <c r="AP416" s="105">
        <f>IF(NFI_Expiration=1,IF($A416&lt;VLOOKUP(X$5,NFI,5,0),1,0)*Data_NFI_t[[#This Row],[Sewing Kit]],0)</f>
        <v>0</v>
      </c>
      <c r="AQ416" s="734">
        <f>IF(NFI_Expiration=1,IF($A416&lt;VLOOKUP(X$5,NFI,5,0),1,0)*Data_NFI_t[[#This Row],[Solar Lantern]],0)</f>
        <v>0</v>
      </c>
      <c r="AR416" s="105" t="str">
        <f ca="1">IFERROR(OFFSET(Camp_List[P_Code],MATCH(Data_NFI_t[[#This Row],[Camp Name]],Camp_List[Camp Name],0)-1,0,1,1),"")</f>
        <v>MMR012CMP039</v>
      </c>
      <c r="AS416" s="421" t="str">
        <f ca="1">IFERROR(OFFSET(Camp_List[Status],MATCH(Data_NFI_t[[#This Row],[Camp Name]],Camp_List[Camp Name],0)-1,0,1,1),"")</f>
        <v>Open</v>
      </c>
      <c r="AT416" s="105"/>
    </row>
    <row r="417" spans="1:46" s="78" customFormat="1" ht="19.5" customHeight="1" x14ac:dyDescent="0.25">
      <c r="A417" s="208">
        <f t="shared" si="6"/>
        <v>64.466666666666669</v>
      </c>
      <c r="B417" s="208">
        <f>YEAR(Data_NFI_t[[#This Row],[Distribution Date]])</f>
        <v>2012</v>
      </c>
      <c r="C417" s="744">
        <v>41256</v>
      </c>
      <c r="D417" s="402" t="s">
        <v>270</v>
      </c>
      <c r="E417" s="401"/>
      <c r="F417" s="402" t="s">
        <v>7</v>
      </c>
      <c r="G417" s="670" t="s">
        <v>17</v>
      </c>
      <c r="H417" s="670" t="s">
        <v>60</v>
      </c>
      <c r="I417" s="670"/>
      <c r="J417" s="670"/>
      <c r="K417" s="670"/>
      <c r="L417" s="42"/>
      <c r="M417" s="42">
        <v>2142</v>
      </c>
      <c r="N417" s="42"/>
      <c r="O417" s="42"/>
      <c r="P417" s="42"/>
      <c r="Q417" s="42"/>
      <c r="R417" s="42"/>
      <c r="S417" s="42"/>
      <c r="T417" s="419"/>
      <c r="U417" s="42"/>
      <c r="V417" s="42"/>
      <c r="W417" s="42"/>
      <c r="X417" s="42"/>
      <c r="Y417" s="42"/>
      <c r="Z417" s="42"/>
      <c r="AA417" s="42"/>
      <c r="AB417" s="42"/>
      <c r="AC417" s="105">
        <f>IF(NFI_Expiration=1,IF($A417&lt;VLOOKUP(I$5,NFI,5,0),1,0)*Data_NFI_t[[#This Row],[Hygiene Kit]],0)</f>
        <v>0</v>
      </c>
      <c r="AD417" s="105">
        <f>IF(NFI_Expiration=1,IF($A417&lt;VLOOKUP(L$5,NFI,5,0),1,0)*Data_NFI_t[[#This Row],[NFI Core Kit]],0)</f>
        <v>0</v>
      </c>
      <c r="AE417" s="86">
        <f>IF(NFI_Expiration=1,IF($A417&lt;VLOOKUP(M$5,NFI,5,0),1,0)*Data_NFI_t[[#This Row],[Sanitary Kit]],0)</f>
        <v>0</v>
      </c>
      <c r="AF417" s="86">
        <f>IF(NFI_Expiration=1,IF($A417&lt;VLOOKUP(N$5,NFI,5,0),1,0)*Data_NFI_t[[#This Row],[Mosquito net]],0)</f>
        <v>0</v>
      </c>
      <c r="AG417" s="86">
        <f>IF(NFI_Expiration=1,IF($A417&lt;VLOOKUP(O$5,NFI,5,0),1,0)*Data_NFI_t[[#This Row],[Tarpaulin]],0)</f>
        <v>0</v>
      </c>
      <c r="AH417" s="86">
        <f>IF(NFI_Expiration=1,IF($A417&lt;VLOOKUP(P$5,NFI,5,0),1,0)*Data_NFI_t[[#This Row],[Blanket]],0)</f>
        <v>0</v>
      </c>
      <c r="AI417" s="86">
        <f>IF(NFI_Expiration=1,IF($A417&lt;VLOOKUP(Q$5,NFI,5,0),1,0)*Data_NFI_t[[#This Row],[Kitchen Set]],0)</f>
        <v>0</v>
      </c>
      <c r="AJ417" s="86">
        <f>IF(NFI_Expiration=1,IF($A417&lt;VLOOKUP(R$5,NFI,5,0),1,0)*Data_NFI_t[[#This Row],[Complementary Kit]],0)</f>
        <v>0</v>
      </c>
      <c r="AK417" s="86">
        <f>IF(NFI_Expiration=1,IF($A417&lt;VLOOKUP(S$5,NFI,5,0),1,0)*Data_NFI_t[[#This Row],[Plastic Bucket]],0)</f>
        <v>0</v>
      </c>
      <c r="AL417" s="86">
        <f>IF(NFI_Expiration=1,IF($A417&lt;VLOOKUP(T$5,NFI,5,0),1,0)*Data_NFI_t[[#This Row],[Jerry Can]],0)</f>
        <v>0</v>
      </c>
      <c r="AM417" s="105">
        <f>IF(NFI_Expiration=1,IF($A417&lt;VLOOKUP(U$5,NFI,5,0),1,0)*Data_NFI_t[[#This Row],[Plastic Mat]],0)*IF(Data_NFI_t[[#This Row],[Distribution Date]]&gt;"01-06-2015",1,2.5)</f>
        <v>0</v>
      </c>
      <c r="AN417" s="734">
        <f>IF(NFI_Expiration=1,IF($A417&lt;VLOOKUP(V$5,NFI,5,0),1,0)*Data_NFI_t[[#This Row],[Adult Clothes]],0)</f>
        <v>0</v>
      </c>
      <c r="AO417" s="105">
        <f>IF(NFI_Expiration=1,IF($A417&lt;VLOOKUP(W$5,NFI,5,0),1,0)*Data_NFI_t[[#This Row],[Children Clothes]],0)</f>
        <v>0</v>
      </c>
      <c r="AP417" s="105">
        <f>IF(NFI_Expiration=1,IF($A417&lt;VLOOKUP(X$5,NFI,5,0),1,0)*Data_NFI_t[[#This Row],[Sewing Kit]],0)</f>
        <v>0</v>
      </c>
      <c r="AQ417" s="734">
        <f>IF(NFI_Expiration=1,IF($A417&lt;VLOOKUP(X$5,NFI,5,0),1,0)*Data_NFI_t[[#This Row],[Solar Lantern]],0)</f>
        <v>0</v>
      </c>
      <c r="AR417" s="105" t="str">
        <f ca="1">IFERROR(OFFSET(Camp_List[P_Code],MATCH(Data_NFI_t[[#This Row],[Camp Name]],Camp_List[Camp Name],0)-1,0,1,1),"")</f>
        <v>MMR012CMP040</v>
      </c>
      <c r="AS417" s="421" t="str">
        <f ca="1">IFERROR(OFFSET(Camp_List[Status],MATCH(Data_NFI_t[[#This Row],[Camp Name]],Camp_List[Camp Name],0)-1,0,1,1),"")</f>
        <v>Close</v>
      </c>
      <c r="AT417" s="105"/>
    </row>
    <row r="418" spans="1:46" s="78" customFormat="1" ht="19.5" customHeight="1" x14ac:dyDescent="0.25">
      <c r="A418" s="208">
        <f t="shared" si="6"/>
        <v>64.466666666666669</v>
      </c>
      <c r="B418" s="208">
        <f>YEAR(Data_NFI_t[[#This Row],[Distribution Date]])</f>
        <v>2012</v>
      </c>
      <c r="C418" s="744">
        <v>41256</v>
      </c>
      <c r="D418" s="402" t="s">
        <v>270</v>
      </c>
      <c r="E418" s="401"/>
      <c r="F418" s="402" t="s">
        <v>7</v>
      </c>
      <c r="G418" s="670" t="s">
        <v>17</v>
      </c>
      <c r="H418" s="670" t="s">
        <v>61</v>
      </c>
      <c r="I418" s="670"/>
      <c r="J418" s="670"/>
      <c r="K418" s="670"/>
      <c r="L418" s="42"/>
      <c r="M418" s="42">
        <v>1707</v>
      </c>
      <c r="N418" s="42"/>
      <c r="O418" s="42"/>
      <c r="P418" s="42"/>
      <c r="Q418" s="42"/>
      <c r="R418" s="42"/>
      <c r="S418" s="42"/>
      <c r="T418" s="419"/>
      <c r="U418" s="42"/>
      <c r="V418" s="42"/>
      <c r="W418" s="42"/>
      <c r="X418" s="42"/>
      <c r="Y418" s="42"/>
      <c r="Z418" s="42"/>
      <c r="AA418" s="42"/>
      <c r="AB418" s="42"/>
      <c r="AC418" s="105">
        <f>IF(NFI_Expiration=1,IF($A418&lt;VLOOKUP(I$5,NFI,5,0),1,0)*Data_NFI_t[[#This Row],[Hygiene Kit]],0)</f>
        <v>0</v>
      </c>
      <c r="AD418" s="105">
        <f>IF(NFI_Expiration=1,IF($A418&lt;VLOOKUP(L$5,NFI,5,0),1,0)*Data_NFI_t[[#This Row],[NFI Core Kit]],0)</f>
        <v>0</v>
      </c>
      <c r="AE418" s="86">
        <f>IF(NFI_Expiration=1,IF($A418&lt;VLOOKUP(M$5,NFI,5,0),1,0)*Data_NFI_t[[#This Row],[Sanitary Kit]],0)</f>
        <v>0</v>
      </c>
      <c r="AF418" s="86">
        <f>IF(NFI_Expiration=1,IF($A418&lt;VLOOKUP(N$5,NFI,5,0),1,0)*Data_NFI_t[[#This Row],[Mosquito net]],0)</f>
        <v>0</v>
      </c>
      <c r="AG418" s="86">
        <f>IF(NFI_Expiration=1,IF($A418&lt;VLOOKUP(O$5,NFI,5,0),1,0)*Data_NFI_t[[#This Row],[Tarpaulin]],0)</f>
        <v>0</v>
      </c>
      <c r="AH418" s="86">
        <f>IF(NFI_Expiration=1,IF($A418&lt;VLOOKUP(P$5,NFI,5,0),1,0)*Data_NFI_t[[#This Row],[Blanket]],0)</f>
        <v>0</v>
      </c>
      <c r="AI418" s="86">
        <f>IF(NFI_Expiration=1,IF($A418&lt;VLOOKUP(Q$5,NFI,5,0),1,0)*Data_NFI_t[[#This Row],[Kitchen Set]],0)</f>
        <v>0</v>
      </c>
      <c r="AJ418" s="86">
        <f>IF(NFI_Expiration=1,IF($A418&lt;VLOOKUP(R$5,NFI,5,0),1,0)*Data_NFI_t[[#This Row],[Complementary Kit]],0)</f>
        <v>0</v>
      </c>
      <c r="AK418" s="86">
        <f>IF(NFI_Expiration=1,IF($A418&lt;VLOOKUP(S$5,NFI,5,0),1,0)*Data_NFI_t[[#This Row],[Plastic Bucket]],0)</f>
        <v>0</v>
      </c>
      <c r="AL418" s="86">
        <f>IF(NFI_Expiration=1,IF($A418&lt;VLOOKUP(T$5,NFI,5,0),1,0)*Data_NFI_t[[#This Row],[Jerry Can]],0)</f>
        <v>0</v>
      </c>
      <c r="AM418" s="105">
        <f>IF(NFI_Expiration=1,IF($A418&lt;VLOOKUP(U$5,NFI,5,0),1,0)*Data_NFI_t[[#This Row],[Plastic Mat]],0)*IF(Data_NFI_t[[#This Row],[Distribution Date]]&gt;"01-06-2015",1,2.5)</f>
        <v>0</v>
      </c>
      <c r="AN418" s="734">
        <f>IF(NFI_Expiration=1,IF($A418&lt;VLOOKUP(V$5,NFI,5,0),1,0)*Data_NFI_t[[#This Row],[Adult Clothes]],0)</f>
        <v>0</v>
      </c>
      <c r="AO418" s="105">
        <f>IF(NFI_Expiration=1,IF($A418&lt;VLOOKUP(W$5,NFI,5,0),1,0)*Data_NFI_t[[#This Row],[Children Clothes]],0)</f>
        <v>0</v>
      </c>
      <c r="AP418" s="105">
        <f>IF(NFI_Expiration=1,IF($A418&lt;VLOOKUP(X$5,NFI,5,0),1,0)*Data_NFI_t[[#This Row],[Sewing Kit]],0)</f>
        <v>0</v>
      </c>
      <c r="AQ418" s="734">
        <f>IF(NFI_Expiration=1,IF($A418&lt;VLOOKUP(X$5,NFI,5,0),1,0)*Data_NFI_t[[#This Row],[Solar Lantern]],0)</f>
        <v>0</v>
      </c>
      <c r="AR418" s="105" t="str">
        <f ca="1">IFERROR(OFFSET(Camp_List[P_Code],MATCH(Data_NFI_t[[#This Row],[Camp Name]],Camp_List[Camp Name],0)-1,0,1,1),"")</f>
        <v>MMR012CMP041</v>
      </c>
      <c r="AS418" s="421" t="str">
        <f ca="1">IFERROR(OFFSET(Camp_List[Status],MATCH(Data_NFI_t[[#This Row],[Camp Name]],Camp_List[Camp Name],0)-1,0,1,1),"")</f>
        <v>Open</v>
      </c>
      <c r="AT418" s="105"/>
    </row>
    <row r="419" spans="1:46" s="78" customFormat="1" ht="19.5" customHeight="1" x14ac:dyDescent="0.25">
      <c r="A419" s="208">
        <f t="shared" si="6"/>
        <v>64.466666666666669</v>
      </c>
      <c r="B419" s="208">
        <f>YEAR(Data_NFI_t[[#This Row],[Distribution Date]])</f>
        <v>2012</v>
      </c>
      <c r="C419" s="744">
        <v>41256</v>
      </c>
      <c r="D419" s="402" t="s">
        <v>270</v>
      </c>
      <c r="E419" s="401"/>
      <c r="F419" s="402" t="s">
        <v>7</v>
      </c>
      <c r="G419" s="670" t="s">
        <v>14</v>
      </c>
      <c r="H419" s="670" t="s">
        <v>49</v>
      </c>
      <c r="I419" s="670"/>
      <c r="J419" s="670"/>
      <c r="K419" s="670"/>
      <c r="L419" s="42"/>
      <c r="M419" s="42"/>
      <c r="N419" s="42">
        <v>232</v>
      </c>
      <c r="O419" s="42"/>
      <c r="P419" s="42">
        <v>232</v>
      </c>
      <c r="Q419" s="42">
        <v>105</v>
      </c>
      <c r="R419" s="42">
        <v>116</v>
      </c>
      <c r="S419" s="42"/>
      <c r="T419" s="419"/>
      <c r="U419" s="42"/>
      <c r="V419" s="42"/>
      <c r="W419" s="42"/>
      <c r="X419" s="42"/>
      <c r="Y419" s="42"/>
      <c r="Z419" s="42"/>
      <c r="AA419" s="42"/>
      <c r="AB419" s="42"/>
      <c r="AC419" s="105">
        <f>IF(NFI_Expiration=1,IF($A419&lt;VLOOKUP(I$5,NFI,5,0),1,0)*Data_NFI_t[[#This Row],[Hygiene Kit]],0)</f>
        <v>0</v>
      </c>
      <c r="AD419" s="105">
        <f>IF(NFI_Expiration=1,IF($A419&lt;VLOOKUP(L$5,NFI,5,0),1,0)*Data_NFI_t[[#This Row],[NFI Core Kit]],0)</f>
        <v>0</v>
      </c>
      <c r="AE419" s="86">
        <f>IF(NFI_Expiration=1,IF($A419&lt;VLOOKUP(M$5,NFI,5,0),1,0)*Data_NFI_t[[#This Row],[Sanitary Kit]],0)</f>
        <v>0</v>
      </c>
      <c r="AF419" s="86">
        <f>IF(NFI_Expiration=1,IF($A419&lt;VLOOKUP(N$5,NFI,5,0),1,0)*Data_NFI_t[[#This Row],[Mosquito net]],0)</f>
        <v>0</v>
      </c>
      <c r="AG419" s="86">
        <f>IF(NFI_Expiration=1,IF($A419&lt;VLOOKUP(O$5,NFI,5,0),1,0)*Data_NFI_t[[#This Row],[Tarpaulin]],0)</f>
        <v>0</v>
      </c>
      <c r="AH419" s="86">
        <f>IF(NFI_Expiration=1,IF($A419&lt;VLOOKUP(P$5,NFI,5,0),1,0)*Data_NFI_t[[#This Row],[Blanket]],0)</f>
        <v>0</v>
      </c>
      <c r="AI419" s="86">
        <f>IF(NFI_Expiration=1,IF($A419&lt;VLOOKUP(Q$5,NFI,5,0),1,0)*Data_NFI_t[[#This Row],[Kitchen Set]],0)</f>
        <v>0</v>
      </c>
      <c r="AJ419" s="86">
        <f>IF(NFI_Expiration=1,IF($A419&lt;VLOOKUP(R$5,NFI,5,0),1,0)*Data_NFI_t[[#This Row],[Complementary Kit]],0)</f>
        <v>0</v>
      </c>
      <c r="AK419" s="86">
        <f>IF(NFI_Expiration=1,IF($A419&lt;VLOOKUP(S$5,NFI,5,0),1,0)*Data_NFI_t[[#This Row],[Plastic Bucket]],0)</f>
        <v>0</v>
      </c>
      <c r="AL419" s="86">
        <f>IF(NFI_Expiration=1,IF($A419&lt;VLOOKUP(T$5,NFI,5,0),1,0)*Data_NFI_t[[#This Row],[Jerry Can]],0)</f>
        <v>0</v>
      </c>
      <c r="AM419" s="105">
        <f>IF(NFI_Expiration=1,IF($A419&lt;VLOOKUP(U$5,NFI,5,0),1,0)*Data_NFI_t[[#This Row],[Plastic Mat]],0)*IF(Data_NFI_t[[#This Row],[Distribution Date]]&gt;"01-06-2015",1,2.5)</f>
        <v>0</v>
      </c>
      <c r="AN419" s="734">
        <f>IF(NFI_Expiration=1,IF($A419&lt;VLOOKUP(V$5,NFI,5,0),1,0)*Data_NFI_t[[#This Row],[Adult Clothes]],0)</f>
        <v>0</v>
      </c>
      <c r="AO419" s="105">
        <f>IF(NFI_Expiration=1,IF($A419&lt;VLOOKUP(W$5,NFI,5,0),1,0)*Data_NFI_t[[#This Row],[Children Clothes]],0)</f>
        <v>0</v>
      </c>
      <c r="AP419" s="105">
        <f>IF(NFI_Expiration=1,IF($A419&lt;VLOOKUP(X$5,NFI,5,0),1,0)*Data_NFI_t[[#This Row],[Sewing Kit]],0)</f>
        <v>0</v>
      </c>
      <c r="AQ419" s="734">
        <f>IF(NFI_Expiration=1,IF($A419&lt;VLOOKUP(X$5,NFI,5,0),1,0)*Data_NFI_t[[#This Row],[Solar Lantern]],0)</f>
        <v>0</v>
      </c>
      <c r="AR419" s="105" t="str">
        <f ca="1">IFERROR(OFFSET(Camp_List[P_Code],MATCH(Data_NFI_t[[#This Row],[Camp Name]],Camp_List[Camp Name],0)-1,0,1,1),"")</f>
        <v>MMR012CMP027</v>
      </c>
      <c r="AS419" s="421" t="str">
        <f ca="1">IFERROR(OFFSET(Camp_List[Status],MATCH(Data_NFI_t[[#This Row],[Camp Name]],Camp_List[Camp Name],0)-1,0,1,1),"")</f>
        <v>Returned</v>
      </c>
      <c r="AT419" s="105"/>
    </row>
    <row r="420" spans="1:46" s="78" customFormat="1" ht="19.5" customHeight="1" x14ac:dyDescent="0.25">
      <c r="A420" s="208">
        <f t="shared" si="6"/>
        <v>64.466666666666669</v>
      </c>
      <c r="B420" s="208">
        <f>YEAR(Data_NFI_t[[#This Row],[Distribution Date]])</f>
        <v>2012</v>
      </c>
      <c r="C420" s="744">
        <v>41256</v>
      </c>
      <c r="D420" s="402" t="s">
        <v>270</v>
      </c>
      <c r="E420" s="401"/>
      <c r="F420" s="402" t="s">
        <v>7</v>
      </c>
      <c r="G420" s="670" t="s">
        <v>14</v>
      </c>
      <c r="H420" s="670" t="s">
        <v>48</v>
      </c>
      <c r="I420" s="670"/>
      <c r="J420" s="670"/>
      <c r="K420" s="670"/>
      <c r="L420" s="42"/>
      <c r="M420" s="42"/>
      <c r="N420" s="42">
        <v>460</v>
      </c>
      <c r="O420" s="42"/>
      <c r="P420" s="42">
        <v>460</v>
      </c>
      <c r="Q420" s="42">
        <v>145</v>
      </c>
      <c r="R420" s="42"/>
      <c r="S420" s="42"/>
      <c r="T420" s="419"/>
      <c r="U420" s="42"/>
      <c r="V420" s="42"/>
      <c r="W420" s="42"/>
      <c r="X420" s="42"/>
      <c r="Y420" s="42"/>
      <c r="Z420" s="42"/>
      <c r="AA420" s="42"/>
      <c r="AB420" s="42"/>
      <c r="AC420" s="105">
        <f>IF(NFI_Expiration=1,IF($A420&lt;VLOOKUP(I$5,NFI,5,0),1,0)*Data_NFI_t[[#This Row],[Hygiene Kit]],0)</f>
        <v>0</v>
      </c>
      <c r="AD420" s="105">
        <f>IF(NFI_Expiration=1,IF($A420&lt;VLOOKUP(L$5,NFI,5,0),1,0)*Data_NFI_t[[#This Row],[NFI Core Kit]],0)</f>
        <v>0</v>
      </c>
      <c r="AE420" s="86">
        <f>IF(NFI_Expiration=1,IF($A420&lt;VLOOKUP(M$5,NFI,5,0),1,0)*Data_NFI_t[[#This Row],[Sanitary Kit]],0)</f>
        <v>0</v>
      </c>
      <c r="AF420" s="86">
        <f>IF(NFI_Expiration=1,IF($A420&lt;VLOOKUP(N$5,NFI,5,0),1,0)*Data_NFI_t[[#This Row],[Mosquito net]],0)</f>
        <v>0</v>
      </c>
      <c r="AG420" s="86">
        <f>IF(NFI_Expiration=1,IF($A420&lt;VLOOKUP(O$5,NFI,5,0),1,0)*Data_NFI_t[[#This Row],[Tarpaulin]],0)</f>
        <v>0</v>
      </c>
      <c r="AH420" s="86">
        <f>IF(NFI_Expiration=1,IF($A420&lt;VLOOKUP(P$5,NFI,5,0),1,0)*Data_NFI_t[[#This Row],[Blanket]],0)</f>
        <v>0</v>
      </c>
      <c r="AI420" s="86">
        <f>IF(NFI_Expiration=1,IF($A420&lt;VLOOKUP(Q$5,NFI,5,0),1,0)*Data_NFI_t[[#This Row],[Kitchen Set]],0)</f>
        <v>0</v>
      </c>
      <c r="AJ420" s="86">
        <f>IF(NFI_Expiration=1,IF($A420&lt;VLOOKUP(R$5,NFI,5,0),1,0)*Data_NFI_t[[#This Row],[Complementary Kit]],0)</f>
        <v>0</v>
      </c>
      <c r="AK420" s="86">
        <f>IF(NFI_Expiration=1,IF($A420&lt;VLOOKUP(S$5,NFI,5,0),1,0)*Data_NFI_t[[#This Row],[Plastic Bucket]],0)</f>
        <v>0</v>
      </c>
      <c r="AL420" s="86">
        <f>IF(NFI_Expiration=1,IF($A420&lt;VLOOKUP(T$5,NFI,5,0),1,0)*Data_NFI_t[[#This Row],[Jerry Can]],0)</f>
        <v>0</v>
      </c>
      <c r="AM420" s="105">
        <f>IF(NFI_Expiration=1,IF($A420&lt;VLOOKUP(U$5,NFI,5,0),1,0)*Data_NFI_t[[#This Row],[Plastic Mat]],0)*IF(Data_NFI_t[[#This Row],[Distribution Date]]&gt;"01-06-2015",1,2.5)</f>
        <v>0</v>
      </c>
      <c r="AN420" s="734">
        <f>IF(NFI_Expiration=1,IF($A420&lt;VLOOKUP(V$5,NFI,5,0),1,0)*Data_NFI_t[[#This Row],[Adult Clothes]],0)</f>
        <v>0</v>
      </c>
      <c r="AO420" s="105">
        <f>IF(NFI_Expiration=1,IF($A420&lt;VLOOKUP(W$5,NFI,5,0),1,0)*Data_NFI_t[[#This Row],[Children Clothes]],0)</f>
        <v>0</v>
      </c>
      <c r="AP420" s="105">
        <f>IF(NFI_Expiration=1,IF($A420&lt;VLOOKUP(X$5,NFI,5,0),1,0)*Data_NFI_t[[#This Row],[Sewing Kit]],0)</f>
        <v>0</v>
      </c>
      <c r="AQ420" s="734">
        <f>IF(NFI_Expiration=1,IF($A420&lt;VLOOKUP(X$5,NFI,5,0),1,0)*Data_NFI_t[[#This Row],[Solar Lantern]],0)</f>
        <v>0</v>
      </c>
      <c r="AR420" s="105" t="str">
        <f ca="1">IFERROR(OFFSET(Camp_List[P_Code],MATCH(Data_NFI_t[[#This Row],[Camp Name]],Camp_List[Camp Name],0)-1,0,1,1),"")</f>
        <v>MMR012CMP026</v>
      </c>
      <c r="AS420" s="421" t="str">
        <f ca="1">IFERROR(OFFSET(Camp_List[Status],MATCH(Data_NFI_t[[#This Row],[Camp Name]],Camp_List[Camp Name],0)-1,0,1,1),"")</f>
        <v>Returned</v>
      </c>
      <c r="AT420" s="105"/>
    </row>
    <row r="421" spans="1:46" s="78" customFormat="1" ht="19.5" customHeight="1" x14ac:dyDescent="0.25">
      <c r="A421" s="208">
        <f t="shared" si="6"/>
        <v>64.466666666666669</v>
      </c>
      <c r="B421" s="208">
        <f>YEAR(Data_NFI_t[[#This Row],[Distribution Date]])</f>
        <v>2012</v>
      </c>
      <c r="C421" s="744">
        <v>41256</v>
      </c>
      <c r="D421" s="402" t="s">
        <v>270</v>
      </c>
      <c r="E421" s="401"/>
      <c r="F421" s="402" t="s">
        <v>7</v>
      </c>
      <c r="G421" s="670" t="s">
        <v>17</v>
      </c>
      <c r="H421" s="670" t="s">
        <v>62</v>
      </c>
      <c r="I421" s="670"/>
      <c r="J421" s="670"/>
      <c r="K421" s="670"/>
      <c r="L421" s="42"/>
      <c r="M421" s="42">
        <v>310</v>
      </c>
      <c r="N421" s="42"/>
      <c r="O421" s="42"/>
      <c r="P421" s="42"/>
      <c r="Q421" s="42"/>
      <c r="R421" s="42"/>
      <c r="S421" s="42"/>
      <c r="T421" s="419"/>
      <c r="U421" s="42"/>
      <c r="V421" s="42"/>
      <c r="W421" s="42"/>
      <c r="X421" s="42"/>
      <c r="Y421" s="42"/>
      <c r="Z421" s="42"/>
      <c r="AA421" s="42"/>
      <c r="AB421" s="42"/>
      <c r="AC421" s="105">
        <f>IF(NFI_Expiration=1,IF($A421&lt;VLOOKUP(I$5,NFI,5,0),1,0)*Data_NFI_t[[#This Row],[Hygiene Kit]],0)</f>
        <v>0</v>
      </c>
      <c r="AD421" s="105">
        <f>IF(NFI_Expiration=1,IF($A421&lt;VLOOKUP(L$5,NFI,5,0),1,0)*Data_NFI_t[[#This Row],[NFI Core Kit]],0)</f>
        <v>0</v>
      </c>
      <c r="AE421" s="86">
        <f>IF(NFI_Expiration=1,IF($A421&lt;VLOOKUP(M$5,NFI,5,0),1,0)*Data_NFI_t[[#This Row],[Sanitary Kit]],0)</f>
        <v>0</v>
      </c>
      <c r="AF421" s="86">
        <f>IF(NFI_Expiration=1,IF($A421&lt;VLOOKUP(N$5,NFI,5,0),1,0)*Data_NFI_t[[#This Row],[Mosquito net]],0)</f>
        <v>0</v>
      </c>
      <c r="AG421" s="86">
        <f>IF(NFI_Expiration=1,IF($A421&lt;VLOOKUP(O$5,NFI,5,0),1,0)*Data_NFI_t[[#This Row],[Tarpaulin]],0)</f>
        <v>0</v>
      </c>
      <c r="AH421" s="86">
        <f>IF(NFI_Expiration=1,IF($A421&lt;VLOOKUP(P$5,NFI,5,0),1,0)*Data_NFI_t[[#This Row],[Blanket]],0)</f>
        <v>0</v>
      </c>
      <c r="AI421" s="86">
        <f>IF(NFI_Expiration=1,IF($A421&lt;VLOOKUP(Q$5,NFI,5,0),1,0)*Data_NFI_t[[#This Row],[Kitchen Set]],0)</f>
        <v>0</v>
      </c>
      <c r="AJ421" s="86">
        <f>IF(NFI_Expiration=1,IF($A421&lt;VLOOKUP(R$5,NFI,5,0),1,0)*Data_NFI_t[[#This Row],[Complementary Kit]],0)</f>
        <v>0</v>
      </c>
      <c r="AK421" s="86">
        <f>IF(NFI_Expiration=1,IF($A421&lt;VLOOKUP(S$5,NFI,5,0),1,0)*Data_NFI_t[[#This Row],[Plastic Bucket]],0)</f>
        <v>0</v>
      </c>
      <c r="AL421" s="86">
        <f>IF(NFI_Expiration=1,IF($A421&lt;VLOOKUP(T$5,NFI,5,0),1,0)*Data_NFI_t[[#This Row],[Jerry Can]],0)</f>
        <v>0</v>
      </c>
      <c r="AM421" s="105">
        <f>IF(NFI_Expiration=1,IF($A421&lt;VLOOKUP(U$5,NFI,5,0),1,0)*Data_NFI_t[[#This Row],[Plastic Mat]],0)*IF(Data_NFI_t[[#This Row],[Distribution Date]]&gt;"01-06-2015",1,2.5)</f>
        <v>0</v>
      </c>
      <c r="AN421" s="734">
        <f>IF(NFI_Expiration=1,IF($A421&lt;VLOOKUP(V$5,NFI,5,0),1,0)*Data_NFI_t[[#This Row],[Adult Clothes]],0)</f>
        <v>0</v>
      </c>
      <c r="AO421" s="105">
        <f>IF(NFI_Expiration=1,IF($A421&lt;VLOOKUP(W$5,NFI,5,0),1,0)*Data_NFI_t[[#This Row],[Children Clothes]],0)</f>
        <v>0</v>
      </c>
      <c r="AP421" s="105">
        <f>IF(NFI_Expiration=1,IF($A421&lt;VLOOKUP(X$5,NFI,5,0),1,0)*Data_NFI_t[[#This Row],[Sewing Kit]],0)</f>
        <v>0</v>
      </c>
      <c r="AQ421" s="734">
        <f>IF(NFI_Expiration=1,IF($A421&lt;VLOOKUP(X$5,NFI,5,0),1,0)*Data_NFI_t[[#This Row],[Solar Lantern]],0)</f>
        <v>0</v>
      </c>
      <c r="AR421" s="105" t="str">
        <f ca="1">IFERROR(OFFSET(Camp_List[P_Code],MATCH(Data_NFI_t[[#This Row],[Camp Name]],Camp_List[Camp Name],0)-1,0,1,1),"")</f>
        <v>MMR012CMP042</v>
      </c>
      <c r="AS421" s="421" t="str">
        <f ca="1">IFERROR(OFFSET(Camp_List[Status],MATCH(Data_NFI_t[[#This Row],[Camp Name]],Camp_List[Camp Name],0)-1,0,1,1),"")</f>
        <v>Open</v>
      </c>
      <c r="AT421" s="105"/>
    </row>
    <row r="422" spans="1:46" s="78" customFormat="1" ht="19.5" customHeight="1" x14ac:dyDescent="0.25">
      <c r="A422" s="208">
        <f t="shared" si="6"/>
        <v>64.466666666666669</v>
      </c>
      <c r="B422" s="208">
        <f>YEAR(Data_NFI_t[[#This Row],[Distribution Date]])</f>
        <v>2012</v>
      </c>
      <c r="C422" s="744">
        <v>41256</v>
      </c>
      <c r="D422" s="402" t="s">
        <v>270</v>
      </c>
      <c r="E422" s="401"/>
      <c r="F422" s="402" t="s">
        <v>7</v>
      </c>
      <c r="G422" s="670" t="s">
        <v>14</v>
      </c>
      <c r="H422" s="670" t="s">
        <v>42</v>
      </c>
      <c r="I422" s="670"/>
      <c r="J422" s="670"/>
      <c r="K422" s="670"/>
      <c r="L422" s="42"/>
      <c r="M422" s="42"/>
      <c r="N422" s="42">
        <v>36</v>
      </c>
      <c r="O422" s="42"/>
      <c r="P422" s="42">
        <v>36</v>
      </c>
      <c r="Q422" s="42">
        <v>18</v>
      </c>
      <c r="R422" s="42">
        <v>18</v>
      </c>
      <c r="S422" s="42"/>
      <c r="T422" s="419"/>
      <c r="U422" s="42"/>
      <c r="V422" s="42"/>
      <c r="W422" s="42"/>
      <c r="X422" s="42"/>
      <c r="Y422" s="42"/>
      <c r="Z422" s="42"/>
      <c r="AA422" s="42"/>
      <c r="AB422" s="42"/>
      <c r="AC422" s="105">
        <f>IF(NFI_Expiration=1,IF($A422&lt;VLOOKUP(I$5,NFI,5,0),1,0)*Data_NFI_t[[#This Row],[Hygiene Kit]],0)</f>
        <v>0</v>
      </c>
      <c r="AD422" s="105">
        <f>IF(NFI_Expiration=1,IF($A422&lt;VLOOKUP(L$5,NFI,5,0),1,0)*Data_NFI_t[[#This Row],[NFI Core Kit]],0)</f>
        <v>0</v>
      </c>
      <c r="AE422" s="86">
        <f>IF(NFI_Expiration=1,IF($A422&lt;VLOOKUP(M$5,NFI,5,0),1,0)*Data_NFI_t[[#This Row],[Sanitary Kit]],0)</f>
        <v>0</v>
      </c>
      <c r="AF422" s="86">
        <f>IF(NFI_Expiration=1,IF($A422&lt;VLOOKUP(N$5,NFI,5,0),1,0)*Data_NFI_t[[#This Row],[Mosquito net]],0)</f>
        <v>0</v>
      </c>
      <c r="AG422" s="86">
        <f>IF(NFI_Expiration=1,IF($A422&lt;VLOOKUP(O$5,NFI,5,0),1,0)*Data_NFI_t[[#This Row],[Tarpaulin]],0)</f>
        <v>0</v>
      </c>
      <c r="AH422" s="86">
        <f>IF(NFI_Expiration=1,IF($A422&lt;VLOOKUP(P$5,NFI,5,0),1,0)*Data_NFI_t[[#This Row],[Blanket]],0)</f>
        <v>0</v>
      </c>
      <c r="AI422" s="86">
        <f>IF(NFI_Expiration=1,IF($A422&lt;VLOOKUP(Q$5,NFI,5,0),1,0)*Data_NFI_t[[#This Row],[Kitchen Set]],0)</f>
        <v>0</v>
      </c>
      <c r="AJ422" s="86">
        <f>IF(NFI_Expiration=1,IF($A422&lt;VLOOKUP(R$5,NFI,5,0),1,0)*Data_NFI_t[[#This Row],[Complementary Kit]],0)</f>
        <v>0</v>
      </c>
      <c r="AK422" s="86">
        <f>IF(NFI_Expiration=1,IF($A422&lt;VLOOKUP(S$5,NFI,5,0),1,0)*Data_NFI_t[[#This Row],[Plastic Bucket]],0)</f>
        <v>0</v>
      </c>
      <c r="AL422" s="86">
        <f>IF(NFI_Expiration=1,IF($A422&lt;VLOOKUP(T$5,NFI,5,0),1,0)*Data_NFI_t[[#This Row],[Jerry Can]],0)</f>
        <v>0</v>
      </c>
      <c r="AM422" s="105">
        <f>IF(NFI_Expiration=1,IF($A422&lt;VLOOKUP(U$5,NFI,5,0),1,0)*Data_NFI_t[[#This Row],[Plastic Mat]],0)*IF(Data_NFI_t[[#This Row],[Distribution Date]]&gt;"01-06-2015",1,2.5)</f>
        <v>0</v>
      </c>
      <c r="AN422" s="734">
        <f>IF(NFI_Expiration=1,IF($A422&lt;VLOOKUP(V$5,NFI,5,0),1,0)*Data_NFI_t[[#This Row],[Adult Clothes]],0)</f>
        <v>0</v>
      </c>
      <c r="AO422" s="105">
        <f>IF(NFI_Expiration=1,IF($A422&lt;VLOOKUP(W$5,NFI,5,0),1,0)*Data_NFI_t[[#This Row],[Children Clothes]],0)</f>
        <v>0</v>
      </c>
      <c r="AP422" s="105">
        <f>IF(NFI_Expiration=1,IF($A422&lt;VLOOKUP(X$5,NFI,5,0),1,0)*Data_NFI_t[[#This Row],[Sewing Kit]],0)</f>
        <v>0</v>
      </c>
      <c r="AQ422" s="734">
        <f>IF(NFI_Expiration=1,IF($A422&lt;VLOOKUP(X$5,NFI,5,0),1,0)*Data_NFI_t[[#This Row],[Solar Lantern]],0)</f>
        <v>0</v>
      </c>
      <c r="AR422" s="105" t="str">
        <f ca="1">IFERROR(OFFSET(Camp_List[P_Code],MATCH(Data_NFI_t[[#This Row],[Camp Name]],Camp_List[Camp Name],0)-1,0,1,1),"")</f>
        <v>MMR012CMP020</v>
      </c>
      <c r="AS422" s="421" t="str">
        <f ca="1">IFERROR(OFFSET(Camp_List[Status],MATCH(Data_NFI_t[[#This Row],[Camp Name]],Camp_List[Camp Name],0)-1,0,1,1),"")</f>
        <v>Returned</v>
      </c>
      <c r="AT422" s="105"/>
    </row>
    <row r="423" spans="1:46" s="78" customFormat="1" ht="19.5" customHeight="1" x14ac:dyDescent="0.25">
      <c r="A423" s="208">
        <f t="shared" si="6"/>
        <v>64.466666666666669</v>
      </c>
      <c r="B423" s="208">
        <f>YEAR(Data_NFI_t[[#This Row],[Distribution Date]])</f>
        <v>2012</v>
      </c>
      <c r="C423" s="744">
        <v>41256</v>
      </c>
      <c r="D423" s="402" t="s">
        <v>270</v>
      </c>
      <c r="E423" s="401"/>
      <c r="F423" s="402" t="s">
        <v>7</v>
      </c>
      <c r="G423" s="670" t="s">
        <v>17</v>
      </c>
      <c r="H423" s="670" t="s">
        <v>63</v>
      </c>
      <c r="I423" s="670"/>
      <c r="J423" s="670"/>
      <c r="K423" s="670"/>
      <c r="L423" s="42"/>
      <c r="M423" s="42">
        <v>65</v>
      </c>
      <c r="N423" s="42"/>
      <c r="O423" s="42"/>
      <c r="P423" s="42"/>
      <c r="Q423" s="42"/>
      <c r="R423" s="42"/>
      <c r="S423" s="42"/>
      <c r="T423" s="419"/>
      <c r="U423" s="42"/>
      <c r="V423" s="42"/>
      <c r="W423" s="42"/>
      <c r="X423" s="42"/>
      <c r="Y423" s="42"/>
      <c r="Z423" s="42"/>
      <c r="AA423" s="42"/>
      <c r="AB423" s="42"/>
      <c r="AC423" s="105">
        <f>IF(NFI_Expiration=1,IF($A423&lt;VLOOKUP(I$5,NFI,5,0),1,0)*Data_NFI_t[[#This Row],[Hygiene Kit]],0)</f>
        <v>0</v>
      </c>
      <c r="AD423" s="105">
        <f>IF(NFI_Expiration=1,IF($A423&lt;VLOOKUP(L$5,NFI,5,0),1,0)*Data_NFI_t[[#This Row],[NFI Core Kit]],0)</f>
        <v>0</v>
      </c>
      <c r="AE423" s="86">
        <f>IF(NFI_Expiration=1,IF($A423&lt;VLOOKUP(M$5,NFI,5,0),1,0)*Data_NFI_t[[#This Row],[Sanitary Kit]],0)</f>
        <v>0</v>
      </c>
      <c r="AF423" s="86">
        <f>IF(NFI_Expiration=1,IF($A423&lt;VLOOKUP(N$5,NFI,5,0),1,0)*Data_NFI_t[[#This Row],[Mosquito net]],0)</f>
        <v>0</v>
      </c>
      <c r="AG423" s="86">
        <f>IF(NFI_Expiration=1,IF($A423&lt;VLOOKUP(O$5,NFI,5,0),1,0)*Data_NFI_t[[#This Row],[Tarpaulin]],0)</f>
        <v>0</v>
      </c>
      <c r="AH423" s="86">
        <f>IF(NFI_Expiration=1,IF($A423&lt;VLOOKUP(P$5,NFI,5,0),1,0)*Data_NFI_t[[#This Row],[Blanket]],0)</f>
        <v>0</v>
      </c>
      <c r="AI423" s="86">
        <f>IF(NFI_Expiration=1,IF($A423&lt;VLOOKUP(Q$5,NFI,5,0),1,0)*Data_NFI_t[[#This Row],[Kitchen Set]],0)</f>
        <v>0</v>
      </c>
      <c r="AJ423" s="86">
        <f>IF(NFI_Expiration=1,IF($A423&lt;VLOOKUP(R$5,NFI,5,0),1,0)*Data_NFI_t[[#This Row],[Complementary Kit]],0)</f>
        <v>0</v>
      </c>
      <c r="AK423" s="86">
        <f>IF(NFI_Expiration=1,IF($A423&lt;VLOOKUP(S$5,NFI,5,0),1,0)*Data_NFI_t[[#This Row],[Plastic Bucket]],0)</f>
        <v>0</v>
      </c>
      <c r="AL423" s="86">
        <f>IF(NFI_Expiration=1,IF($A423&lt;VLOOKUP(T$5,NFI,5,0),1,0)*Data_NFI_t[[#This Row],[Jerry Can]],0)</f>
        <v>0</v>
      </c>
      <c r="AM423" s="105">
        <f>IF(NFI_Expiration=1,IF($A423&lt;VLOOKUP(U$5,NFI,5,0),1,0)*Data_NFI_t[[#This Row],[Plastic Mat]],0)*IF(Data_NFI_t[[#This Row],[Distribution Date]]&gt;"01-06-2015",1,2.5)</f>
        <v>0</v>
      </c>
      <c r="AN423" s="734">
        <f>IF(NFI_Expiration=1,IF($A423&lt;VLOOKUP(V$5,NFI,5,0),1,0)*Data_NFI_t[[#This Row],[Adult Clothes]],0)</f>
        <v>0</v>
      </c>
      <c r="AO423" s="105">
        <f>IF(NFI_Expiration=1,IF($A423&lt;VLOOKUP(W$5,NFI,5,0),1,0)*Data_NFI_t[[#This Row],[Children Clothes]],0)</f>
        <v>0</v>
      </c>
      <c r="AP423" s="105">
        <f>IF(NFI_Expiration=1,IF($A423&lt;VLOOKUP(X$5,NFI,5,0),1,0)*Data_NFI_t[[#This Row],[Sewing Kit]],0)</f>
        <v>0</v>
      </c>
      <c r="AQ423" s="734">
        <f>IF(NFI_Expiration=1,IF($A423&lt;VLOOKUP(X$5,NFI,5,0),1,0)*Data_NFI_t[[#This Row],[Solar Lantern]],0)</f>
        <v>0</v>
      </c>
      <c r="AR423" s="105" t="str">
        <f ca="1">IFERROR(OFFSET(Camp_List[P_Code],MATCH(Data_NFI_t[[#This Row],[Camp Name]],Camp_List[Camp Name],0)-1,0,1,1),"")</f>
        <v>MMR012CMP043</v>
      </c>
      <c r="AS423" s="421" t="str">
        <f ca="1">IFERROR(OFFSET(Camp_List[Status],MATCH(Data_NFI_t[[#This Row],[Camp Name]],Camp_List[Camp Name],0)-1,0,1,1),"")</f>
        <v>Close</v>
      </c>
      <c r="AT423" s="105"/>
    </row>
    <row r="424" spans="1:46" s="78" customFormat="1" ht="19.5" customHeight="1" x14ac:dyDescent="0.25">
      <c r="A424" s="208">
        <f t="shared" si="6"/>
        <v>64.466666666666669</v>
      </c>
      <c r="B424" s="208">
        <f>YEAR(Data_NFI_t[[#This Row],[Distribution Date]])</f>
        <v>2012</v>
      </c>
      <c r="C424" s="744">
        <v>41256</v>
      </c>
      <c r="D424" s="402" t="s">
        <v>270</v>
      </c>
      <c r="E424" s="401"/>
      <c r="F424" s="402" t="s">
        <v>7</v>
      </c>
      <c r="G424" s="670" t="s">
        <v>11</v>
      </c>
      <c r="H424" s="670" t="s">
        <v>23</v>
      </c>
      <c r="I424" s="670"/>
      <c r="J424" s="670"/>
      <c r="K424" s="670"/>
      <c r="L424" s="42"/>
      <c r="M424" s="42"/>
      <c r="N424" s="42">
        <v>38</v>
      </c>
      <c r="O424" s="42"/>
      <c r="P424" s="42">
        <v>38</v>
      </c>
      <c r="Q424" s="42">
        <v>19</v>
      </c>
      <c r="R424" s="42"/>
      <c r="S424" s="42"/>
      <c r="T424" s="419"/>
      <c r="U424" s="42"/>
      <c r="V424" s="42"/>
      <c r="W424" s="42"/>
      <c r="X424" s="42"/>
      <c r="Y424" s="42"/>
      <c r="Z424" s="42"/>
      <c r="AA424" s="42"/>
      <c r="AB424" s="42"/>
      <c r="AC424" s="105">
        <f>IF(NFI_Expiration=1,IF($A424&lt;VLOOKUP(I$5,NFI,5,0),1,0)*Data_NFI_t[[#This Row],[Hygiene Kit]],0)</f>
        <v>0</v>
      </c>
      <c r="AD424" s="105">
        <f>IF(NFI_Expiration=1,IF($A424&lt;VLOOKUP(L$5,NFI,5,0),1,0)*Data_NFI_t[[#This Row],[NFI Core Kit]],0)</f>
        <v>0</v>
      </c>
      <c r="AE424" s="86">
        <f>IF(NFI_Expiration=1,IF($A424&lt;VLOOKUP(M$5,NFI,5,0),1,0)*Data_NFI_t[[#This Row],[Sanitary Kit]],0)</f>
        <v>0</v>
      </c>
      <c r="AF424" s="86">
        <f>IF(NFI_Expiration=1,IF($A424&lt;VLOOKUP(N$5,NFI,5,0),1,0)*Data_NFI_t[[#This Row],[Mosquito net]],0)</f>
        <v>0</v>
      </c>
      <c r="AG424" s="86">
        <f>IF(NFI_Expiration=1,IF($A424&lt;VLOOKUP(O$5,NFI,5,0),1,0)*Data_NFI_t[[#This Row],[Tarpaulin]],0)</f>
        <v>0</v>
      </c>
      <c r="AH424" s="86">
        <f>IF(NFI_Expiration=1,IF($A424&lt;VLOOKUP(P$5,NFI,5,0),1,0)*Data_NFI_t[[#This Row],[Blanket]],0)</f>
        <v>0</v>
      </c>
      <c r="AI424" s="86">
        <f>IF(NFI_Expiration=1,IF($A424&lt;VLOOKUP(Q$5,NFI,5,0),1,0)*Data_NFI_t[[#This Row],[Kitchen Set]],0)</f>
        <v>0</v>
      </c>
      <c r="AJ424" s="86">
        <f>IF(NFI_Expiration=1,IF($A424&lt;VLOOKUP(R$5,NFI,5,0),1,0)*Data_NFI_t[[#This Row],[Complementary Kit]],0)</f>
        <v>0</v>
      </c>
      <c r="AK424" s="86">
        <f>IF(NFI_Expiration=1,IF($A424&lt;VLOOKUP(S$5,NFI,5,0),1,0)*Data_NFI_t[[#This Row],[Plastic Bucket]],0)</f>
        <v>0</v>
      </c>
      <c r="AL424" s="86">
        <f>IF(NFI_Expiration=1,IF($A424&lt;VLOOKUP(T$5,NFI,5,0),1,0)*Data_NFI_t[[#This Row],[Jerry Can]],0)</f>
        <v>0</v>
      </c>
      <c r="AM424" s="105">
        <f>IF(NFI_Expiration=1,IF($A424&lt;VLOOKUP(U$5,NFI,5,0),1,0)*Data_NFI_t[[#This Row],[Plastic Mat]],0)*IF(Data_NFI_t[[#This Row],[Distribution Date]]&gt;"01-06-2015",1,2.5)</f>
        <v>0</v>
      </c>
      <c r="AN424" s="734">
        <f>IF(NFI_Expiration=1,IF($A424&lt;VLOOKUP(V$5,NFI,5,0),1,0)*Data_NFI_t[[#This Row],[Adult Clothes]],0)</f>
        <v>0</v>
      </c>
      <c r="AO424" s="105">
        <f>IF(NFI_Expiration=1,IF($A424&lt;VLOOKUP(W$5,NFI,5,0),1,0)*Data_NFI_t[[#This Row],[Children Clothes]],0)</f>
        <v>0</v>
      </c>
      <c r="AP424" s="105">
        <f>IF(NFI_Expiration=1,IF($A424&lt;VLOOKUP(X$5,NFI,5,0),1,0)*Data_NFI_t[[#This Row],[Sewing Kit]],0)</f>
        <v>0</v>
      </c>
      <c r="AQ424" s="734">
        <f>IF(NFI_Expiration=1,IF($A424&lt;VLOOKUP(X$5,NFI,5,0),1,0)*Data_NFI_t[[#This Row],[Solar Lantern]],0)</f>
        <v>0</v>
      </c>
      <c r="AR424" s="105" t="str">
        <f ca="1">IFERROR(OFFSET(Camp_List[P_Code],MATCH(Data_NFI_t[[#This Row],[Camp Name]],Camp_List[Camp Name],0)-1,0,1,1),"")</f>
        <v>MMR012CMP001</v>
      </c>
      <c r="AS424" s="421" t="str">
        <f ca="1">IFERROR(OFFSET(Camp_List[Status],MATCH(Data_NFI_t[[#This Row],[Camp Name]],Camp_List[Camp Name],0)-1,0,1,1),"")</f>
        <v>Returned</v>
      </c>
      <c r="AT424" s="105"/>
    </row>
    <row r="425" spans="1:46" s="78" customFormat="1" ht="19.5" customHeight="1" x14ac:dyDescent="0.25">
      <c r="A425" s="208">
        <f t="shared" si="6"/>
        <v>64.466666666666669</v>
      </c>
      <c r="B425" s="208">
        <f>YEAR(Data_NFI_t[[#This Row],[Distribution Date]])</f>
        <v>2012</v>
      </c>
      <c r="C425" s="744">
        <v>41256</v>
      </c>
      <c r="D425" s="402" t="s">
        <v>270</v>
      </c>
      <c r="E425" s="401"/>
      <c r="F425" s="402" t="s">
        <v>7</v>
      </c>
      <c r="G425" s="670" t="s">
        <v>17</v>
      </c>
      <c r="H425" s="670" t="s">
        <v>64</v>
      </c>
      <c r="I425" s="670"/>
      <c r="J425" s="670"/>
      <c r="K425" s="670"/>
      <c r="L425" s="42"/>
      <c r="M425" s="42">
        <v>374</v>
      </c>
      <c r="N425" s="42"/>
      <c r="O425" s="42"/>
      <c r="P425" s="42"/>
      <c r="Q425" s="42"/>
      <c r="R425" s="42"/>
      <c r="S425" s="42"/>
      <c r="T425" s="419"/>
      <c r="U425" s="42"/>
      <c r="V425" s="42"/>
      <c r="W425" s="42"/>
      <c r="X425" s="42"/>
      <c r="Y425" s="42"/>
      <c r="Z425" s="42"/>
      <c r="AA425" s="42"/>
      <c r="AB425" s="42"/>
      <c r="AC425" s="105">
        <f>IF(NFI_Expiration=1,IF($A425&lt;VLOOKUP(I$5,NFI,5,0),1,0)*Data_NFI_t[[#This Row],[Hygiene Kit]],0)</f>
        <v>0</v>
      </c>
      <c r="AD425" s="105">
        <f>IF(NFI_Expiration=1,IF($A425&lt;VLOOKUP(L$5,NFI,5,0),1,0)*Data_NFI_t[[#This Row],[NFI Core Kit]],0)</f>
        <v>0</v>
      </c>
      <c r="AE425" s="86">
        <f>IF(NFI_Expiration=1,IF($A425&lt;VLOOKUP(M$5,NFI,5,0),1,0)*Data_NFI_t[[#This Row],[Sanitary Kit]],0)</f>
        <v>0</v>
      </c>
      <c r="AF425" s="86">
        <f>IF(NFI_Expiration=1,IF($A425&lt;VLOOKUP(N$5,NFI,5,0),1,0)*Data_NFI_t[[#This Row],[Mosquito net]],0)</f>
        <v>0</v>
      </c>
      <c r="AG425" s="86">
        <f>IF(NFI_Expiration=1,IF($A425&lt;VLOOKUP(O$5,NFI,5,0),1,0)*Data_NFI_t[[#This Row],[Tarpaulin]],0)</f>
        <v>0</v>
      </c>
      <c r="AH425" s="86">
        <f>IF(NFI_Expiration=1,IF($A425&lt;VLOOKUP(P$5,NFI,5,0),1,0)*Data_NFI_t[[#This Row],[Blanket]],0)</f>
        <v>0</v>
      </c>
      <c r="AI425" s="86">
        <f>IF(NFI_Expiration=1,IF($A425&lt;VLOOKUP(Q$5,NFI,5,0),1,0)*Data_NFI_t[[#This Row],[Kitchen Set]],0)</f>
        <v>0</v>
      </c>
      <c r="AJ425" s="86">
        <f>IF(NFI_Expiration=1,IF($A425&lt;VLOOKUP(R$5,NFI,5,0),1,0)*Data_NFI_t[[#This Row],[Complementary Kit]],0)</f>
        <v>0</v>
      </c>
      <c r="AK425" s="86">
        <f>IF(NFI_Expiration=1,IF($A425&lt;VLOOKUP(S$5,NFI,5,0),1,0)*Data_NFI_t[[#This Row],[Plastic Bucket]],0)</f>
        <v>0</v>
      </c>
      <c r="AL425" s="86">
        <f>IF(NFI_Expiration=1,IF($A425&lt;VLOOKUP(T$5,NFI,5,0),1,0)*Data_NFI_t[[#This Row],[Jerry Can]],0)</f>
        <v>0</v>
      </c>
      <c r="AM425" s="105">
        <f>IF(NFI_Expiration=1,IF($A425&lt;VLOOKUP(U$5,NFI,5,0),1,0)*Data_NFI_t[[#This Row],[Plastic Mat]],0)*IF(Data_NFI_t[[#This Row],[Distribution Date]]&gt;"01-06-2015",1,2.5)</f>
        <v>0</v>
      </c>
      <c r="AN425" s="734">
        <f>IF(NFI_Expiration=1,IF($A425&lt;VLOOKUP(V$5,NFI,5,0),1,0)*Data_NFI_t[[#This Row],[Adult Clothes]],0)</f>
        <v>0</v>
      </c>
      <c r="AO425" s="105">
        <f>IF(NFI_Expiration=1,IF($A425&lt;VLOOKUP(W$5,NFI,5,0),1,0)*Data_NFI_t[[#This Row],[Children Clothes]],0)</f>
        <v>0</v>
      </c>
      <c r="AP425" s="105">
        <f>IF(NFI_Expiration=1,IF($A425&lt;VLOOKUP(X$5,NFI,5,0),1,0)*Data_NFI_t[[#This Row],[Sewing Kit]],0)</f>
        <v>0</v>
      </c>
      <c r="AQ425" s="734">
        <f>IF(NFI_Expiration=1,IF($A425&lt;VLOOKUP(X$5,NFI,5,0),1,0)*Data_NFI_t[[#This Row],[Solar Lantern]],0)</f>
        <v>0</v>
      </c>
      <c r="AR425" s="105" t="str">
        <f ca="1">IFERROR(OFFSET(Camp_List[P_Code],MATCH(Data_NFI_t[[#This Row],[Camp Name]],Camp_List[Camp Name],0)-1,0,1,1),"")</f>
        <v>MMR012CMP044</v>
      </c>
      <c r="AS425" s="421" t="str">
        <f ca="1">IFERROR(OFFSET(Camp_List[Status],MATCH(Data_NFI_t[[#This Row],[Camp Name]],Camp_List[Camp Name],0)-1,0,1,1),"")</f>
        <v>Close</v>
      </c>
      <c r="AT425" s="105"/>
    </row>
    <row r="426" spans="1:46" s="78" customFormat="1" ht="19.5" customHeight="1" x14ac:dyDescent="0.25">
      <c r="A426" s="208">
        <f t="shared" si="6"/>
        <v>64.466666666666669</v>
      </c>
      <c r="B426" s="208">
        <f>YEAR(Data_NFI_t[[#This Row],[Distribution Date]])</f>
        <v>2012</v>
      </c>
      <c r="C426" s="744">
        <v>41256</v>
      </c>
      <c r="D426" s="402" t="s">
        <v>270</v>
      </c>
      <c r="E426" s="401"/>
      <c r="F426" s="402" t="s">
        <v>7</v>
      </c>
      <c r="G426" s="670" t="s">
        <v>17</v>
      </c>
      <c r="H426" s="670" t="s">
        <v>65</v>
      </c>
      <c r="I426" s="670"/>
      <c r="J426" s="670"/>
      <c r="K426" s="670"/>
      <c r="L426" s="42"/>
      <c r="M426" s="42">
        <v>1460</v>
      </c>
      <c r="N426" s="42"/>
      <c r="O426" s="42"/>
      <c r="P426" s="42"/>
      <c r="Q426" s="42"/>
      <c r="R426" s="42"/>
      <c r="S426" s="42"/>
      <c r="T426" s="419"/>
      <c r="U426" s="42"/>
      <c r="V426" s="42"/>
      <c r="W426" s="42"/>
      <c r="X426" s="42"/>
      <c r="Y426" s="42"/>
      <c r="Z426" s="42"/>
      <c r="AA426" s="42"/>
      <c r="AB426" s="42"/>
      <c r="AC426" s="105">
        <f>IF(NFI_Expiration=1,IF($A426&lt;VLOOKUP(I$5,NFI,5,0),1,0)*Data_NFI_t[[#This Row],[Hygiene Kit]],0)</f>
        <v>0</v>
      </c>
      <c r="AD426" s="105">
        <f>IF(NFI_Expiration=1,IF($A426&lt;VLOOKUP(L$5,NFI,5,0),1,0)*Data_NFI_t[[#This Row],[NFI Core Kit]],0)</f>
        <v>0</v>
      </c>
      <c r="AE426" s="86">
        <f>IF(NFI_Expiration=1,IF($A426&lt;VLOOKUP(M$5,NFI,5,0),1,0)*Data_NFI_t[[#This Row],[Sanitary Kit]],0)</f>
        <v>0</v>
      </c>
      <c r="AF426" s="86">
        <f>IF(NFI_Expiration=1,IF($A426&lt;VLOOKUP(N$5,NFI,5,0),1,0)*Data_NFI_t[[#This Row],[Mosquito net]],0)</f>
        <v>0</v>
      </c>
      <c r="AG426" s="86">
        <f>IF(NFI_Expiration=1,IF($A426&lt;VLOOKUP(O$5,NFI,5,0),1,0)*Data_NFI_t[[#This Row],[Tarpaulin]],0)</f>
        <v>0</v>
      </c>
      <c r="AH426" s="86">
        <f>IF(NFI_Expiration=1,IF($A426&lt;VLOOKUP(P$5,NFI,5,0),1,0)*Data_NFI_t[[#This Row],[Blanket]],0)</f>
        <v>0</v>
      </c>
      <c r="AI426" s="86">
        <f>IF(NFI_Expiration=1,IF($A426&lt;VLOOKUP(Q$5,NFI,5,0),1,0)*Data_NFI_t[[#This Row],[Kitchen Set]],0)</f>
        <v>0</v>
      </c>
      <c r="AJ426" s="86">
        <f>IF(NFI_Expiration=1,IF($A426&lt;VLOOKUP(R$5,NFI,5,0),1,0)*Data_NFI_t[[#This Row],[Complementary Kit]],0)</f>
        <v>0</v>
      </c>
      <c r="AK426" s="86">
        <f>IF(NFI_Expiration=1,IF($A426&lt;VLOOKUP(S$5,NFI,5,0),1,0)*Data_NFI_t[[#This Row],[Plastic Bucket]],0)</f>
        <v>0</v>
      </c>
      <c r="AL426" s="86">
        <f>IF(NFI_Expiration=1,IF($A426&lt;VLOOKUP(T$5,NFI,5,0),1,0)*Data_NFI_t[[#This Row],[Jerry Can]],0)</f>
        <v>0</v>
      </c>
      <c r="AM426" s="105">
        <f>IF(NFI_Expiration=1,IF($A426&lt;VLOOKUP(U$5,NFI,5,0),1,0)*Data_NFI_t[[#This Row],[Plastic Mat]],0)*IF(Data_NFI_t[[#This Row],[Distribution Date]]&gt;"01-06-2015",1,2.5)</f>
        <v>0</v>
      </c>
      <c r="AN426" s="734">
        <f>IF(NFI_Expiration=1,IF($A426&lt;VLOOKUP(V$5,NFI,5,0),1,0)*Data_NFI_t[[#This Row],[Adult Clothes]],0)</f>
        <v>0</v>
      </c>
      <c r="AO426" s="105">
        <f>IF(NFI_Expiration=1,IF($A426&lt;VLOOKUP(W$5,NFI,5,0),1,0)*Data_NFI_t[[#This Row],[Children Clothes]],0)</f>
        <v>0</v>
      </c>
      <c r="AP426" s="105">
        <f>IF(NFI_Expiration=1,IF($A426&lt;VLOOKUP(X$5,NFI,5,0),1,0)*Data_NFI_t[[#This Row],[Sewing Kit]],0)</f>
        <v>0</v>
      </c>
      <c r="AQ426" s="734">
        <f>IF(NFI_Expiration=1,IF($A426&lt;VLOOKUP(X$5,NFI,5,0),1,0)*Data_NFI_t[[#This Row],[Solar Lantern]],0)</f>
        <v>0</v>
      </c>
      <c r="AR426" s="105" t="str">
        <f ca="1">IFERROR(OFFSET(Camp_List[P_Code],MATCH(Data_NFI_t[[#This Row],[Camp Name]],Camp_List[Camp Name],0)-1,0,1,1),"")</f>
        <v>MMR012CMP045</v>
      </c>
      <c r="AS426" s="421" t="str">
        <f ca="1">IFERROR(OFFSET(Camp_List[Status],MATCH(Data_NFI_t[[#This Row],[Camp Name]],Camp_List[Camp Name],0)-1,0,1,1),"")</f>
        <v>Open</v>
      </c>
      <c r="AT426" s="105"/>
    </row>
    <row r="427" spans="1:46" s="78" customFormat="1" ht="19.5" customHeight="1" x14ac:dyDescent="0.25">
      <c r="A427" s="208">
        <f t="shared" si="6"/>
        <v>64.466666666666669</v>
      </c>
      <c r="B427" s="208">
        <f>YEAR(Data_NFI_t[[#This Row],[Distribution Date]])</f>
        <v>2012</v>
      </c>
      <c r="C427" s="744">
        <v>41256</v>
      </c>
      <c r="D427" s="402" t="s">
        <v>270</v>
      </c>
      <c r="E427" s="401"/>
      <c r="F427" s="402" t="s">
        <v>7</v>
      </c>
      <c r="G427" s="670" t="s">
        <v>14</v>
      </c>
      <c r="H427" s="670" t="s">
        <v>51</v>
      </c>
      <c r="I427" s="670"/>
      <c r="J427" s="670"/>
      <c r="K427" s="670"/>
      <c r="L427" s="42"/>
      <c r="M427" s="42"/>
      <c r="N427" s="42">
        <v>290</v>
      </c>
      <c r="O427" s="42"/>
      <c r="P427" s="42"/>
      <c r="Q427" s="42"/>
      <c r="R427" s="42"/>
      <c r="S427" s="42"/>
      <c r="T427" s="419"/>
      <c r="U427" s="42"/>
      <c r="V427" s="42"/>
      <c r="W427" s="42"/>
      <c r="X427" s="42"/>
      <c r="Y427" s="42"/>
      <c r="Z427" s="42"/>
      <c r="AA427" s="42"/>
      <c r="AB427" s="42"/>
      <c r="AC427" s="105">
        <f>IF(NFI_Expiration=1,IF($A427&lt;VLOOKUP(I$5,NFI,5,0),1,0)*Data_NFI_t[[#This Row],[Hygiene Kit]],0)</f>
        <v>0</v>
      </c>
      <c r="AD427" s="105">
        <f>IF(NFI_Expiration=1,IF($A427&lt;VLOOKUP(L$5,NFI,5,0),1,0)*Data_NFI_t[[#This Row],[NFI Core Kit]],0)</f>
        <v>0</v>
      </c>
      <c r="AE427" s="86">
        <f>IF(NFI_Expiration=1,IF($A427&lt;VLOOKUP(M$5,NFI,5,0),1,0)*Data_NFI_t[[#This Row],[Sanitary Kit]],0)</f>
        <v>0</v>
      </c>
      <c r="AF427" s="86">
        <f>IF(NFI_Expiration=1,IF($A427&lt;VLOOKUP(N$5,NFI,5,0),1,0)*Data_NFI_t[[#This Row],[Mosquito net]],0)</f>
        <v>0</v>
      </c>
      <c r="AG427" s="86">
        <f>IF(NFI_Expiration=1,IF($A427&lt;VLOOKUP(O$5,NFI,5,0),1,0)*Data_NFI_t[[#This Row],[Tarpaulin]],0)</f>
        <v>0</v>
      </c>
      <c r="AH427" s="86">
        <f>IF(NFI_Expiration=1,IF($A427&lt;VLOOKUP(P$5,NFI,5,0),1,0)*Data_NFI_t[[#This Row],[Blanket]],0)</f>
        <v>0</v>
      </c>
      <c r="AI427" s="86">
        <f>IF(NFI_Expiration=1,IF($A427&lt;VLOOKUP(Q$5,NFI,5,0),1,0)*Data_NFI_t[[#This Row],[Kitchen Set]],0)</f>
        <v>0</v>
      </c>
      <c r="AJ427" s="86">
        <f>IF(NFI_Expiration=1,IF($A427&lt;VLOOKUP(R$5,NFI,5,0),1,0)*Data_NFI_t[[#This Row],[Complementary Kit]],0)</f>
        <v>0</v>
      </c>
      <c r="AK427" s="86">
        <f>IF(NFI_Expiration=1,IF($A427&lt;VLOOKUP(S$5,NFI,5,0),1,0)*Data_NFI_t[[#This Row],[Plastic Bucket]],0)</f>
        <v>0</v>
      </c>
      <c r="AL427" s="86">
        <f>IF(NFI_Expiration=1,IF($A427&lt;VLOOKUP(T$5,NFI,5,0),1,0)*Data_NFI_t[[#This Row],[Jerry Can]],0)</f>
        <v>0</v>
      </c>
      <c r="AM427" s="105">
        <f>IF(NFI_Expiration=1,IF($A427&lt;VLOOKUP(U$5,NFI,5,0),1,0)*Data_NFI_t[[#This Row],[Plastic Mat]],0)*IF(Data_NFI_t[[#This Row],[Distribution Date]]&gt;"01-06-2015",1,2.5)</f>
        <v>0</v>
      </c>
      <c r="AN427" s="734">
        <f>IF(NFI_Expiration=1,IF($A427&lt;VLOOKUP(V$5,NFI,5,0),1,0)*Data_NFI_t[[#This Row],[Adult Clothes]],0)</f>
        <v>0</v>
      </c>
      <c r="AO427" s="105">
        <f>IF(NFI_Expiration=1,IF($A427&lt;VLOOKUP(W$5,NFI,5,0),1,0)*Data_NFI_t[[#This Row],[Children Clothes]],0)</f>
        <v>0</v>
      </c>
      <c r="AP427" s="105">
        <f>IF(NFI_Expiration=1,IF($A427&lt;VLOOKUP(X$5,NFI,5,0),1,0)*Data_NFI_t[[#This Row],[Sewing Kit]],0)</f>
        <v>0</v>
      </c>
      <c r="AQ427" s="734">
        <f>IF(NFI_Expiration=1,IF($A427&lt;VLOOKUP(X$5,NFI,5,0),1,0)*Data_NFI_t[[#This Row],[Solar Lantern]],0)</f>
        <v>0</v>
      </c>
      <c r="AR427" s="105" t="str">
        <f ca="1">IFERROR(OFFSET(Camp_List[P_Code],MATCH(Data_NFI_t[[#This Row],[Camp Name]],Camp_List[Camp Name],0)-1,0,1,1),"")</f>
        <v>MMR012CMP029</v>
      </c>
      <c r="AS427" s="421" t="str">
        <f ca="1">IFERROR(OFFSET(Camp_List[Status],MATCH(Data_NFI_t[[#This Row],[Camp Name]],Camp_List[Camp Name],0)-1,0,1,1),"")</f>
        <v>Returned</v>
      </c>
      <c r="AT427" s="105"/>
    </row>
    <row r="428" spans="1:46" s="78" customFormat="1" ht="19.5" customHeight="1" x14ac:dyDescent="0.25">
      <c r="A428" s="208">
        <f t="shared" si="6"/>
        <v>64.466666666666669</v>
      </c>
      <c r="B428" s="208">
        <f>YEAR(Data_NFI_t[[#This Row],[Distribution Date]])</f>
        <v>2012</v>
      </c>
      <c r="C428" s="744">
        <v>41256</v>
      </c>
      <c r="D428" s="402" t="s">
        <v>270</v>
      </c>
      <c r="E428" s="401"/>
      <c r="F428" s="402" t="s">
        <v>7</v>
      </c>
      <c r="G428" s="670" t="s">
        <v>14</v>
      </c>
      <c r="H428" s="670" t="s">
        <v>43</v>
      </c>
      <c r="I428" s="670"/>
      <c r="J428" s="670"/>
      <c r="K428" s="670"/>
      <c r="L428" s="42"/>
      <c r="M428" s="42"/>
      <c r="N428" s="42"/>
      <c r="O428" s="42"/>
      <c r="P428" s="42"/>
      <c r="Q428" s="42">
        <v>87</v>
      </c>
      <c r="R428" s="42"/>
      <c r="S428" s="42"/>
      <c r="T428" s="419"/>
      <c r="U428" s="42"/>
      <c r="V428" s="42"/>
      <c r="W428" s="42"/>
      <c r="X428" s="42"/>
      <c r="Y428" s="42"/>
      <c r="Z428" s="42"/>
      <c r="AA428" s="42"/>
      <c r="AB428" s="42"/>
      <c r="AC428" s="105">
        <f>IF(NFI_Expiration=1,IF($A428&lt;VLOOKUP(I$5,NFI,5,0),1,0)*Data_NFI_t[[#This Row],[Hygiene Kit]],0)</f>
        <v>0</v>
      </c>
      <c r="AD428" s="105">
        <f>IF(NFI_Expiration=1,IF($A428&lt;VLOOKUP(L$5,NFI,5,0),1,0)*Data_NFI_t[[#This Row],[NFI Core Kit]],0)</f>
        <v>0</v>
      </c>
      <c r="AE428" s="86">
        <f>IF(NFI_Expiration=1,IF($A428&lt;VLOOKUP(M$5,NFI,5,0),1,0)*Data_NFI_t[[#This Row],[Sanitary Kit]],0)</f>
        <v>0</v>
      </c>
      <c r="AF428" s="86">
        <f>IF(NFI_Expiration=1,IF($A428&lt;VLOOKUP(N$5,NFI,5,0),1,0)*Data_NFI_t[[#This Row],[Mosquito net]],0)</f>
        <v>0</v>
      </c>
      <c r="AG428" s="86">
        <f>IF(NFI_Expiration=1,IF($A428&lt;VLOOKUP(O$5,NFI,5,0),1,0)*Data_NFI_t[[#This Row],[Tarpaulin]],0)</f>
        <v>0</v>
      </c>
      <c r="AH428" s="86">
        <f>IF(NFI_Expiration=1,IF($A428&lt;VLOOKUP(P$5,NFI,5,0),1,0)*Data_NFI_t[[#This Row],[Blanket]],0)</f>
        <v>0</v>
      </c>
      <c r="AI428" s="86">
        <f>IF(NFI_Expiration=1,IF($A428&lt;VLOOKUP(Q$5,NFI,5,0),1,0)*Data_NFI_t[[#This Row],[Kitchen Set]],0)</f>
        <v>0</v>
      </c>
      <c r="AJ428" s="86">
        <f>IF(NFI_Expiration=1,IF($A428&lt;VLOOKUP(R$5,NFI,5,0),1,0)*Data_NFI_t[[#This Row],[Complementary Kit]],0)</f>
        <v>0</v>
      </c>
      <c r="AK428" s="86">
        <f>IF(NFI_Expiration=1,IF($A428&lt;VLOOKUP(S$5,NFI,5,0),1,0)*Data_NFI_t[[#This Row],[Plastic Bucket]],0)</f>
        <v>0</v>
      </c>
      <c r="AL428" s="86">
        <f>IF(NFI_Expiration=1,IF($A428&lt;VLOOKUP(T$5,NFI,5,0),1,0)*Data_NFI_t[[#This Row],[Jerry Can]],0)</f>
        <v>0</v>
      </c>
      <c r="AM428" s="105">
        <f>IF(NFI_Expiration=1,IF($A428&lt;VLOOKUP(U$5,NFI,5,0),1,0)*Data_NFI_t[[#This Row],[Plastic Mat]],0)*IF(Data_NFI_t[[#This Row],[Distribution Date]]&gt;"01-06-2015",1,2.5)</f>
        <v>0</v>
      </c>
      <c r="AN428" s="734">
        <f>IF(NFI_Expiration=1,IF($A428&lt;VLOOKUP(V$5,NFI,5,0),1,0)*Data_NFI_t[[#This Row],[Adult Clothes]],0)</f>
        <v>0</v>
      </c>
      <c r="AO428" s="105">
        <f>IF(NFI_Expiration=1,IF($A428&lt;VLOOKUP(W$5,NFI,5,0),1,0)*Data_NFI_t[[#This Row],[Children Clothes]],0)</f>
        <v>0</v>
      </c>
      <c r="AP428" s="105">
        <f>IF(NFI_Expiration=1,IF($A428&lt;VLOOKUP(X$5,NFI,5,0),1,0)*Data_NFI_t[[#This Row],[Sewing Kit]],0)</f>
        <v>0</v>
      </c>
      <c r="AQ428" s="734">
        <f>IF(NFI_Expiration=1,IF($A428&lt;VLOOKUP(X$5,NFI,5,0),1,0)*Data_NFI_t[[#This Row],[Solar Lantern]],0)</f>
        <v>0</v>
      </c>
      <c r="AR428" s="105" t="str">
        <f ca="1">IFERROR(OFFSET(Camp_List[P_Code],MATCH(Data_NFI_t[[#This Row],[Camp Name]],Camp_List[Camp Name],0)-1,0,1,1),"")</f>
        <v>MMR012CMP021</v>
      </c>
      <c r="AS428" s="421" t="str">
        <f ca="1">IFERROR(OFFSET(Camp_List[Status],MATCH(Data_NFI_t[[#This Row],[Camp Name]],Camp_List[Camp Name],0)-1,0,1,1),"")</f>
        <v>Returned</v>
      </c>
      <c r="AT428" s="105"/>
    </row>
    <row r="429" spans="1:46" s="78" customFormat="1" ht="19.5" customHeight="1" x14ac:dyDescent="0.25">
      <c r="A429" s="208">
        <f t="shared" si="6"/>
        <v>64.466666666666669</v>
      </c>
      <c r="B429" s="208">
        <f>YEAR(Data_NFI_t[[#This Row],[Distribution Date]])</f>
        <v>2012</v>
      </c>
      <c r="C429" s="744">
        <v>41256</v>
      </c>
      <c r="D429" s="402" t="s">
        <v>270</v>
      </c>
      <c r="E429" s="401"/>
      <c r="F429" s="402" t="s">
        <v>7</v>
      </c>
      <c r="G429" s="670" t="s">
        <v>11</v>
      </c>
      <c r="H429" s="670" t="s">
        <v>24</v>
      </c>
      <c r="I429" s="670"/>
      <c r="J429" s="670"/>
      <c r="K429" s="670"/>
      <c r="L429" s="42"/>
      <c r="M429" s="42"/>
      <c r="N429" s="42"/>
      <c r="O429" s="42"/>
      <c r="P429" s="42"/>
      <c r="Q429" s="42">
        <v>203</v>
      </c>
      <c r="R429" s="42"/>
      <c r="S429" s="42"/>
      <c r="T429" s="419"/>
      <c r="U429" s="42"/>
      <c r="V429" s="42"/>
      <c r="W429" s="42"/>
      <c r="X429" s="42"/>
      <c r="Y429" s="42"/>
      <c r="Z429" s="42"/>
      <c r="AA429" s="42"/>
      <c r="AB429" s="42"/>
      <c r="AC429" s="105">
        <f>IF(NFI_Expiration=1,IF($A429&lt;VLOOKUP(I$5,NFI,5,0),1,0)*Data_NFI_t[[#This Row],[Hygiene Kit]],0)</f>
        <v>0</v>
      </c>
      <c r="AD429" s="105">
        <f>IF(NFI_Expiration=1,IF($A429&lt;VLOOKUP(L$5,NFI,5,0),1,0)*Data_NFI_t[[#This Row],[NFI Core Kit]],0)</f>
        <v>0</v>
      </c>
      <c r="AE429" s="86">
        <f>IF(NFI_Expiration=1,IF($A429&lt;VLOOKUP(M$5,NFI,5,0),1,0)*Data_NFI_t[[#This Row],[Sanitary Kit]],0)</f>
        <v>0</v>
      </c>
      <c r="AF429" s="86">
        <f>IF(NFI_Expiration=1,IF($A429&lt;VLOOKUP(N$5,NFI,5,0),1,0)*Data_NFI_t[[#This Row],[Mosquito net]],0)</f>
        <v>0</v>
      </c>
      <c r="AG429" s="86">
        <f>IF(NFI_Expiration=1,IF($A429&lt;VLOOKUP(O$5,NFI,5,0),1,0)*Data_NFI_t[[#This Row],[Tarpaulin]],0)</f>
        <v>0</v>
      </c>
      <c r="AH429" s="86">
        <f>IF(NFI_Expiration=1,IF($A429&lt;VLOOKUP(P$5,NFI,5,0),1,0)*Data_NFI_t[[#This Row],[Blanket]],0)</f>
        <v>0</v>
      </c>
      <c r="AI429" s="86">
        <f>IF(NFI_Expiration=1,IF($A429&lt;VLOOKUP(Q$5,NFI,5,0),1,0)*Data_NFI_t[[#This Row],[Kitchen Set]],0)</f>
        <v>0</v>
      </c>
      <c r="AJ429" s="86">
        <f>IF(NFI_Expiration=1,IF($A429&lt;VLOOKUP(R$5,NFI,5,0),1,0)*Data_NFI_t[[#This Row],[Complementary Kit]],0)</f>
        <v>0</v>
      </c>
      <c r="AK429" s="86">
        <f>IF(NFI_Expiration=1,IF($A429&lt;VLOOKUP(S$5,NFI,5,0),1,0)*Data_NFI_t[[#This Row],[Plastic Bucket]],0)</f>
        <v>0</v>
      </c>
      <c r="AL429" s="86">
        <f>IF(NFI_Expiration=1,IF($A429&lt;VLOOKUP(T$5,NFI,5,0),1,0)*Data_NFI_t[[#This Row],[Jerry Can]],0)</f>
        <v>0</v>
      </c>
      <c r="AM429" s="105">
        <f>IF(NFI_Expiration=1,IF($A429&lt;VLOOKUP(U$5,NFI,5,0),1,0)*Data_NFI_t[[#This Row],[Plastic Mat]],0)*IF(Data_NFI_t[[#This Row],[Distribution Date]]&gt;"01-06-2015",1,2.5)</f>
        <v>0</v>
      </c>
      <c r="AN429" s="734">
        <f>IF(NFI_Expiration=1,IF($A429&lt;VLOOKUP(V$5,NFI,5,0),1,0)*Data_NFI_t[[#This Row],[Adult Clothes]],0)</f>
        <v>0</v>
      </c>
      <c r="AO429" s="105">
        <f>IF(NFI_Expiration=1,IF($A429&lt;VLOOKUP(W$5,NFI,5,0),1,0)*Data_NFI_t[[#This Row],[Children Clothes]],0)</f>
        <v>0</v>
      </c>
      <c r="AP429" s="105">
        <f>IF(NFI_Expiration=1,IF($A429&lt;VLOOKUP(X$5,NFI,5,0),1,0)*Data_NFI_t[[#This Row],[Sewing Kit]],0)</f>
        <v>0</v>
      </c>
      <c r="AQ429" s="734">
        <f>IF(NFI_Expiration=1,IF($A429&lt;VLOOKUP(X$5,NFI,5,0),1,0)*Data_NFI_t[[#This Row],[Solar Lantern]],0)</f>
        <v>0</v>
      </c>
      <c r="AR429" s="105" t="str">
        <f ca="1">IFERROR(OFFSET(Camp_List[P_Code],MATCH(Data_NFI_t[[#This Row],[Camp Name]],Camp_List[Camp Name],0)-1,0,1,1),"")</f>
        <v>MMR012CMP002</v>
      </c>
      <c r="AS429" s="421" t="str">
        <f ca="1">IFERROR(OFFSET(Camp_List[Status],MATCH(Data_NFI_t[[#This Row],[Camp Name]],Camp_List[Camp Name],0)-1,0,1,1),"")</f>
        <v>Returned</v>
      </c>
      <c r="AT429" s="105"/>
    </row>
    <row r="430" spans="1:46" s="78" customFormat="1" ht="19.5" customHeight="1" x14ac:dyDescent="0.25">
      <c r="A430" s="208">
        <f t="shared" si="6"/>
        <v>64.466666666666669</v>
      </c>
      <c r="B430" s="208">
        <f>YEAR(Data_NFI_t[[#This Row],[Distribution Date]])</f>
        <v>2012</v>
      </c>
      <c r="C430" s="744">
        <v>41256</v>
      </c>
      <c r="D430" s="402" t="s">
        <v>270</v>
      </c>
      <c r="E430" s="401"/>
      <c r="F430" s="402" t="s">
        <v>7</v>
      </c>
      <c r="G430" s="670" t="s">
        <v>17</v>
      </c>
      <c r="H430" s="670" t="s">
        <v>66</v>
      </c>
      <c r="I430" s="670"/>
      <c r="J430" s="670"/>
      <c r="K430" s="670"/>
      <c r="L430" s="42"/>
      <c r="M430" s="42">
        <v>2813</v>
      </c>
      <c r="N430" s="42"/>
      <c r="O430" s="42"/>
      <c r="P430" s="42"/>
      <c r="Q430" s="42"/>
      <c r="R430" s="42"/>
      <c r="S430" s="42"/>
      <c r="T430" s="419"/>
      <c r="U430" s="42"/>
      <c r="V430" s="42"/>
      <c r="W430" s="42"/>
      <c r="X430" s="42"/>
      <c r="Y430" s="42"/>
      <c r="Z430" s="42"/>
      <c r="AA430" s="42"/>
      <c r="AB430" s="42"/>
      <c r="AC430" s="105">
        <f>IF(NFI_Expiration=1,IF($A430&lt;VLOOKUP(I$5,NFI,5,0),1,0)*Data_NFI_t[[#This Row],[Hygiene Kit]],0)</f>
        <v>0</v>
      </c>
      <c r="AD430" s="105">
        <f>IF(NFI_Expiration=1,IF($A430&lt;VLOOKUP(L$5,NFI,5,0),1,0)*Data_NFI_t[[#This Row],[NFI Core Kit]],0)</f>
        <v>0</v>
      </c>
      <c r="AE430" s="86">
        <f>IF(NFI_Expiration=1,IF($A430&lt;VLOOKUP(M$5,NFI,5,0),1,0)*Data_NFI_t[[#This Row],[Sanitary Kit]],0)</f>
        <v>0</v>
      </c>
      <c r="AF430" s="86">
        <f>IF(NFI_Expiration=1,IF($A430&lt;VLOOKUP(N$5,NFI,5,0),1,0)*Data_NFI_t[[#This Row],[Mosquito net]],0)</f>
        <v>0</v>
      </c>
      <c r="AG430" s="86">
        <f>IF(NFI_Expiration=1,IF($A430&lt;VLOOKUP(O$5,NFI,5,0),1,0)*Data_NFI_t[[#This Row],[Tarpaulin]],0)</f>
        <v>0</v>
      </c>
      <c r="AH430" s="86">
        <f>IF(NFI_Expiration=1,IF($A430&lt;VLOOKUP(P$5,NFI,5,0),1,0)*Data_NFI_t[[#This Row],[Blanket]],0)</f>
        <v>0</v>
      </c>
      <c r="AI430" s="86">
        <f>IF(NFI_Expiration=1,IF($A430&lt;VLOOKUP(Q$5,NFI,5,0),1,0)*Data_NFI_t[[#This Row],[Kitchen Set]],0)</f>
        <v>0</v>
      </c>
      <c r="AJ430" s="86">
        <f>IF(NFI_Expiration=1,IF($A430&lt;VLOOKUP(R$5,NFI,5,0),1,0)*Data_NFI_t[[#This Row],[Complementary Kit]],0)</f>
        <v>0</v>
      </c>
      <c r="AK430" s="86">
        <f>IF(NFI_Expiration=1,IF($A430&lt;VLOOKUP(S$5,NFI,5,0),1,0)*Data_NFI_t[[#This Row],[Plastic Bucket]],0)</f>
        <v>0</v>
      </c>
      <c r="AL430" s="86">
        <f>IF(NFI_Expiration=1,IF($A430&lt;VLOOKUP(T$5,NFI,5,0),1,0)*Data_NFI_t[[#This Row],[Jerry Can]],0)</f>
        <v>0</v>
      </c>
      <c r="AM430" s="105">
        <f>IF(NFI_Expiration=1,IF($A430&lt;VLOOKUP(U$5,NFI,5,0),1,0)*Data_NFI_t[[#This Row],[Plastic Mat]],0)*IF(Data_NFI_t[[#This Row],[Distribution Date]]&gt;"01-06-2015",1,2.5)</f>
        <v>0</v>
      </c>
      <c r="AN430" s="734">
        <f>IF(NFI_Expiration=1,IF($A430&lt;VLOOKUP(V$5,NFI,5,0),1,0)*Data_NFI_t[[#This Row],[Adult Clothes]],0)</f>
        <v>0</v>
      </c>
      <c r="AO430" s="105">
        <f>IF(NFI_Expiration=1,IF($A430&lt;VLOOKUP(W$5,NFI,5,0),1,0)*Data_NFI_t[[#This Row],[Children Clothes]],0)</f>
        <v>0</v>
      </c>
      <c r="AP430" s="105">
        <f>IF(NFI_Expiration=1,IF($A430&lt;VLOOKUP(X$5,NFI,5,0),1,0)*Data_NFI_t[[#This Row],[Sewing Kit]],0)</f>
        <v>0</v>
      </c>
      <c r="AQ430" s="734">
        <f>IF(NFI_Expiration=1,IF($A430&lt;VLOOKUP(X$5,NFI,5,0),1,0)*Data_NFI_t[[#This Row],[Solar Lantern]],0)</f>
        <v>0</v>
      </c>
      <c r="AR430" s="105" t="str">
        <f ca="1">IFERROR(OFFSET(Camp_List[P_Code],MATCH(Data_NFI_t[[#This Row],[Camp Name]],Camp_List[Camp Name],0)-1,0,1,1),"")</f>
        <v>MMR012CMP046</v>
      </c>
      <c r="AS430" s="421" t="str">
        <f ca="1">IFERROR(OFFSET(Camp_List[Status],MATCH(Data_NFI_t[[#This Row],[Camp Name]],Camp_List[Camp Name],0)-1,0,1,1),"")</f>
        <v>Open</v>
      </c>
      <c r="AT430" s="105"/>
    </row>
    <row r="431" spans="1:46" s="78" customFormat="1" ht="19.5" customHeight="1" x14ac:dyDescent="0.25">
      <c r="A431" s="208">
        <f t="shared" si="6"/>
        <v>64.466666666666669</v>
      </c>
      <c r="B431" s="208">
        <f>YEAR(Data_NFI_t[[#This Row],[Distribution Date]])</f>
        <v>2012</v>
      </c>
      <c r="C431" s="744">
        <v>41256</v>
      </c>
      <c r="D431" s="402" t="s">
        <v>270</v>
      </c>
      <c r="E431" s="401"/>
      <c r="F431" s="402" t="s">
        <v>7</v>
      </c>
      <c r="G431" s="670" t="s">
        <v>17</v>
      </c>
      <c r="H431" s="670" t="s">
        <v>68</v>
      </c>
      <c r="I431" s="670"/>
      <c r="J431" s="670"/>
      <c r="K431" s="670"/>
      <c r="L431" s="42"/>
      <c r="M431" s="42">
        <v>1900</v>
      </c>
      <c r="N431" s="42"/>
      <c r="O431" s="42"/>
      <c r="P431" s="42"/>
      <c r="Q431" s="42"/>
      <c r="R431" s="42"/>
      <c r="S431" s="42"/>
      <c r="T431" s="419"/>
      <c r="U431" s="42"/>
      <c r="V431" s="42"/>
      <c r="W431" s="42"/>
      <c r="X431" s="42"/>
      <c r="Y431" s="42"/>
      <c r="Z431" s="42"/>
      <c r="AA431" s="42"/>
      <c r="AB431" s="42"/>
      <c r="AC431" s="105">
        <f>IF(NFI_Expiration=1,IF($A431&lt;VLOOKUP(I$5,NFI,5,0),1,0)*Data_NFI_t[[#This Row],[Hygiene Kit]],0)</f>
        <v>0</v>
      </c>
      <c r="AD431" s="105">
        <f>IF(NFI_Expiration=1,IF($A431&lt;VLOOKUP(L$5,NFI,5,0),1,0)*Data_NFI_t[[#This Row],[NFI Core Kit]],0)</f>
        <v>0</v>
      </c>
      <c r="AE431" s="86">
        <f>IF(NFI_Expiration=1,IF($A431&lt;VLOOKUP(M$5,NFI,5,0),1,0)*Data_NFI_t[[#This Row],[Sanitary Kit]],0)</f>
        <v>0</v>
      </c>
      <c r="AF431" s="86">
        <f>IF(NFI_Expiration=1,IF($A431&lt;VLOOKUP(N$5,NFI,5,0),1,0)*Data_NFI_t[[#This Row],[Mosquito net]],0)</f>
        <v>0</v>
      </c>
      <c r="AG431" s="86">
        <f>IF(NFI_Expiration=1,IF($A431&lt;VLOOKUP(O$5,NFI,5,0),1,0)*Data_NFI_t[[#This Row],[Tarpaulin]],0)</f>
        <v>0</v>
      </c>
      <c r="AH431" s="86">
        <f>IF(NFI_Expiration=1,IF($A431&lt;VLOOKUP(P$5,NFI,5,0),1,0)*Data_NFI_t[[#This Row],[Blanket]],0)</f>
        <v>0</v>
      </c>
      <c r="AI431" s="86">
        <f>IF(NFI_Expiration=1,IF($A431&lt;VLOOKUP(Q$5,NFI,5,0),1,0)*Data_NFI_t[[#This Row],[Kitchen Set]],0)</f>
        <v>0</v>
      </c>
      <c r="AJ431" s="86">
        <f>IF(NFI_Expiration=1,IF($A431&lt;VLOOKUP(R$5,NFI,5,0),1,0)*Data_NFI_t[[#This Row],[Complementary Kit]],0)</f>
        <v>0</v>
      </c>
      <c r="AK431" s="86">
        <f>IF(NFI_Expiration=1,IF($A431&lt;VLOOKUP(S$5,NFI,5,0),1,0)*Data_NFI_t[[#This Row],[Plastic Bucket]],0)</f>
        <v>0</v>
      </c>
      <c r="AL431" s="86">
        <f>IF(NFI_Expiration=1,IF($A431&lt;VLOOKUP(T$5,NFI,5,0),1,0)*Data_NFI_t[[#This Row],[Jerry Can]],0)</f>
        <v>0</v>
      </c>
      <c r="AM431" s="105">
        <f>IF(NFI_Expiration=1,IF($A431&lt;VLOOKUP(U$5,NFI,5,0),1,0)*Data_NFI_t[[#This Row],[Plastic Mat]],0)*IF(Data_NFI_t[[#This Row],[Distribution Date]]&gt;"01-06-2015",1,2.5)</f>
        <v>0</v>
      </c>
      <c r="AN431" s="734">
        <f>IF(NFI_Expiration=1,IF($A431&lt;VLOOKUP(V$5,NFI,5,0),1,0)*Data_NFI_t[[#This Row],[Adult Clothes]],0)</f>
        <v>0</v>
      </c>
      <c r="AO431" s="105">
        <f>IF(NFI_Expiration=1,IF($A431&lt;VLOOKUP(W$5,NFI,5,0),1,0)*Data_NFI_t[[#This Row],[Children Clothes]],0)</f>
        <v>0</v>
      </c>
      <c r="AP431" s="105">
        <f>IF(NFI_Expiration=1,IF($A431&lt;VLOOKUP(X$5,NFI,5,0),1,0)*Data_NFI_t[[#This Row],[Sewing Kit]],0)</f>
        <v>0</v>
      </c>
      <c r="AQ431" s="734">
        <f>IF(NFI_Expiration=1,IF($A431&lt;VLOOKUP(X$5,NFI,5,0),1,0)*Data_NFI_t[[#This Row],[Solar Lantern]],0)</f>
        <v>0</v>
      </c>
      <c r="AR431" s="105" t="str">
        <f ca="1">IFERROR(OFFSET(Camp_List[P_Code],MATCH(Data_NFI_t[[#This Row],[Camp Name]],Camp_List[Camp Name],0)-1,0,1,1),"")</f>
        <v>MMR012CMP048</v>
      </c>
      <c r="AS431" s="421" t="str">
        <f ca="1">IFERROR(OFFSET(Camp_List[Status],MATCH(Data_NFI_t[[#This Row],[Camp Name]],Camp_List[Camp Name],0)-1,0,1,1),"")</f>
        <v>Open</v>
      </c>
      <c r="AT431" s="105"/>
    </row>
    <row r="432" spans="1:46" s="78" customFormat="1" ht="19.5" customHeight="1" x14ac:dyDescent="0.25">
      <c r="A432" s="208">
        <f t="shared" si="6"/>
        <v>64.466666666666669</v>
      </c>
      <c r="B432" s="208">
        <f>YEAR(Data_NFI_t[[#This Row],[Distribution Date]])</f>
        <v>2012</v>
      </c>
      <c r="C432" s="744">
        <v>41256</v>
      </c>
      <c r="D432" s="402" t="s">
        <v>270</v>
      </c>
      <c r="E432" s="401"/>
      <c r="F432" s="402" t="s">
        <v>7</v>
      </c>
      <c r="G432" s="670" t="s">
        <v>14</v>
      </c>
      <c r="H432" s="670" t="s">
        <v>50</v>
      </c>
      <c r="I432" s="670"/>
      <c r="J432" s="670"/>
      <c r="K432" s="670"/>
      <c r="L432" s="42"/>
      <c r="M432" s="42"/>
      <c r="N432" s="42">
        <v>214</v>
      </c>
      <c r="O432" s="42"/>
      <c r="P432" s="42">
        <v>214</v>
      </c>
      <c r="Q432" s="42">
        <v>107</v>
      </c>
      <c r="R432" s="42">
        <v>107</v>
      </c>
      <c r="S432" s="42"/>
      <c r="T432" s="419"/>
      <c r="U432" s="42"/>
      <c r="V432" s="42"/>
      <c r="W432" s="42"/>
      <c r="X432" s="42"/>
      <c r="Y432" s="42"/>
      <c r="Z432" s="42"/>
      <c r="AA432" s="42"/>
      <c r="AB432" s="42"/>
      <c r="AC432" s="105">
        <f>IF(NFI_Expiration=1,IF($A432&lt;VLOOKUP(I$5,NFI,5,0),1,0)*Data_NFI_t[[#This Row],[Hygiene Kit]],0)</f>
        <v>0</v>
      </c>
      <c r="AD432" s="105">
        <f>IF(NFI_Expiration=1,IF($A432&lt;VLOOKUP(L$5,NFI,5,0),1,0)*Data_NFI_t[[#This Row],[NFI Core Kit]],0)</f>
        <v>0</v>
      </c>
      <c r="AE432" s="86">
        <f>IF(NFI_Expiration=1,IF($A432&lt;VLOOKUP(M$5,NFI,5,0),1,0)*Data_NFI_t[[#This Row],[Sanitary Kit]],0)</f>
        <v>0</v>
      </c>
      <c r="AF432" s="86">
        <f>IF(NFI_Expiration=1,IF($A432&lt;VLOOKUP(N$5,NFI,5,0),1,0)*Data_NFI_t[[#This Row],[Mosquito net]],0)</f>
        <v>0</v>
      </c>
      <c r="AG432" s="86">
        <f>IF(NFI_Expiration=1,IF($A432&lt;VLOOKUP(O$5,NFI,5,0),1,0)*Data_NFI_t[[#This Row],[Tarpaulin]],0)</f>
        <v>0</v>
      </c>
      <c r="AH432" s="86">
        <f>IF(NFI_Expiration=1,IF($A432&lt;VLOOKUP(P$5,NFI,5,0),1,0)*Data_NFI_t[[#This Row],[Blanket]],0)</f>
        <v>0</v>
      </c>
      <c r="AI432" s="86">
        <f>IF(NFI_Expiration=1,IF($A432&lt;VLOOKUP(Q$5,NFI,5,0),1,0)*Data_NFI_t[[#This Row],[Kitchen Set]],0)</f>
        <v>0</v>
      </c>
      <c r="AJ432" s="86">
        <f>IF(NFI_Expiration=1,IF($A432&lt;VLOOKUP(R$5,NFI,5,0),1,0)*Data_NFI_t[[#This Row],[Complementary Kit]],0)</f>
        <v>0</v>
      </c>
      <c r="AK432" s="86">
        <f>IF(NFI_Expiration=1,IF($A432&lt;VLOOKUP(S$5,NFI,5,0),1,0)*Data_NFI_t[[#This Row],[Plastic Bucket]],0)</f>
        <v>0</v>
      </c>
      <c r="AL432" s="86">
        <f>IF(NFI_Expiration=1,IF($A432&lt;VLOOKUP(T$5,NFI,5,0),1,0)*Data_NFI_t[[#This Row],[Jerry Can]],0)</f>
        <v>0</v>
      </c>
      <c r="AM432" s="105">
        <f>IF(NFI_Expiration=1,IF($A432&lt;VLOOKUP(U$5,NFI,5,0),1,0)*Data_NFI_t[[#This Row],[Plastic Mat]],0)*IF(Data_NFI_t[[#This Row],[Distribution Date]]&gt;"01-06-2015",1,2.5)</f>
        <v>0</v>
      </c>
      <c r="AN432" s="734">
        <f>IF(NFI_Expiration=1,IF($A432&lt;VLOOKUP(V$5,NFI,5,0),1,0)*Data_NFI_t[[#This Row],[Adult Clothes]],0)</f>
        <v>0</v>
      </c>
      <c r="AO432" s="105">
        <f>IF(NFI_Expiration=1,IF($A432&lt;VLOOKUP(W$5,NFI,5,0),1,0)*Data_NFI_t[[#This Row],[Children Clothes]],0)</f>
        <v>0</v>
      </c>
      <c r="AP432" s="105">
        <f>IF(NFI_Expiration=1,IF($A432&lt;VLOOKUP(X$5,NFI,5,0),1,0)*Data_NFI_t[[#This Row],[Sewing Kit]],0)</f>
        <v>0</v>
      </c>
      <c r="AQ432" s="734">
        <f>IF(NFI_Expiration=1,IF($A432&lt;VLOOKUP(X$5,NFI,5,0),1,0)*Data_NFI_t[[#This Row],[Solar Lantern]],0)</f>
        <v>0</v>
      </c>
      <c r="AR432" s="105" t="str">
        <f ca="1">IFERROR(OFFSET(Camp_List[P_Code],MATCH(Data_NFI_t[[#This Row],[Camp Name]],Camp_List[Camp Name],0)-1,0,1,1),"")</f>
        <v>MMR012CMP028</v>
      </c>
      <c r="AS432" s="421" t="str">
        <f ca="1">IFERROR(OFFSET(Camp_List[Status],MATCH(Data_NFI_t[[#This Row],[Camp Name]],Camp_List[Camp Name],0)-1,0,1,1),"")</f>
        <v>Returned</v>
      </c>
      <c r="AT432" s="105"/>
    </row>
    <row r="433" spans="1:46" s="78" customFormat="1" ht="19.5" customHeight="1" x14ac:dyDescent="0.25">
      <c r="A433" s="208">
        <f t="shared" si="6"/>
        <v>64.5</v>
      </c>
      <c r="B433" s="208">
        <f>YEAR(Data_NFI_t[[#This Row],[Distribution Date]])</f>
        <v>2012</v>
      </c>
      <c r="C433" s="744">
        <v>41255</v>
      </c>
      <c r="D433" s="402" t="s">
        <v>274</v>
      </c>
      <c r="E433" s="401" t="s">
        <v>270</v>
      </c>
      <c r="F433" s="402" t="s">
        <v>7</v>
      </c>
      <c r="G433" s="670" t="s">
        <v>17</v>
      </c>
      <c r="H433" s="670" t="s">
        <v>69</v>
      </c>
      <c r="I433" s="670"/>
      <c r="J433" s="670"/>
      <c r="K433" s="670"/>
      <c r="L433" s="42"/>
      <c r="M433" s="42"/>
      <c r="N433" s="42"/>
      <c r="O433" s="42"/>
      <c r="P433" s="42">
        <v>50</v>
      </c>
      <c r="Q433" s="42"/>
      <c r="R433" s="42"/>
      <c r="S433" s="42"/>
      <c r="T433" s="419"/>
      <c r="U433" s="42"/>
      <c r="V433" s="42"/>
      <c r="W433" s="42"/>
      <c r="X433" s="42"/>
      <c r="Y433" s="42"/>
      <c r="Z433" s="42"/>
      <c r="AA433" s="42"/>
      <c r="AB433" s="42"/>
      <c r="AC433" s="105">
        <f>IF(NFI_Expiration=1,IF($A433&lt;VLOOKUP(I$5,NFI,5,0),1,0)*Data_NFI_t[[#This Row],[Hygiene Kit]],0)</f>
        <v>0</v>
      </c>
      <c r="AD433" s="105">
        <f>IF(NFI_Expiration=1,IF($A433&lt;VLOOKUP(L$5,NFI,5,0),1,0)*Data_NFI_t[[#This Row],[NFI Core Kit]],0)</f>
        <v>0</v>
      </c>
      <c r="AE433" s="86">
        <f>IF(NFI_Expiration=1,IF($A433&lt;VLOOKUP(M$5,NFI,5,0),1,0)*Data_NFI_t[[#This Row],[Sanitary Kit]],0)</f>
        <v>0</v>
      </c>
      <c r="AF433" s="86">
        <f>IF(NFI_Expiration=1,IF($A433&lt;VLOOKUP(N$5,NFI,5,0),1,0)*Data_NFI_t[[#This Row],[Mosquito net]],0)</f>
        <v>0</v>
      </c>
      <c r="AG433" s="86">
        <f>IF(NFI_Expiration=1,IF($A433&lt;VLOOKUP(O$5,NFI,5,0),1,0)*Data_NFI_t[[#This Row],[Tarpaulin]],0)</f>
        <v>0</v>
      </c>
      <c r="AH433" s="86">
        <f>IF(NFI_Expiration=1,IF($A433&lt;VLOOKUP(P$5,NFI,5,0),1,0)*Data_NFI_t[[#This Row],[Blanket]],0)</f>
        <v>0</v>
      </c>
      <c r="AI433" s="86">
        <f>IF(NFI_Expiration=1,IF($A433&lt;VLOOKUP(Q$5,NFI,5,0),1,0)*Data_NFI_t[[#This Row],[Kitchen Set]],0)</f>
        <v>0</v>
      </c>
      <c r="AJ433" s="86">
        <f>IF(NFI_Expiration=1,IF($A433&lt;VLOOKUP(R$5,NFI,5,0),1,0)*Data_NFI_t[[#This Row],[Complementary Kit]],0)</f>
        <v>0</v>
      </c>
      <c r="AK433" s="86">
        <f>IF(NFI_Expiration=1,IF($A433&lt;VLOOKUP(S$5,NFI,5,0),1,0)*Data_NFI_t[[#This Row],[Plastic Bucket]],0)</f>
        <v>0</v>
      </c>
      <c r="AL433" s="86">
        <f>IF(NFI_Expiration=1,IF($A433&lt;VLOOKUP(T$5,NFI,5,0),1,0)*Data_NFI_t[[#This Row],[Jerry Can]],0)</f>
        <v>0</v>
      </c>
      <c r="AM433" s="105">
        <f>IF(NFI_Expiration=1,IF($A433&lt;VLOOKUP(U$5,NFI,5,0),1,0)*Data_NFI_t[[#This Row],[Plastic Mat]],0)*IF(Data_NFI_t[[#This Row],[Distribution Date]]&gt;"01-06-2015",1,2.5)</f>
        <v>0</v>
      </c>
      <c r="AN433" s="734">
        <f>IF(NFI_Expiration=1,IF($A433&lt;VLOOKUP(V$5,NFI,5,0),1,0)*Data_NFI_t[[#This Row],[Adult Clothes]],0)</f>
        <v>0</v>
      </c>
      <c r="AO433" s="105">
        <f>IF(NFI_Expiration=1,IF($A433&lt;VLOOKUP(W$5,NFI,5,0),1,0)*Data_NFI_t[[#This Row],[Children Clothes]],0)</f>
        <v>0</v>
      </c>
      <c r="AP433" s="105">
        <f>IF(NFI_Expiration=1,IF($A433&lt;VLOOKUP(X$5,NFI,5,0),1,0)*Data_NFI_t[[#This Row],[Sewing Kit]],0)</f>
        <v>0</v>
      </c>
      <c r="AQ433" s="734">
        <f>IF(NFI_Expiration=1,IF($A433&lt;VLOOKUP(X$5,NFI,5,0),1,0)*Data_NFI_t[[#This Row],[Solar Lantern]],0)</f>
        <v>0</v>
      </c>
      <c r="AR433" s="105" t="str">
        <f ca="1">IFERROR(OFFSET(Camp_List[P_Code],MATCH(Data_NFI_t[[#This Row],[Camp Name]],Camp_List[Camp Name],0)-1,0,1,1),"")</f>
        <v>MMR012CMP049</v>
      </c>
      <c r="AS433" s="421" t="str">
        <f ca="1">IFERROR(OFFSET(Camp_List[Status],MATCH(Data_NFI_t[[#This Row],[Camp Name]],Camp_List[Camp Name],0)-1,0,1,1),"")</f>
        <v>Close</v>
      </c>
      <c r="AT433" s="105"/>
    </row>
    <row r="434" spans="1:46" s="78" customFormat="1" ht="19.5" customHeight="1" x14ac:dyDescent="0.25">
      <c r="A434" s="208">
        <f t="shared" si="6"/>
        <v>64.5</v>
      </c>
      <c r="B434" s="208">
        <f>YEAR(Data_NFI_t[[#This Row],[Distribution Date]])</f>
        <v>2012</v>
      </c>
      <c r="C434" s="744">
        <v>41255</v>
      </c>
      <c r="D434" s="402" t="s">
        <v>270</v>
      </c>
      <c r="E434" s="401"/>
      <c r="F434" s="402" t="s">
        <v>7</v>
      </c>
      <c r="G434" s="670" t="s">
        <v>17</v>
      </c>
      <c r="H434" s="670" t="s">
        <v>73</v>
      </c>
      <c r="I434" s="670"/>
      <c r="J434" s="670"/>
      <c r="K434" s="670"/>
      <c r="L434" s="42"/>
      <c r="M434" s="42">
        <v>85</v>
      </c>
      <c r="N434" s="42"/>
      <c r="O434" s="42"/>
      <c r="P434" s="42"/>
      <c r="Q434" s="42"/>
      <c r="R434" s="42"/>
      <c r="S434" s="42"/>
      <c r="T434" s="419"/>
      <c r="U434" s="42"/>
      <c r="V434" s="42"/>
      <c r="W434" s="42"/>
      <c r="X434" s="42"/>
      <c r="Y434" s="42"/>
      <c r="Z434" s="42"/>
      <c r="AA434" s="42"/>
      <c r="AB434" s="42"/>
      <c r="AC434" s="105">
        <f>IF(NFI_Expiration=1,IF($A434&lt;VLOOKUP(I$5,NFI,5,0),1,0)*Data_NFI_t[[#This Row],[Hygiene Kit]],0)</f>
        <v>0</v>
      </c>
      <c r="AD434" s="105">
        <f>IF(NFI_Expiration=1,IF($A434&lt;VLOOKUP(L$5,NFI,5,0),1,0)*Data_NFI_t[[#This Row],[NFI Core Kit]],0)</f>
        <v>0</v>
      </c>
      <c r="AE434" s="86">
        <f>IF(NFI_Expiration=1,IF($A434&lt;VLOOKUP(M$5,NFI,5,0),1,0)*Data_NFI_t[[#This Row],[Sanitary Kit]],0)</f>
        <v>0</v>
      </c>
      <c r="AF434" s="86">
        <f>IF(NFI_Expiration=1,IF($A434&lt;VLOOKUP(N$5,NFI,5,0),1,0)*Data_NFI_t[[#This Row],[Mosquito net]],0)</f>
        <v>0</v>
      </c>
      <c r="AG434" s="86">
        <f>IF(NFI_Expiration=1,IF($A434&lt;VLOOKUP(O$5,NFI,5,0),1,0)*Data_NFI_t[[#This Row],[Tarpaulin]],0)</f>
        <v>0</v>
      </c>
      <c r="AH434" s="86">
        <f>IF(NFI_Expiration=1,IF($A434&lt;VLOOKUP(P$5,NFI,5,0),1,0)*Data_NFI_t[[#This Row],[Blanket]],0)</f>
        <v>0</v>
      </c>
      <c r="AI434" s="86">
        <f>IF(NFI_Expiration=1,IF($A434&lt;VLOOKUP(Q$5,NFI,5,0),1,0)*Data_NFI_t[[#This Row],[Kitchen Set]],0)</f>
        <v>0</v>
      </c>
      <c r="AJ434" s="86">
        <f>IF(NFI_Expiration=1,IF($A434&lt;VLOOKUP(R$5,NFI,5,0),1,0)*Data_NFI_t[[#This Row],[Complementary Kit]],0)</f>
        <v>0</v>
      </c>
      <c r="AK434" s="86">
        <f>IF(NFI_Expiration=1,IF($A434&lt;VLOOKUP(S$5,NFI,5,0),1,0)*Data_NFI_t[[#This Row],[Plastic Bucket]],0)</f>
        <v>0</v>
      </c>
      <c r="AL434" s="86">
        <f>IF(NFI_Expiration=1,IF($A434&lt;VLOOKUP(T$5,NFI,5,0),1,0)*Data_NFI_t[[#This Row],[Jerry Can]],0)</f>
        <v>0</v>
      </c>
      <c r="AM434" s="105">
        <f>IF(NFI_Expiration=1,IF($A434&lt;VLOOKUP(U$5,NFI,5,0),1,0)*Data_NFI_t[[#This Row],[Plastic Mat]],0)*IF(Data_NFI_t[[#This Row],[Distribution Date]]&gt;"01-06-2015",1,2.5)</f>
        <v>0</v>
      </c>
      <c r="AN434" s="734">
        <f>IF(NFI_Expiration=1,IF($A434&lt;VLOOKUP(V$5,NFI,5,0),1,0)*Data_NFI_t[[#This Row],[Adult Clothes]],0)</f>
        <v>0</v>
      </c>
      <c r="AO434" s="105">
        <f>IF(NFI_Expiration=1,IF($A434&lt;VLOOKUP(W$5,NFI,5,0),1,0)*Data_NFI_t[[#This Row],[Children Clothes]],0)</f>
        <v>0</v>
      </c>
      <c r="AP434" s="105">
        <f>IF(NFI_Expiration=1,IF($A434&lt;VLOOKUP(X$5,NFI,5,0),1,0)*Data_NFI_t[[#This Row],[Sewing Kit]],0)</f>
        <v>0</v>
      </c>
      <c r="AQ434" s="734">
        <f>IF(NFI_Expiration=1,IF($A434&lt;VLOOKUP(X$5,NFI,5,0),1,0)*Data_NFI_t[[#This Row],[Solar Lantern]],0)</f>
        <v>0</v>
      </c>
      <c r="AR434" s="105" t="str">
        <f ca="1">IFERROR(OFFSET(Camp_List[P_Code],MATCH(Data_NFI_t[[#This Row],[Camp Name]],Camp_List[Camp Name],0)-1,0,1,1),"")</f>
        <v>MMR012CMP053</v>
      </c>
      <c r="AS434" s="421" t="str">
        <f ca="1">IFERROR(OFFSET(Camp_List[Status],MATCH(Data_NFI_t[[#This Row],[Camp Name]],Camp_List[Camp Name],0)-1,0,1,1),"")</f>
        <v>Close</v>
      </c>
      <c r="AT434" s="105"/>
    </row>
    <row r="435" spans="1:46" s="78" customFormat="1" ht="19.5" customHeight="1" x14ac:dyDescent="0.25">
      <c r="A435" s="208">
        <f t="shared" si="6"/>
        <v>64.5</v>
      </c>
      <c r="B435" s="208">
        <f>YEAR(Data_NFI_t[[#This Row],[Distribution Date]])</f>
        <v>2012</v>
      </c>
      <c r="C435" s="744">
        <v>41255</v>
      </c>
      <c r="D435" s="402" t="s">
        <v>270</v>
      </c>
      <c r="E435" s="401"/>
      <c r="F435" s="402" t="s">
        <v>7</v>
      </c>
      <c r="G435" s="670" t="s">
        <v>17</v>
      </c>
      <c r="H435" s="670" t="s">
        <v>74</v>
      </c>
      <c r="I435" s="670"/>
      <c r="J435" s="670"/>
      <c r="K435" s="670"/>
      <c r="L435" s="42"/>
      <c r="M435" s="42">
        <v>53</v>
      </c>
      <c r="N435" s="42"/>
      <c r="O435" s="42"/>
      <c r="P435" s="42"/>
      <c r="Q435" s="42"/>
      <c r="R435" s="42"/>
      <c r="S435" s="42"/>
      <c r="T435" s="419"/>
      <c r="U435" s="42"/>
      <c r="V435" s="42"/>
      <c r="W435" s="42"/>
      <c r="X435" s="42"/>
      <c r="Y435" s="42"/>
      <c r="Z435" s="42"/>
      <c r="AA435" s="42"/>
      <c r="AB435" s="42"/>
      <c r="AC435" s="105">
        <f>IF(NFI_Expiration=1,IF($A435&lt;VLOOKUP(I$5,NFI,5,0),1,0)*Data_NFI_t[[#This Row],[Hygiene Kit]],0)</f>
        <v>0</v>
      </c>
      <c r="AD435" s="105">
        <f>IF(NFI_Expiration=1,IF($A435&lt;VLOOKUP(L$5,NFI,5,0),1,0)*Data_NFI_t[[#This Row],[NFI Core Kit]],0)</f>
        <v>0</v>
      </c>
      <c r="AE435" s="86">
        <f>IF(NFI_Expiration=1,IF($A435&lt;VLOOKUP(M$5,NFI,5,0),1,0)*Data_NFI_t[[#This Row],[Sanitary Kit]],0)</f>
        <v>0</v>
      </c>
      <c r="AF435" s="86">
        <f>IF(NFI_Expiration=1,IF($A435&lt;VLOOKUP(N$5,NFI,5,0),1,0)*Data_NFI_t[[#This Row],[Mosquito net]],0)</f>
        <v>0</v>
      </c>
      <c r="AG435" s="86">
        <f>IF(NFI_Expiration=1,IF($A435&lt;VLOOKUP(O$5,NFI,5,0),1,0)*Data_NFI_t[[#This Row],[Tarpaulin]],0)</f>
        <v>0</v>
      </c>
      <c r="AH435" s="86">
        <f>IF(NFI_Expiration=1,IF($A435&lt;VLOOKUP(P$5,NFI,5,0),1,0)*Data_NFI_t[[#This Row],[Blanket]],0)</f>
        <v>0</v>
      </c>
      <c r="AI435" s="86">
        <f>IF(NFI_Expiration=1,IF($A435&lt;VLOOKUP(Q$5,NFI,5,0),1,0)*Data_NFI_t[[#This Row],[Kitchen Set]],0)</f>
        <v>0</v>
      </c>
      <c r="AJ435" s="86">
        <f>IF(NFI_Expiration=1,IF($A435&lt;VLOOKUP(R$5,NFI,5,0),1,0)*Data_NFI_t[[#This Row],[Complementary Kit]],0)</f>
        <v>0</v>
      </c>
      <c r="AK435" s="86">
        <f>IF(NFI_Expiration=1,IF($A435&lt;VLOOKUP(S$5,NFI,5,0),1,0)*Data_NFI_t[[#This Row],[Plastic Bucket]],0)</f>
        <v>0</v>
      </c>
      <c r="AL435" s="86">
        <f>IF(NFI_Expiration=1,IF($A435&lt;VLOOKUP(T$5,NFI,5,0),1,0)*Data_NFI_t[[#This Row],[Jerry Can]],0)</f>
        <v>0</v>
      </c>
      <c r="AM435" s="105">
        <f>IF(NFI_Expiration=1,IF($A435&lt;VLOOKUP(U$5,NFI,5,0),1,0)*Data_NFI_t[[#This Row],[Plastic Mat]],0)*IF(Data_NFI_t[[#This Row],[Distribution Date]]&gt;"01-06-2015",1,2.5)</f>
        <v>0</v>
      </c>
      <c r="AN435" s="734">
        <f>IF(NFI_Expiration=1,IF($A435&lt;VLOOKUP(V$5,NFI,5,0),1,0)*Data_NFI_t[[#This Row],[Adult Clothes]],0)</f>
        <v>0</v>
      </c>
      <c r="AO435" s="105">
        <f>IF(NFI_Expiration=1,IF($A435&lt;VLOOKUP(W$5,NFI,5,0),1,0)*Data_NFI_t[[#This Row],[Children Clothes]],0)</f>
        <v>0</v>
      </c>
      <c r="AP435" s="105">
        <f>IF(NFI_Expiration=1,IF($A435&lt;VLOOKUP(X$5,NFI,5,0),1,0)*Data_NFI_t[[#This Row],[Sewing Kit]],0)</f>
        <v>0</v>
      </c>
      <c r="AQ435" s="734">
        <f>IF(NFI_Expiration=1,IF($A435&lt;VLOOKUP(X$5,NFI,5,0),1,0)*Data_NFI_t[[#This Row],[Solar Lantern]],0)</f>
        <v>0</v>
      </c>
      <c r="AR435" s="105" t="str">
        <f ca="1">IFERROR(OFFSET(Camp_List[P_Code],MATCH(Data_NFI_t[[#This Row],[Camp Name]],Camp_List[Camp Name],0)-1,0,1,1),"")</f>
        <v>MMR012CMP093</v>
      </c>
      <c r="AS435" s="421" t="str">
        <f ca="1">IFERROR(OFFSET(Camp_List[Status],MATCH(Data_NFI_t[[#This Row],[Camp Name]],Camp_List[Camp Name],0)-1,0,1,1),"")</f>
        <v>Relocated</v>
      </c>
      <c r="AT435" s="105"/>
    </row>
    <row r="436" spans="1:46" s="78" customFormat="1" ht="19.5" customHeight="1" x14ac:dyDescent="0.25">
      <c r="A436" s="208">
        <f t="shared" si="6"/>
        <v>64.5</v>
      </c>
      <c r="B436" s="208">
        <f>YEAR(Data_NFI_t[[#This Row],[Distribution Date]])</f>
        <v>2012</v>
      </c>
      <c r="C436" s="744">
        <v>41255</v>
      </c>
      <c r="D436" s="402" t="s">
        <v>270</v>
      </c>
      <c r="E436" s="401"/>
      <c r="F436" s="402" t="s">
        <v>7</v>
      </c>
      <c r="G436" s="670" t="s">
        <v>17</v>
      </c>
      <c r="H436" s="670" t="s">
        <v>76</v>
      </c>
      <c r="I436" s="670"/>
      <c r="J436" s="670"/>
      <c r="K436" s="670"/>
      <c r="L436" s="42"/>
      <c r="M436" s="42">
        <v>195</v>
      </c>
      <c r="N436" s="42"/>
      <c r="O436" s="42"/>
      <c r="P436" s="42"/>
      <c r="Q436" s="42"/>
      <c r="R436" s="42"/>
      <c r="S436" s="42"/>
      <c r="T436" s="419"/>
      <c r="U436" s="42"/>
      <c r="V436" s="42"/>
      <c r="W436" s="42"/>
      <c r="X436" s="42"/>
      <c r="Y436" s="42"/>
      <c r="Z436" s="42"/>
      <c r="AA436" s="42"/>
      <c r="AB436" s="42"/>
      <c r="AC436" s="105">
        <f>IF(NFI_Expiration=1,IF($A436&lt;VLOOKUP(I$5,NFI,5,0),1,0)*Data_NFI_t[[#This Row],[Hygiene Kit]],0)</f>
        <v>0</v>
      </c>
      <c r="AD436" s="105">
        <f>IF(NFI_Expiration=1,IF($A436&lt;VLOOKUP(L$5,NFI,5,0),1,0)*Data_NFI_t[[#This Row],[NFI Core Kit]],0)</f>
        <v>0</v>
      </c>
      <c r="AE436" s="86">
        <f>IF(NFI_Expiration=1,IF($A436&lt;VLOOKUP(M$5,NFI,5,0),1,0)*Data_NFI_t[[#This Row],[Sanitary Kit]],0)</f>
        <v>0</v>
      </c>
      <c r="AF436" s="86">
        <f>IF(NFI_Expiration=1,IF($A436&lt;VLOOKUP(N$5,NFI,5,0),1,0)*Data_NFI_t[[#This Row],[Mosquito net]],0)</f>
        <v>0</v>
      </c>
      <c r="AG436" s="86">
        <f>IF(NFI_Expiration=1,IF($A436&lt;VLOOKUP(O$5,NFI,5,0),1,0)*Data_NFI_t[[#This Row],[Tarpaulin]],0)</f>
        <v>0</v>
      </c>
      <c r="AH436" s="86">
        <f>IF(NFI_Expiration=1,IF($A436&lt;VLOOKUP(P$5,NFI,5,0),1,0)*Data_NFI_t[[#This Row],[Blanket]],0)</f>
        <v>0</v>
      </c>
      <c r="AI436" s="86">
        <f>IF(NFI_Expiration=1,IF($A436&lt;VLOOKUP(Q$5,NFI,5,0),1,0)*Data_NFI_t[[#This Row],[Kitchen Set]],0)</f>
        <v>0</v>
      </c>
      <c r="AJ436" s="86">
        <f>IF(NFI_Expiration=1,IF($A436&lt;VLOOKUP(R$5,NFI,5,0),1,0)*Data_NFI_t[[#This Row],[Complementary Kit]],0)</f>
        <v>0</v>
      </c>
      <c r="AK436" s="86">
        <f>IF(NFI_Expiration=1,IF($A436&lt;VLOOKUP(S$5,NFI,5,0),1,0)*Data_NFI_t[[#This Row],[Plastic Bucket]],0)</f>
        <v>0</v>
      </c>
      <c r="AL436" s="86">
        <f>IF(NFI_Expiration=1,IF($A436&lt;VLOOKUP(T$5,NFI,5,0),1,0)*Data_NFI_t[[#This Row],[Jerry Can]],0)</f>
        <v>0</v>
      </c>
      <c r="AM436" s="105">
        <f>IF(NFI_Expiration=1,IF($A436&lt;VLOOKUP(U$5,NFI,5,0),1,0)*Data_NFI_t[[#This Row],[Plastic Mat]],0)*IF(Data_NFI_t[[#This Row],[Distribution Date]]&gt;"01-06-2015",1,2.5)</f>
        <v>0</v>
      </c>
      <c r="AN436" s="734">
        <f>IF(NFI_Expiration=1,IF($A436&lt;VLOOKUP(V$5,NFI,5,0),1,0)*Data_NFI_t[[#This Row],[Adult Clothes]],0)</f>
        <v>0</v>
      </c>
      <c r="AO436" s="105">
        <f>IF(NFI_Expiration=1,IF($A436&lt;VLOOKUP(W$5,NFI,5,0),1,0)*Data_NFI_t[[#This Row],[Children Clothes]],0)</f>
        <v>0</v>
      </c>
      <c r="AP436" s="105">
        <f>IF(NFI_Expiration=1,IF($A436&lt;VLOOKUP(X$5,NFI,5,0),1,0)*Data_NFI_t[[#This Row],[Sewing Kit]],0)</f>
        <v>0</v>
      </c>
      <c r="AQ436" s="734">
        <f>IF(NFI_Expiration=1,IF($A436&lt;VLOOKUP(X$5,NFI,5,0),1,0)*Data_NFI_t[[#This Row],[Solar Lantern]],0)</f>
        <v>0</v>
      </c>
      <c r="AR436" s="105" t="str">
        <f ca="1">IFERROR(OFFSET(Camp_List[P_Code],MATCH(Data_NFI_t[[#This Row],[Camp Name]],Camp_List[Camp Name],0)-1,0,1,1),"")</f>
        <v>MMR012CMP056</v>
      </c>
      <c r="AS436" s="421" t="str">
        <f ca="1">IFERROR(OFFSET(Camp_List[Status],MATCH(Data_NFI_t[[#This Row],[Camp Name]],Camp_List[Camp Name],0)-1,0,1,1),"")</f>
        <v>Relocated</v>
      </c>
      <c r="AT436" s="105"/>
    </row>
    <row r="437" spans="1:46" s="78" customFormat="1" ht="19.5" customHeight="1" x14ac:dyDescent="0.25">
      <c r="A437" s="208">
        <f t="shared" si="6"/>
        <v>64.566666666666663</v>
      </c>
      <c r="B437" s="208">
        <f>YEAR(Data_NFI_t[[#This Row],[Distribution Date]])</f>
        <v>2012</v>
      </c>
      <c r="C437" s="744">
        <v>41253</v>
      </c>
      <c r="D437" s="402" t="s">
        <v>270</v>
      </c>
      <c r="E437" s="401"/>
      <c r="F437" s="402" t="s">
        <v>7</v>
      </c>
      <c r="G437" s="670" t="s">
        <v>561</v>
      </c>
      <c r="H437" s="670" t="s">
        <v>441</v>
      </c>
      <c r="I437" s="670"/>
      <c r="J437" s="670"/>
      <c r="K437" s="670"/>
      <c r="L437" s="42"/>
      <c r="M437" s="42"/>
      <c r="N437" s="42">
        <v>170</v>
      </c>
      <c r="O437" s="42">
        <v>85</v>
      </c>
      <c r="P437" s="42">
        <v>170</v>
      </c>
      <c r="Q437" s="42">
        <v>85</v>
      </c>
      <c r="R437" s="42"/>
      <c r="S437" s="42"/>
      <c r="T437" s="419"/>
      <c r="U437" s="42"/>
      <c r="V437" s="42"/>
      <c r="W437" s="42"/>
      <c r="X437" s="42"/>
      <c r="Y437" s="42"/>
      <c r="Z437" s="42"/>
      <c r="AA437" s="42"/>
      <c r="AB437" s="42"/>
      <c r="AC437" s="105">
        <f>IF(NFI_Expiration=1,IF($A437&lt;VLOOKUP(I$5,NFI,5,0),1,0)*Data_NFI_t[[#This Row],[Hygiene Kit]],0)</f>
        <v>0</v>
      </c>
      <c r="AD437" s="105">
        <f>IF(NFI_Expiration=1,IF($A437&lt;VLOOKUP(L$5,NFI,5,0),1,0)*Data_NFI_t[[#This Row],[NFI Core Kit]],0)</f>
        <v>0</v>
      </c>
      <c r="AE437" s="86">
        <f>IF(NFI_Expiration=1,IF($A437&lt;VLOOKUP(M$5,NFI,5,0),1,0)*Data_NFI_t[[#This Row],[Sanitary Kit]],0)</f>
        <v>0</v>
      </c>
      <c r="AF437" s="86">
        <f>IF(NFI_Expiration=1,IF($A437&lt;VLOOKUP(N$5,NFI,5,0),1,0)*Data_NFI_t[[#This Row],[Mosquito net]],0)</f>
        <v>0</v>
      </c>
      <c r="AG437" s="86">
        <f>IF(NFI_Expiration=1,IF($A437&lt;VLOOKUP(O$5,NFI,5,0),1,0)*Data_NFI_t[[#This Row],[Tarpaulin]],0)</f>
        <v>0</v>
      </c>
      <c r="AH437" s="86">
        <f>IF(NFI_Expiration=1,IF($A437&lt;VLOOKUP(P$5,NFI,5,0),1,0)*Data_NFI_t[[#This Row],[Blanket]],0)</f>
        <v>0</v>
      </c>
      <c r="AI437" s="86">
        <f>IF(NFI_Expiration=1,IF($A437&lt;VLOOKUP(Q$5,NFI,5,0),1,0)*Data_NFI_t[[#This Row],[Kitchen Set]],0)</f>
        <v>0</v>
      </c>
      <c r="AJ437" s="86">
        <f>IF(NFI_Expiration=1,IF($A437&lt;VLOOKUP(R$5,NFI,5,0),1,0)*Data_NFI_t[[#This Row],[Complementary Kit]],0)</f>
        <v>0</v>
      </c>
      <c r="AK437" s="86">
        <f>IF(NFI_Expiration=1,IF($A437&lt;VLOOKUP(S$5,NFI,5,0),1,0)*Data_NFI_t[[#This Row],[Plastic Bucket]],0)</f>
        <v>0</v>
      </c>
      <c r="AL437" s="86">
        <f>IF(NFI_Expiration=1,IF($A437&lt;VLOOKUP(T$5,NFI,5,0),1,0)*Data_NFI_t[[#This Row],[Jerry Can]],0)</f>
        <v>0</v>
      </c>
      <c r="AM437" s="105">
        <f>IF(NFI_Expiration=1,IF($A437&lt;VLOOKUP(U$5,NFI,5,0),1,0)*Data_NFI_t[[#This Row],[Plastic Mat]],0)*IF(Data_NFI_t[[#This Row],[Distribution Date]]&gt;"01-06-2015",1,2.5)</f>
        <v>0</v>
      </c>
      <c r="AN437" s="734">
        <f>IF(NFI_Expiration=1,IF($A437&lt;VLOOKUP(V$5,NFI,5,0),1,0)*Data_NFI_t[[#This Row],[Adult Clothes]],0)</f>
        <v>0</v>
      </c>
      <c r="AO437" s="105">
        <f>IF(NFI_Expiration=1,IF($A437&lt;VLOOKUP(W$5,NFI,5,0),1,0)*Data_NFI_t[[#This Row],[Children Clothes]],0)</f>
        <v>0</v>
      </c>
      <c r="AP437" s="105">
        <f>IF(NFI_Expiration=1,IF($A437&lt;VLOOKUP(X$5,NFI,5,0),1,0)*Data_NFI_t[[#This Row],[Sewing Kit]],0)</f>
        <v>0</v>
      </c>
      <c r="AQ437" s="734">
        <f>IF(NFI_Expiration=1,IF($A437&lt;VLOOKUP(X$5,NFI,5,0),1,0)*Data_NFI_t[[#This Row],[Solar Lantern]],0)</f>
        <v>0</v>
      </c>
      <c r="AR437" s="105" t="str">
        <f ca="1">IFERROR(OFFSET(Camp_List[P_Code],MATCH(Data_NFI_t[[#This Row],[Camp Name]],Camp_List[Camp Name],0)-1,0,1,1),"")</f>
        <v>MMR012CMP036</v>
      </c>
      <c r="AS437" s="421" t="str">
        <f ca="1">IFERROR(OFFSET(Camp_List[Status],MATCH(Data_NFI_t[[#This Row],[Camp Name]],Camp_List[Camp Name],0)-1,0,1,1),"")</f>
        <v>Relocated</v>
      </c>
      <c r="AT437" s="105"/>
    </row>
    <row r="438" spans="1:46" s="78" customFormat="1" ht="19.5" customHeight="1" x14ac:dyDescent="0.25">
      <c r="A438" s="208">
        <f t="shared" si="6"/>
        <v>64.566666666666663</v>
      </c>
      <c r="B438" s="208">
        <f>YEAR(Data_NFI_t[[#This Row],[Distribution Date]])</f>
        <v>2012</v>
      </c>
      <c r="C438" s="744">
        <v>41253</v>
      </c>
      <c r="D438" s="402" t="s">
        <v>270</v>
      </c>
      <c r="E438" s="401"/>
      <c r="F438" s="402" t="s">
        <v>7</v>
      </c>
      <c r="G438" s="670" t="s">
        <v>561</v>
      </c>
      <c r="H438" s="670" t="s">
        <v>56</v>
      </c>
      <c r="I438" s="670"/>
      <c r="J438" s="670"/>
      <c r="K438" s="670"/>
      <c r="L438" s="42"/>
      <c r="M438" s="42"/>
      <c r="N438" s="42">
        <v>826</v>
      </c>
      <c r="O438" s="42">
        <v>213</v>
      </c>
      <c r="P438" s="42">
        <v>826</v>
      </c>
      <c r="Q438" s="42">
        <v>413</v>
      </c>
      <c r="R438" s="42"/>
      <c r="S438" s="42"/>
      <c r="T438" s="419"/>
      <c r="U438" s="42"/>
      <c r="V438" s="42"/>
      <c r="W438" s="42"/>
      <c r="X438" s="42"/>
      <c r="Y438" s="42"/>
      <c r="Z438" s="42"/>
      <c r="AA438" s="42"/>
      <c r="AB438" s="42"/>
      <c r="AC438" s="105">
        <f>IF(NFI_Expiration=1,IF($A438&lt;VLOOKUP(I$5,NFI,5,0),1,0)*Data_NFI_t[[#This Row],[Hygiene Kit]],0)</f>
        <v>0</v>
      </c>
      <c r="AD438" s="105">
        <f>IF(NFI_Expiration=1,IF($A438&lt;VLOOKUP(L$5,NFI,5,0),1,0)*Data_NFI_t[[#This Row],[NFI Core Kit]],0)</f>
        <v>0</v>
      </c>
      <c r="AE438" s="86">
        <f>IF(NFI_Expiration=1,IF($A438&lt;VLOOKUP(M$5,NFI,5,0),1,0)*Data_NFI_t[[#This Row],[Sanitary Kit]],0)</f>
        <v>0</v>
      </c>
      <c r="AF438" s="86">
        <f>IF(NFI_Expiration=1,IF($A438&lt;VLOOKUP(N$5,NFI,5,0),1,0)*Data_NFI_t[[#This Row],[Mosquito net]],0)</f>
        <v>0</v>
      </c>
      <c r="AG438" s="86">
        <f>IF(NFI_Expiration=1,IF($A438&lt;VLOOKUP(O$5,NFI,5,0),1,0)*Data_NFI_t[[#This Row],[Tarpaulin]],0)</f>
        <v>0</v>
      </c>
      <c r="AH438" s="86">
        <f>IF(NFI_Expiration=1,IF($A438&lt;VLOOKUP(P$5,NFI,5,0),1,0)*Data_NFI_t[[#This Row],[Blanket]],0)</f>
        <v>0</v>
      </c>
      <c r="AI438" s="86">
        <f>IF(NFI_Expiration=1,IF($A438&lt;VLOOKUP(Q$5,NFI,5,0),1,0)*Data_NFI_t[[#This Row],[Kitchen Set]],0)</f>
        <v>0</v>
      </c>
      <c r="AJ438" s="86">
        <f>IF(NFI_Expiration=1,IF($A438&lt;VLOOKUP(R$5,NFI,5,0),1,0)*Data_NFI_t[[#This Row],[Complementary Kit]],0)</f>
        <v>0</v>
      </c>
      <c r="AK438" s="86">
        <f>IF(NFI_Expiration=1,IF($A438&lt;VLOOKUP(S$5,NFI,5,0),1,0)*Data_NFI_t[[#This Row],[Plastic Bucket]],0)</f>
        <v>0</v>
      </c>
      <c r="AL438" s="86">
        <f>IF(NFI_Expiration=1,IF($A438&lt;VLOOKUP(T$5,NFI,5,0),1,0)*Data_NFI_t[[#This Row],[Jerry Can]],0)</f>
        <v>0</v>
      </c>
      <c r="AM438" s="105">
        <f>IF(NFI_Expiration=1,IF($A438&lt;VLOOKUP(U$5,NFI,5,0),1,0)*Data_NFI_t[[#This Row],[Plastic Mat]],0)*IF(Data_NFI_t[[#This Row],[Distribution Date]]&gt;"01-06-2015",1,2.5)</f>
        <v>0</v>
      </c>
      <c r="AN438" s="734">
        <f>IF(NFI_Expiration=1,IF($A438&lt;VLOOKUP(V$5,NFI,5,0),1,0)*Data_NFI_t[[#This Row],[Adult Clothes]],0)</f>
        <v>0</v>
      </c>
      <c r="AO438" s="105">
        <f>IF(NFI_Expiration=1,IF($A438&lt;VLOOKUP(W$5,NFI,5,0),1,0)*Data_NFI_t[[#This Row],[Children Clothes]],0)</f>
        <v>0</v>
      </c>
      <c r="AP438" s="105">
        <f>IF(NFI_Expiration=1,IF($A438&lt;VLOOKUP(X$5,NFI,5,0),1,0)*Data_NFI_t[[#This Row],[Sewing Kit]],0)</f>
        <v>0</v>
      </c>
      <c r="AQ438" s="734">
        <f>IF(NFI_Expiration=1,IF($A438&lt;VLOOKUP(X$5,NFI,5,0),1,0)*Data_NFI_t[[#This Row],[Solar Lantern]],0)</f>
        <v>0</v>
      </c>
      <c r="AR438" s="105" t="str">
        <f ca="1">IFERROR(OFFSET(Camp_List[P_Code],MATCH(Data_NFI_t[[#This Row],[Camp Name]],Camp_List[Camp Name],0)-1,0,1,1),"")</f>
        <v>MMR012CMP035</v>
      </c>
      <c r="AS438" s="421" t="str">
        <f ca="1">IFERROR(OFFSET(Camp_List[Status],MATCH(Data_NFI_t[[#This Row],[Camp Name]],Camp_List[Camp Name],0)-1,0,1,1),"")</f>
        <v>Open</v>
      </c>
      <c r="AT438" s="105"/>
    </row>
    <row r="439" spans="1:46" s="78" customFormat="1" ht="19.5" customHeight="1" x14ac:dyDescent="0.25">
      <c r="A439" s="208">
        <f t="shared" si="6"/>
        <v>64.733333333333334</v>
      </c>
      <c r="B439" s="208">
        <f>YEAR(Data_NFI_t[[#This Row],[Distribution Date]])</f>
        <v>2012</v>
      </c>
      <c r="C439" s="744">
        <v>41248</v>
      </c>
      <c r="D439" s="402" t="s">
        <v>274</v>
      </c>
      <c r="E439" s="401" t="s">
        <v>270</v>
      </c>
      <c r="F439" s="402" t="s">
        <v>7</v>
      </c>
      <c r="G439" s="670" t="s">
        <v>17</v>
      </c>
      <c r="H439" s="670" t="s">
        <v>69</v>
      </c>
      <c r="I439" s="670"/>
      <c r="J439" s="670"/>
      <c r="K439" s="670"/>
      <c r="L439" s="42"/>
      <c r="M439" s="42"/>
      <c r="N439" s="42"/>
      <c r="O439" s="42"/>
      <c r="P439" s="42">
        <v>50</v>
      </c>
      <c r="Q439" s="42"/>
      <c r="R439" s="42"/>
      <c r="S439" s="42"/>
      <c r="T439" s="419"/>
      <c r="U439" s="42"/>
      <c r="V439" s="42"/>
      <c r="W439" s="42"/>
      <c r="X439" s="42"/>
      <c r="Y439" s="42"/>
      <c r="Z439" s="42"/>
      <c r="AA439" s="42"/>
      <c r="AB439" s="42"/>
      <c r="AC439" s="105">
        <f>IF(NFI_Expiration=1,IF($A439&lt;VLOOKUP(I$5,NFI,5,0),1,0)*Data_NFI_t[[#This Row],[Hygiene Kit]],0)</f>
        <v>0</v>
      </c>
      <c r="AD439" s="105">
        <f>IF(NFI_Expiration=1,IF($A439&lt;VLOOKUP(L$5,NFI,5,0),1,0)*Data_NFI_t[[#This Row],[NFI Core Kit]],0)</f>
        <v>0</v>
      </c>
      <c r="AE439" s="86">
        <f>IF(NFI_Expiration=1,IF($A439&lt;VLOOKUP(M$5,NFI,5,0),1,0)*Data_NFI_t[[#This Row],[Sanitary Kit]],0)</f>
        <v>0</v>
      </c>
      <c r="AF439" s="86">
        <f>IF(NFI_Expiration=1,IF($A439&lt;VLOOKUP(N$5,NFI,5,0),1,0)*Data_NFI_t[[#This Row],[Mosquito net]],0)</f>
        <v>0</v>
      </c>
      <c r="AG439" s="86">
        <f>IF(NFI_Expiration=1,IF($A439&lt;VLOOKUP(O$5,NFI,5,0),1,0)*Data_NFI_t[[#This Row],[Tarpaulin]],0)</f>
        <v>0</v>
      </c>
      <c r="AH439" s="86">
        <f>IF(NFI_Expiration=1,IF($A439&lt;VLOOKUP(P$5,NFI,5,0),1,0)*Data_NFI_t[[#This Row],[Blanket]],0)</f>
        <v>0</v>
      </c>
      <c r="AI439" s="86">
        <f>IF(NFI_Expiration=1,IF($A439&lt;VLOOKUP(Q$5,NFI,5,0),1,0)*Data_NFI_t[[#This Row],[Kitchen Set]],0)</f>
        <v>0</v>
      </c>
      <c r="AJ439" s="86">
        <f>IF(NFI_Expiration=1,IF($A439&lt;VLOOKUP(R$5,NFI,5,0),1,0)*Data_NFI_t[[#This Row],[Complementary Kit]],0)</f>
        <v>0</v>
      </c>
      <c r="AK439" s="86">
        <f>IF(NFI_Expiration=1,IF($A439&lt;VLOOKUP(S$5,NFI,5,0),1,0)*Data_NFI_t[[#This Row],[Plastic Bucket]],0)</f>
        <v>0</v>
      </c>
      <c r="AL439" s="86">
        <f>IF(NFI_Expiration=1,IF($A439&lt;VLOOKUP(T$5,NFI,5,0),1,0)*Data_NFI_t[[#This Row],[Jerry Can]],0)</f>
        <v>0</v>
      </c>
      <c r="AM439" s="105">
        <f>IF(NFI_Expiration=1,IF($A439&lt;VLOOKUP(U$5,NFI,5,0),1,0)*Data_NFI_t[[#This Row],[Plastic Mat]],0)*IF(Data_NFI_t[[#This Row],[Distribution Date]]&gt;"01-06-2015",1,2.5)</f>
        <v>0</v>
      </c>
      <c r="AN439" s="734">
        <f>IF(NFI_Expiration=1,IF($A439&lt;VLOOKUP(V$5,NFI,5,0),1,0)*Data_NFI_t[[#This Row],[Adult Clothes]],0)</f>
        <v>0</v>
      </c>
      <c r="AO439" s="105">
        <f>IF(NFI_Expiration=1,IF($A439&lt;VLOOKUP(W$5,NFI,5,0),1,0)*Data_NFI_t[[#This Row],[Children Clothes]],0)</f>
        <v>0</v>
      </c>
      <c r="AP439" s="105">
        <f>IF(NFI_Expiration=1,IF($A439&lt;VLOOKUP(X$5,NFI,5,0),1,0)*Data_NFI_t[[#This Row],[Sewing Kit]],0)</f>
        <v>0</v>
      </c>
      <c r="AQ439" s="734">
        <f>IF(NFI_Expiration=1,IF($A439&lt;VLOOKUP(X$5,NFI,5,0),1,0)*Data_NFI_t[[#This Row],[Solar Lantern]],0)</f>
        <v>0</v>
      </c>
      <c r="AR439" s="105" t="str">
        <f ca="1">IFERROR(OFFSET(Camp_List[P_Code],MATCH(Data_NFI_t[[#This Row],[Camp Name]],Camp_List[Camp Name],0)-1,0,1,1),"")</f>
        <v>MMR012CMP049</v>
      </c>
      <c r="AS439" s="421" t="str">
        <f ca="1">IFERROR(OFFSET(Camp_List[Status],MATCH(Data_NFI_t[[#This Row],[Camp Name]],Camp_List[Camp Name],0)-1,0,1,1),"")</f>
        <v>Close</v>
      </c>
      <c r="AT439" s="105"/>
    </row>
    <row r="440" spans="1:46" s="78" customFormat="1" ht="19.5" customHeight="1" x14ac:dyDescent="0.25">
      <c r="A440" s="208">
        <f t="shared" si="6"/>
        <v>64.8</v>
      </c>
      <c r="B440" s="208">
        <f>YEAR(Data_NFI_t[[#This Row],[Distribution Date]])</f>
        <v>2012</v>
      </c>
      <c r="C440" s="744">
        <v>41246</v>
      </c>
      <c r="D440" s="402" t="s">
        <v>274</v>
      </c>
      <c r="E440" s="401" t="s">
        <v>270</v>
      </c>
      <c r="F440" s="402" t="s">
        <v>7</v>
      </c>
      <c r="G440" s="670" t="s">
        <v>17</v>
      </c>
      <c r="H440" s="670" t="s">
        <v>68</v>
      </c>
      <c r="I440" s="670"/>
      <c r="J440" s="670"/>
      <c r="K440" s="670"/>
      <c r="L440" s="42"/>
      <c r="M440" s="42"/>
      <c r="N440" s="42"/>
      <c r="O440" s="42"/>
      <c r="P440" s="42">
        <v>92</v>
      </c>
      <c r="Q440" s="42"/>
      <c r="R440" s="42"/>
      <c r="S440" s="42"/>
      <c r="T440" s="419"/>
      <c r="U440" s="42"/>
      <c r="V440" s="42"/>
      <c r="W440" s="42"/>
      <c r="X440" s="42"/>
      <c r="Y440" s="42"/>
      <c r="Z440" s="42"/>
      <c r="AA440" s="42"/>
      <c r="AB440" s="42"/>
      <c r="AC440" s="105">
        <f>IF(NFI_Expiration=1,IF($A440&lt;VLOOKUP(I$5,NFI,5,0),1,0)*Data_NFI_t[[#This Row],[Hygiene Kit]],0)</f>
        <v>0</v>
      </c>
      <c r="AD440" s="105">
        <f>IF(NFI_Expiration=1,IF($A440&lt;VLOOKUP(L$5,NFI,5,0),1,0)*Data_NFI_t[[#This Row],[NFI Core Kit]],0)</f>
        <v>0</v>
      </c>
      <c r="AE440" s="86">
        <f>IF(NFI_Expiration=1,IF($A440&lt;VLOOKUP(M$5,NFI,5,0),1,0)*Data_NFI_t[[#This Row],[Sanitary Kit]],0)</f>
        <v>0</v>
      </c>
      <c r="AF440" s="86">
        <f>IF(NFI_Expiration=1,IF($A440&lt;VLOOKUP(N$5,NFI,5,0),1,0)*Data_NFI_t[[#This Row],[Mosquito net]],0)</f>
        <v>0</v>
      </c>
      <c r="AG440" s="86">
        <f>IF(NFI_Expiration=1,IF($A440&lt;VLOOKUP(O$5,NFI,5,0),1,0)*Data_NFI_t[[#This Row],[Tarpaulin]],0)</f>
        <v>0</v>
      </c>
      <c r="AH440" s="86">
        <f>IF(NFI_Expiration=1,IF($A440&lt;VLOOKUP(P$5,NFI,5,0),1,0)*Data_NFI_t[[#This Row],[Blanket]],0)</f>
        <v>0</v>
      </c>
      <c r="AI440" s="86">
        <f>IF(NFI_Expiration=1,IF($A440&lt;VLOOKUP(Q$5,NFI,5,0),1,0)*Data_NFI_t[[#This Row],[Kitchen Set]],0)</f>
        <v>0</v>
      </c>
      <c r="AJ440" s="86">
        <f>IF(NFI_Expiration=1,IF($A440&lt;VLOOKUP(R$5,NFI,5,0),1,0)*Data_NFI_t[[#This Row],[Complementary Kit]],0)</f>
        <v>0</v>
      </c>
      <c r="AK440" s="86">
        <f>IF(NFI_Expiration=1,IF($A440&lt;VLOOKUP(S$5,NFI,5,0),1,0)*Data_NFI_t[[#This Row],[Plastic Bucket]],0)</f>
        <v>0</v>
      </c>
      <c r="AL440" s="86">
        <f>IF(NFI_Expiration=1,IF($A440&lt;VLOOKUP(T$5,NFI,5,0),1,0)*Data_NFI_t[[#This Row],[Jerry Can]],0)</f>
        <v>0</v>
      </c>
      <c r="AM440" s="105">
        <f>IF(NFI_Expiration=1,IF($A440&lt;VLOOKUP(U$5,NFI,5,0),1,0)*Data_NFI_t[[#This Row],[Plastic Mat]],0)*IF(Data_NFI_t[[#This Row],[Distribution Date]]&gt;"01-06-2015",1,2.5)</f>
        <v>0</v>
      </c>
      <c r="AN440" s="734">
        <f>IF(NFI_Expiration=1,IF($A440&lt;VLOOKUP(V$5,NFI,5,0),1,0)*Data_NFI_t[[#This Row],[Adult Clothes]],0)</f>
        <v>0</v>
      </c>
      <c r="AO440" s="105">
        <f>IF(NFI_Expiration=1,IF($A440&lt;VLOOKUP(W$5,NFI,5,0),1,0)*Data_NFI_t[[#This Row],[Children Clothes]],0)</f>
        <v>0</v>
      </c>
      <c r="AP440" s="105">
        <f>IF(NFI_Expiration=1,IF($A440&lt;VLOOKUP(X$5,NFI,5,0),1,0)*Data_NFI_t[[#This Row],[Sewing Kit]],0)</f>
        <v>0</v>
      </c>
      <c r="AQ440" s="734">
        <f>IF(NFI_Expiration=1,IF($A440&lt;VLOOKUP(X$5,NFI,5,0),1,0)*Data_NFI_t[[#This Row],[Solar Lantern]],0)</f>
        <v>0</v>
      </c>
      <c r="AR440" s="105" t="str">
        <f ca="1">IFERROR(OFFSET(Camp_List[P_Code],MATCH(Data_NFI_t[[#This Row],[Camp Name]],Camp_List[Camp Name],0)-1,0,1,1),"")</f>
        <v>MMR012CMP048</v>
      </c>
      <c r="AS440" s="421" t="str">
        <f ca="1">IFERROR(OFFSET(Camp_List[Status],MATCH(Data_NFI_t[[#This Row],[Camp Name]],Camp_List[Camp Name],0)-1,0,1,1),"")</f>
        <v>Open</v>
      </c>
      <c r="AT440" s="105"/>
    </row>
    <row r="441" spans="1:46" s="78" customFormat="1" ht="19.5" customHeight="1" x14ac:dyDescent="0.25">
      <c r="A441" s="208">
        <f t="shared" si="6"/>
        <v>64.900000000000006</v>
      </c>
      <c r="B441" s="208">
        <f>YEAR(Data_NFI_t[[#This Row],[Distribution Date]])</f>
        <v>2012</v>
      </c>
      <c r="C441" s="744">
        <v>41243</v>
      </c>
      <c r="D441" s="402" t="s">
        <v>270</v>
      </c>
      <c r="E441" s="401"/>
      <c r="F441" s="402" t="s">
        <v>7</v>
      </c>
      <c r="G441" s="670" t="s">
        <v>11</v>
      </c>
      <c r="H441" s="670" t="s">
        <v>28</v>
      </c>
      <c r="I441" s="670"/>
      <c r="J441" s="670"/>
      <c r="K441" s="670"/>
      <c r="L441" s="42"/>
      <c r="M441" s="42"/>
      <c r="N441" s="42"/>
      <c r="O441" s="42"/>
      <c r="P441" s="42">
        <v>172</v>
      </c>
      <c r="Q441" s="42">
        <v>46</v>
      </c>
      <c r="R441" s="42"/>
      <c r="S441" s="42"/>
      <c r="T441" s="419"/>
      <c r="U441" s="42"/>
      <c r="V441" s="42"/>
      <c r="W441" s="42"/>
      <c r="X441" s="42"/>
      <c r="Y441" s="42"/>
      <c r="Z441" s="42"/>
      <c r="AA441" s="42"/>
      <c r="AB441" s="42"/>
      <c r="AC441" s="105">
        <f>IF(NFI_Expiration=1,IF($A441&lt;VLOOKUP(I$5,NFI,5,0),1,0)*Data_NFI_t[[#This Row],[Hygiene Kit]],0)</f>
        <v>0</v>
      </c>
      <c r="AD441" s="105">
        <f>IF(NFI_Expiration=1,IF($A441&lt;VLOOKUP(L$5,NFI,5,0),1,0)*Data_NFI_t[[#This Row],[NFI Core Kit]],0)</f>
        <v>0</v>
      </c>
      <c r="AE441" s="86">
        <f>IF(NFI_Expiration=1,IF($A441&lt;VLOOKUP(M$5,NFI,5,0),1,0)*Data_NFI_t[[#This Row],[Sanitary Kit]],0)</f>
        <v>0</v>
      </c>
      <c r="AF441" s="86">
        <f>IF(NFI_Expiration=1,IF($A441&lt;VLOOKUP(N$5,NFI,5,0),1,0)*Data_NFI_t[[#This Row],[Mosquito net]],0)</f>
        <v>0</v>
      </c>
      <c r="AG441" s="86">
        <f>IF(NFI_Expiration=1,IF($A441&lt;VLOOKUP(O$5,NFI,5,0),1,0)*Data_NFI_t[[#This Row],[Tarpaulin]],0)</f>
        <v>0</v>
      </c>
      <c r="AH441" s="86">
        <f>IF(NFI_Expiration=1,IF($A441&lt;VLOOKUP(P$5,NFI,5,0),1,0)*Data_NFI_t[[#This Row],[Blanket]],0)</f>
        <v>0</v>
      </c>
      <c r="AI441" s="86">
        <f>IF(NFI_Expiration=1,IF($A441&lt;VLOOKUP(Q$5,NFI,5,0),1,0)*Data_NFI_t[[#This Row],[Kitchen Set]],0)</f>
        <v>0</v>
      </c>
      <c r="AJ441" s="86">
        <f>IF(NFI_Expiration=1,IF($A441&lt;VLOOKUP(R$5,NFI,5,0),1,0)*Data_NFI_t[[#This Row],[Complementary Kit]],0)</f>
        <v>0</v>
      </c>
      <c r="AK441" s="86">
        <f>IF(NFI_Expiration=1,IF($A441&lt;VLOOKUP(S$5,NFI,5,0),1,0)*Data_NFI_t[[#This Row],[Plastic Bucket]],0)</f>
        <v>0</v>
      </c>
      <c r="AL441" s="86">
        <f>IF(NFI_Expiration=1,IF($A441&lt;VLOOKUP(T$5,NFI,5,0),1,0)*Data_NFI_t[[#This Row],[Jerry Can]],0)</f>
        <v>0</v>
      </c>
      <c r="AM441" s="105">
        <f>IF(NFI_Expiration=1,IF($A441&lt;VLOOKUP(U$5,NFI,5,0),1,0)*Data_NFI_t[[#This Row],[Plastic Mat]],0)*IF(Data_NFI_t[[#This Row],[Distribution Date]]&gt;"01-06-2015",1,2.5)</f>
        <v>0</v>
      </c>
      <c r="AN441" s="734">
        <f>IF(NFI_Expiration=1,IF($A441&lt;VLOOKUP(V$5,NFI,5,0),1,0)*Data_NFI_t[[#This Row],[Adult Clothes]],0)</f>
        <v>0</v>
      </c>
      <c r="AO441" s="105">
        <f>IF(NFI_Expiration=1,IF($A441&lt;VLOOKUP(W$5,NFI,5,0),1,0)*Data_NFI_t[[#This Row],[Children Clothes]],0)</f>
        <v>0</v>
      </c>
      <c r="AP441" s="105">
        <f>IF(NFI_Expiration=1,IF($A441&lt;VLOOKUP(X$5,NFI,5,0),1,0)*Data_NFI_t[[#This Row],[Sewing Kit]],0)</f>
        <v>0</v>
      </c>
      <c r="AQ441" s="734">
        <f>IF(NFI_Expiration=1,IF($A441&lt;VLOOKUP(X$5,NFI,5,0),1,0)*Data_NFI_t[[#This Row],[Solar Lantern]],0)</f>
        <v>0</v>
      </c>
      <c r="AR441" s="105" t="str">
        <f ca="1">IFERROR(OFFSET(Camp_List[P_Code],MATCH(Data_NFI_t[[#This Row],[Camp Name]],Camp_List[Camp Name],0)-1,0,1,1),"")</f>
        <v>MMR012CMP006</v>
      </c>
      <c r="AS441" s="421" t="str">
        <f ca="1">IFERROR(OFFSET(Camp_List[Status],MATCH(Data_NFI_t[[#This Row],[Camp Name]],Camp_List[Camp Name],0)-1,0,1,1),"")</f>
        <v>Returned</v>
      </c>
      <c r="AT441" s="105"/>
    </row>
    <row r="442" spans="1:46" s="78" customFormat="1" ht="19.5" customHeight="1" x14ac:dyDescent="0.25">
      <c r="A442" s="208">
        <f t="shared" si="6"/>
        <v>64.900000000000006</v>
      </c>
      <c r="B442" s="208">
        <f>YEAR(Data_NFI_t[[#This Row],[Distribution Date]])</f>
        <v>2012</v>
      </c>
      <c r="C442" s="744">
        <v>41243</v>
      </c>
      <c r="D442" s="402" t="s">
        <v>270</v>
      </c>
      <c r="E442" s="401"/>
      <c r="F442" s="402" t="s">
        <v>7</v>
      </c>
      <c r="G442" s="670" t="s">
        <v>17</v>
      </c>
      <c r="H442" s="670" t="s">
        <v>71</v>
      </c>
      <c r="I442" s="670"/>
      <c r="J442" s="670"/>
      <c r="K442" s="670"/>
      <c r="L442" s="42"/>
      <c r="M442" s="42"/>
      <c r="N442" s="42"/>
      <c r="O442" s="42">
        <v>130</v>
      </c>
      <c r="P442" s="42"/>
      <c r="Q442" s="42"/>
      <c r="R442" s="42"/>
      <c r="S442" s="42"/>
      <c r="T442" s="419"/>
      <c r="U442" s="42"/>
      <c r="V442" s="42"/>
      <c r="W442" s="42"/>
      <c r="X442" s="42"/>
      <c r="Y442" s="42"/>
      <c r="Z442" s="42"/>
      <c r="AA442" s="42"/>
      <c r="AB442" s="42"/>
      <c r="AC442" s="105">
        <f>IF(NFI_Expiration=1,IF($A442&lt;VLOOKUP(I$5,NFI,5,0),1,0)*Data_NFI_t[[#This Row],[Hygiene Kit]],0)</f>
        <v>0</v>
      </c>
      <c r="AD442" s="105">
        <f>IF(NFI_Expiration=1,IF($A442&lt;VLOOKUP(L$5,NFI,5,0),1,0)*Data_NFI_t[[#This Row],[NFI Core Kit]],0)</f>
        <v>0</v>
      </c>
      <c r="AE442" s="86">
        <f>IF(NFI_Expiration=1,IF($A442&lt;VLOOKUP(M$5,NFI,5,0),1,0)*Data_NFI_t[[#This Row],[Sanitary Kit]],0)</f>
        <v>0</v>
      </c>
      <c r="AF442" s="86">
        <f>IF(NFI_Expiration=1,IF($A442&lt;VLOOKUP(N$5,NFI,5,0),1,0)*Data_NFI_t[[#This Row],[Mosquito net]],0)</f>
        <v>0</v>
      </c>
      <c r="AG442" s="86">
        <f>IF(NFI_Expiration=1,IF($A442&lt;VLOOKUP(O$5,NFI,5,0),1,0)*Data_NFI_t[[#This Row],[Tarpaulin]],0)</f>
        <v>0</v>
      </c>
      <c r="AH442" s="86">
        <f>IF(NFI_Expiration=1,IF($A442&lt;VLOOKUP(P$5,NFI,5,0),1,0)*Data_NFI_t[[#This Row],[Blanket]],0)</f>
        <v>0</v>
      </c>
      <c r="AI442" s="86">
        <f>IF(NFI_Expiration=1,IF($A442&lt;VLOOKUP(Q$5,NFI,5,0),1,0)*Data_NFI_t[[#This Row],[Kitchen Set]],0)</f>
        <v>0</v>
      </c>
      <c r="AJ442" s="86">
        <f>IF(NFI_Expiration=1,IF($A442&lt;VLOOKUP(R$5,NFI,5,0),1,0)*Data_NFI_t[[#This Row],[Complementary Kit]],0)</f>
        <v>0</v>
      </c>
      <c r="AK442" s="86">
        <f>IF(NFI_Expiration=1,IF($A442&lt;VLOOKUP(S$5,NFI,5,0),1,0)*Data_NFI_t[[#This Row],[Plastic Bucket]],0)</f>
        <v>0</v>
      </c>
      <c r="AL442" s="86">
        <f>IF(NFI_Expiration=1,IF($A442&lt;VLOOKUP(T$5,NFI,5,0),1,0)*Data_NFI_t[[#This Row],[Jerry Can]],0)</f>
        <v>0</v>
      </c>
      <c r="AM442" s="105">
        <f>IF(NFI_Expiration=1,IF($A442&lt;VLOOKUP(U$5,NFI,5,0),1,0)*Data_NFI_t[[#This Row],[Plastic Mat]],0)*IF(Data_NFI_t[[#This Row],[Distribution Date]]&gt;"01-06-2015",1,2.5)</f>
        <v>0</v>
      </c>
      <c r="AN442" s="734">
        <f>IF(NFI_Expiration=1,IF($A442&lt;VLOOKUP(V$5,NFI,5,0),1,0)*Data_NFI_t[[#This Row],[Adult Clothes]],0)</f>
        <v>0</v>
      </c>
      <c r="AO442" s="105">
        <f>IF(NFI_Expiration=1,IF($A442&lt;VLOOKUP(W$5,NFI,5,0),1,0)*Data_NFI_t[[#This Row],[Children Clothes]],0)</f>
        <v>0</v>
      </c>
      <c r="AP442" s="105">
        <f>IF(NFI_Expiration=1,IF($A442&lt;VLOOKUP(X$5,NFI,5,0),1,0)*Data_NFI_t[[#This Row],[Sewing Kit]],0)</f>
        <v>0</v>
      </c>
      <c r="AQ442" s="734">
        <f>IF(NFI_Expiration=1,IF($A442&lt;VLOOKUP(X$5,NFI,5,0),1,0)*Data_NFI_t[[#This Row],[Solar Lantern]],0)</f>
        <v>0</v>
      </c>
      <c r="AR442" s="105" t="str">
        <f ca="1">IFERROR(OFFSET(Camp_List[P_Code],MATCH(Data_NFI_t[[#This Row],[Camp Name]],Camp_List[Camp Name],0)-1,0,1,1),"")</f>
        <v>MMR012CMP051</v>
      </c>
      <c r="AS442" s="421" t="str">
        <f ca="1">IFERROR(OFFSET(Camp_List[Status],MATCH(Data_NFI_t[[#This Row],[Camp Name]],Camp_List[Camp Name],0)-1,0,1,1),"")</f>
        <v>Close</v>
      </c>
      <c r="AT442" s="105"/>
    </row>
    <row r="443" spans="1:46" s="78" customFormat="1" ht="19.5" customHeight="1" x14ac:dyDescent="0.25">
      <c r="A443" s="208">
        <f t="shared" si="6"/>
        <v>64.900000000000006</v>
      </c>
      <c r="B443" s="208">
        <f>YEAR(Data_NFI_t[[#This Row],[Distribution Date]])</f>
        <v>2012</v>
      </c>
      <c r="C443" s="744">
        <v>41243</v>
      </c>
      <c r="D443" s="402" t="s">
        <v>270</v>
      </c>
      <c r="E443" s="401"/>
      <c r="F443" s="402" t="s">
        <v>7</v>
      </c>
      <c r="G443" s="670" t="s">
        <v>17</v>
      </c>
      <c r="H443" s="670" t="s">
        <v>71</v>
      </c>
      <c r="I443" s="670"/>
      <c r="J443" s="670"/>
      <c r="K443" s="670"/>
      <c r="L443" s="42"/>
      <c r="M443" s="42"/>
      <c r="N443" s="42"/>
      <c r="O443" s="42">
        <v>314</v>
      </c>
      <c r="P443" s="42"/>
      <c r="Q443" s="42"/>
      <c r="R443" s="42"/>
      <c r="S443" s="42"/>
      <c r="T443" s="419"/>
      <c r="U443" s="42"/>
      <c r="V443" s="42"/>
      <c r="W443" s="42"/>
      <c r="X443" s="42"/>
      <c r="Y443" s="42"/>
      <c r="Z443" s="42"/>
      <c r="AA443" s="42"/>
      <c r="AB443" s="42"/>
      <c r="AC443" s="105">
        <f>IF(NFI_Expiration=1,IF($A443&lt;VLOOKUP(I$5,NFI,5,0),1,0)*Data_NFI_t[[#This Row],[Hygiene Kit]],0)</f>
        <v>0</v>
      </c>
      <c r="AD443" s="105">
        <f>IF(NFI_Expiration=1,IF($A443&lt;VLOOKUP(L$5,NFI,5,0),1,0)*Data_NFI_t[[#This Row],[NFI Core Kit]],0)</f>
        <v>0</v>
      </c>
      <c r="AE443" s="86">
        <f>IF(NFI_Expiration=1,IF($A443&lt;VLOOKUP(M$5,NFI,5,0),1,0)*Data_NFI_t[[#This Row],[Sanitary Kit]],0)</f>
        <v>0</v>
      </c>
      <c r="AF443" s="86">
        <f>IF(NFI_Expiration=1,IF($A443&lt;VLOOKUP(N$5,NFI,5,0),1,0)*Data_NFI_t[[#This Row],[Mosquito net]],0)</f>
        <v>0</v>
      </c>
      <c r="AG443" s="86">
        <f>IF(NFI_Expiration=1,IF($A443&lt;VLOOKUP(O$5,NFI,5,0),1,0)*Data_NFI_t[[#This Row],[Tarpaulin]],0)</f>
        <v>0</v>
      </c>
      <c r="AH443" s="86">
        <f>IF(NFI_Expiration=1,IF($A443&lt;VLOOKUP(P$5,NFI,5,0),1,0)*Data_NFI_t[[#This Row],[Blanket]],0)</f>
        <v>0</v>
      </c>
      <c r="AI443" s="86">
        <f>IF(NFI_Expiration=1,IF($A443&lt;VLOOKUP(Q$5,NFI,5,0),1,0)*Data_NFI_t[[#This Row],[Kitchen Set]],0)</f>
        <v>0</v>
      </c>
      <c r="AJ443" s="86">
        <f>IF(NFI_Expiration=1,IF($A443&lt;VLOOKUP(R$5,NFI,5,0),1,0)*Data_NFI_t[[#This Row],[Complementary Kit]],0)</f>
        <v>0</v>
      </c>
      <c r="AK443" s="86">
        <f>IF(NFI_Expiration=1,IF($A443&lt;VLOOKUP(S$5,NFI,5,0),1,0)*Data_NFI_t[[#This Row],[Plastic Bucket]],0)</f>
        <v>0</v>
      </c>
      <c r="AL443" s="86">
        <f>IF(NFI_Expiration=1,IF($A443&lt;VLOOKUP(T$5,NFI,5,0),1,0)*Data_NFI_t[[#This Row],[Jerry Can]],0)</f>
        <v>0</v>
      </c>
      <c r="AM443" s="105">
        <f>IF(NFI_Expiration=1,IF($A443&lt;VLOOKUP(U$5,NFI,5,0),1,0)*Data_NFI_t[[#This Row],[Plastic Mat]],0)*IF(Data_NFI_t[[#This Row],[Distribution Date]]&gt;"01-06-2015",1,2.5)</f>
        <v>0</v>
      </c>
      <c r="AN443" s="734">
        <f>IF(NFI_Expiration=1,IF($A443&lt;VLOOKUP(V$5,NFI,5,0),1,0)*Data_NFI_t[[#This Row],[Adult Clothes]],0)</f>
        <v>0</v>
      </c>
      <c r="AO443" s="105">
        <f>IF(NFI_Expiration=1,IF($A443&lt;VLOOKUP(W$5,NFI,5,0),1,0)*Data_NFI_t[[#This Row],[Children Clothes]],0)</f>
        <v>0</v>
      </c>
      <c r="AP443" s="105">
        <f>IF(NFI_Expiration=1,IF($A443&lt;VLOOKUP(X$5,NFI,5,0),1,0)*Data_NFI_t[[#This Row],[Sewing Kit]],0)</f>
        <v>0</v>
      </c>
      <c r="AQ443" s="734">
        <f>IF(NFI_Expiration=1,IF($A443&lt;VLOOKUP(X$5,NFI,5,0),1,0)*Data_NFI_t[[#This Row],[Solar Lantern]],0)</f>
        <v>0</v>
      </c>
      <c r="AR443" s="105" t="str">
        <f ca="1">IFERROR(OFFSET(Camp_List[P_Code],MATCH(Data_NFI_t[[#This Row],[Camp Name]],Camp_List[Camp Name],0)-1,0,1,1),"")</f>
        <v>MMR012CMP051</v>
      </c>
      <c r="AS443" s="421" t="str">
        <f ca="1">IFERROR(OFFSET(Camp_List[Status],MATCH(Data_NFI_t[[#This Row],[Camp Name]],Camp_List[Camp Name],0)-1,0,1,1),"")</f>
        <v>Close</v>
      </c>
      <c r="AT443" s="105"/>
    </row>
    <row r="444" spans="1:46" s="78" customFormat="1" ht="19.5" customHeight="1" x14ac:dyDescent="0.25">
      <c r="A444" s="208">
        <f t="shared" si="6"/>
        <v>64.900000000000006</v>
      </c>
      <c r="B444" s="208">
        <f>YEAR(Data_NFI_t[[#This Row],[Distribution Date]])</f>
        <v>2012</v>
      </c>
      <c r="C444" s="744">
        <v>41243</v>
      </c>
      <c r="D444" s="402" t="s">
        <v>270</v>
      </c>
      <c r="E444" s="401"/>
      <c r="F444" s="402" t="s">
        <v>7</v>
      </c>
      <c r="G444" s="670" t="s">
        <v>817</v>
      </c>
      <c r="H444" s="670" t="s">
        <v>35</v>
      </c>
      <c r="I444" s="670"/>
      <c r="J444" s="670"/>
      <c r="K444" s="670"/>
      <c r="L444" s="42"/>
      <c r="M444" s="42"/>
      <c r="N444" s="42">
        <v>88</v>
      </c>
      <c r="O444" s="42">
        <v>44</v>
      </c>
      <c r="P444" s="42">
        <v>88</v>
      </c>
      <c r="Q444" s="42">
        <v>44</v>
      </c>
      <c r="R444" s="42">
        <v>44</v>
      </c>
      <c r="S444" s="42"/>
      <c r="T444" s="419"/>
      <c r="U444" s="42"/>
      <c r="V444" s="42"/>
      <c r="W444" s="42"/>
      <c r="X444" s="42"/>
      <c r="Y444" s="42"/>
      <c r="Z444" s="42"/>
      <c r="AA444" s="42"/>
      <c r="AB444" s="42"/>
      <c r="AC444" s="105">
        <f>IF(NFI_Expiration=1,IF($A444&lt;VLOOKUP(I$5,NFI,5,0),1,0)*Data_NFI_t[[#This Row],[Hygiene Kit]],0)</f>
        <v>0</v>
      </c>
      <c r="AD444" s="105">
        <f>IF(NFI_Expiration=1,IF($A444&lt;VLOOKUP(L$5,NFI,5,0),1,0)*Data_NFI_t[[#This Row],[NFI Core Kit]],0)</f>
        <v>0</v>
      </c>
      <c r="AE444" s="86">
        <f>IF(NFI_Expiration=1,IF($A444&lt;VLOOKUP(M$5,NFI,5,0),1,0)*Data_NFI_t[[#This Row],[Sanitary Kit]],0)</f>
        <v>0</v>
      </c>
      <c r="AF444" s="86">
        <f>IF(NFI_Expiration=1,IF($A444&lt;VLOOKUP(N$5,NFI,5,0),1,0)*Data_NFI_t[[#This Row],[Mosquito net]],0)</f>
        <v>0</v>
      </c>
      <c r="AG444" s="86">
        <f>IF(NFI_Expiration=1,IF($A444&lt;VLOOKUP(O$5,NFI,5,0),1,0)*Data_NFI_t[[#This Row],[Tarpaulin]],0)</f>
        <v>0</v>
      </c>
      <c r="AH444" s="86">
        <f>IF(NFI_Expiration=1,IF($A444&lt;VLOOKUP(P$5,NFI,5,0),1,0)*Data_NFI_t[[#This Row],[Blanket]],0)</f>
        <v>0</v>
      </c>
      <c r="AI444" s="86">
        <f>IF(NFI_Expiration=1,IF($A444&lt;VLOOKUP(Q$5,NFI,5,0),1,0)*Data_NFI_t[[#This Row],[Kitchen Set]],0)</f>
        <v>0</v>
      </c>
      <c r="AJ444" s="86">
        <f>IF(NFI_Expiration=1,IF($A444&lt;VLOOKUP(R$5,NFI,5,0),1,0)*Data_NFI_t[[#This Row],[Complementary Kit]],0)</f>
        <v>0</v>
      </c>
      <c r="AK444" s="86">
        <f>IF(NFI_Expiration=1,IF($A444&lt;VLOOKUP(S$5,NFI,5,0),1,0)*Data_NFI_t[[#This Row],[Plastic Bucket]],0)</f>
        <v>0</v>
      </c>
      <c r="AL444" s="86">
        <f>IF(NFI_Expiration=1,IF($A444&lt;VLOOKUP(T$5,NFI,5,0),1,0)*Data_NFI_t[[#This Row],[Jerry Can]],0)</f>
        <v>0</v>
      </c>
      <c r="AM444" s="105">
        <f>IF(NFI_Expiration=1,IF($A444&lt;VLOOKUP(U$5,NFI,5,0),1,0)*Data_NFI_t[[#This Row],[Plastic Mat]],0)*IF(Data_NFI_t[[#This Row],[Distribution Date]]&gt;"01-06-2015",1,2.5)</f>
        <v>0</v>
      </c>
      <c r="AN444" s="734">
        <f>IF(NFI_Expiration=1,IF($A444&lt;VLOOKUP(V$5,NFI,5,0),1,0)*Data_NFI_t[[#This Row],[Adult Clothes]],0)</f>
        <v>0</v>
      </c>
      <c r="AO444" s="105">
        <f>IF(NFI_Expiration=1,IF($A444&lt;VLOOKUP(W$5,NFI,5,0),1,0)*Data_NFI_t[[#This Row],[Children Clothes]],0)</f>
        <v>0</v>
      </c>
      <c r="AP444" s="105">
        <f>IF(NFI_Expiration=1,IF($A444&lt;VLOOKUP(X$5,NFI,5,0),1,0)*Data_NFI_t[[#This Row],[Sewing Kit]],0)</f>
        <v>0</v>
      </c>
      <c r="AQ444" s="734">
        <f>IF(NFI_Expiration=1,IF($A444&lt;VLOOKUP(X$5,NFI,5,0),1,0)*Data_NFI_t[[#This Row],[Solar Lantern]],0)</f>
        <v>0</v>
      </c>
      <c r="AR444" s="105" t="str">
        <f ca="1">IFERROR(OFFSET(Camp_List[P_Code],MATCH(Data_NFI_t[[#This Row],[Camp Name]],Camp_List[Camp Name],0)-1,0,1,1),"")</f>
        <v>MMR012CMP013</v>
      </c>
      <c r="AS444" s="421" t="str">
        <f ca="1">IFERROR(OFFSET(Camp_List[Status],MATCH(Data_NFI_t[[#This Row],[Camp Name]],Camp_List[Camp Name],0)-1,0,1,1),"")</f>
        <v>Relocated</v>
      </c>
      <c r="AT444" s="105"/>
    </row>
    <row r="445" spans="1:46" s="78" customFormat="1" ht="19.5" customHeight="1" x14ac:dyDescent="0.25">
      <c r="A445" s="208">
        <f t="shared" si="6"/>
        <v>64.900000000000006</v>
      </c>
      <c r="B445" s="208">
        <f>YEAR(Data_NFI_t[[#This Row],[Distribution Date]])</f>
        <v>2012</v>
      </c>
      <c r="C445" s="744">
        <v>41243</v>
      </c>
      <c r="D445" s="402" t="s">
        <v>270</v>
      </c>
      <c r="E445" s="401"/>
      <c r="F445" s="402" t="s">
        <v>7</v>
      </c>
      <c r="G445" s="670" t="s">
        <v>17</v>
      </c>
      <c r="H445" s="670" t="s">
        <v>70</v>
      </c>
      <c r="I445" s="670"/>
      <c r="J445" s="670"/>
      <c r="K445" s="670"/>
      <c r="L445" s="42"/>
      <c r="M445" s="42"/>
      <c r="N445" s="42"/>
      <c r="O445" s="42">
        <v>822</v>
      </c>
      <c r="P445" s="42"/>
      <c r="Q445" s="42"/>
      <c r="R445" s="42"/>
      <c r="S445" s="42"/>
      <c r="T445" s="419"/>
      <c r="U445" s="42"/>
      <c r="V445" s="42"/>
      <c r="W445" s="42"/>
      <c r="X445" s="42"/>
      <c r="Y445" s="42"/>
      <c r="Z445" s="42"/>
      <c r="AA445" s="42"/>
      <c r="AB445" s="42"/>
      <c r="AC445" s="105">
        <f>IF(NFI_Expiration=1,IF($A445&lt;VLOOKUP(I$5,NFI,5,0),1,0)*Data_NFI_t[[#This Row],[Hygiene Kit]],0)</f>
        <v>0</v>
      </c>
      <c r="AD445" s="105">
        <f>IF(NFI_Expiration=1,IF($A445&lt;VLOOKUP(L$5,NFI,5,0),1,0)*Data_NFI_t[[#This Row],[NFI Core Kit]],0)</f>
        <v>0</v>
      </c>
      <c r="AE445" s="86">
        <f>IF(NFI_Expiration=1,IF($A445&lt;VLOOKUP(M$5,NFI,5,0),1,0)*Data_NFI_t[[#This Row],[Sanitary Kit]],0)</f>
        <v>0</v>
      </c>
      <c r="AF445" s="86">
        <f>IF(NFI_Expiration=1,IF($A445&lt;VLOOKUP(N$5,NFI,5,0),1,0)*Data_NFI_t[[#This Row],[Mosquito net]],0)</f>
        <v>0</v>
      </c>
      <c r="AG445" s="86">
        <f>IF(NFI_Expiration=1,IF($A445&lt;VLOOKUP(O$5,NFI,5,0),1,0)*Data_NFI_t[[#This Row],[Tarpaulin]],0)</f>
        <v>0</v>
      </c>
      <c r="AH445" s="86">
        <f>IF(NFI_Expiration=1,IF($A445&lt;VLOOKUP(P$5,NFI,5,0),1,0)*Data_NFI_t[[#This Row],[Blanket]],0)</f>
        <v>0</v>
      </c>
      <c r="AI445" s="86">
        <f>IF(NFI_Expiration=1,IF($A445&lt;VLOOKUP(Q$5,NFI,5,0),1,0)*Data_NFI_t[[#This Row],[Kitchen Set]],0)</f>
        <v>0</v>
      </c>
      <c r="AJ445" s="86">
        <f>IF(NFI_Expiration=1,IF($A445&lt;VLOOKUP(R$5,NFI,5,0),1,0)*Data_NFI_t[[#This Row],[Complementary Kit]],0)</f>
        <v>0</v>
      </c>
      <c r="AK445" s="86">
        <f>IF(NFI_Expiration=1,IF($A445&lt;VLOOKUP(S$5,NFI,5,0),1,0)*Data_NFI_t[[#This Row],[Plastic Bucket]],0)</f>
        <v>0</v>
      </c>
      <c r="AL445" s="86">
        <f>IF(NFI_Expiration=1,IF($A445&lt;VLOOKUP(T$5,NFI,5,0),1,0)*Data_NFI_t[[#This Row],[Jerry Can]],0)</f>
        <v>0</v>
      </c>
      <c r="AM445" s="105">
        <f>IF(NFI_Expiration=1,IF($A445&lt;VLOOKUP(U$5,NFI,5,0),1,0)*Data_NFI_t[[#This Row],[Plastic Mat]],0)*IF(Data_NFI_t[[#This Row],[Distribution Date]]&gt;"01-06-2015",1,2.5)</f>
        <v>0</v>
      </c>
      <c r="AN445" s="734">
        <f>IF(NFI_Expiration=1,IF($A445&lt;VLOOKUP(V$5,NFI,5,0),1,0)*Data_NFI_t[[#This Row],[Adult Clothes]],0)</f>
        <v>0</v>
      </c>
      <c r="AO445" s="105">
        <f>IF(NFI_Expiration=1,IF($A445&lt;VLOOKUP(W$5,NFI,5,0),1,0)*Data_NFI_t[[#This Row],[Children Clothes]],0)</f>
        <v>0</v>
      </c>
      <c r="AP445" s="105">
        <f>IF(NFI_Expiration=1,IF($A445&lt;VLOOKUP(X$5,NFI,5,0),1,0)*Data_NFI_t[[#This Row],[Sewing Kit]],0)</f>
        <v>0</v>
      </c>
      <c r="AQ445" s="734">
        <f>IF(NFI_Expiration=1,IF($A445&lt;VLOOKUP(X$5,NFI,5,0),1,0)*Data_NFI_t[[#This Row],[Solar Lantern]],0)</f>
        <v>0</v>
      </c>
      <c r="AR445" s="105" t="str">
        <f ca="1">IFERROR(OFFSET(Camp_List[P_Code],MATCH(Data_NFI_t[[#This Row],[Camp Name]],Camp_List[Camp Name],0)-1,0,1,1),"")</f>
        <v>MMR012CMP050</v>
      </c>
      <c r="AS445" s="421" t="str">
        <f ca="1">IFERROR(OFFSET(Camp_List[Status],MATCH(Data_NFI_t[[#This Row],[Camp Name]],Camp_List[Camp Name],0)-1,0,1,1),"")</f>
        <v>Close</v>
      </c>
      <c r="AT445" s="105"/>
    </row>
    <row r="446" spans="1:46" s="78" customFormat="1" ht="19.5" customHeight="1" x14ac:dyDescent="0.25">
      <c r="A446" s="208">
        <f t="shared" si="6"/>
        <v>64.900000000000006</v>
      </c>
      <c r="B446" s="208">
        <f>YEAR(Data_NFI_t[[#This Row],[Distribution Date]])</f>
        <v>2012</v>
      </c>
      <c r="C446" s="744">
        <v>41243</v>
      </c>
      <c r="D446" s="402" t="s">
        <v>270</v>
      </c>
      <c r="E446" s="401"/>
      <c r="F446" s="402" t="s">
        <v>7</v>
      </c>
      <c r="G446" s="670" t="s">
        <v>817</v>
      </c>
      <c r="H446" s="670" t="s">
        <v>36</v>
      </c>
      <c r="I446" s="670"/>
      <c r="J446" s="670"/>
      <c r="K446" s="670"/>
      <c r="L446" s="42"/>
      <c r="M446" s="42"/>
      <c r="N446" s="42"/>
      <c r="O446" s="42"/>
      <c r="P446" s="42"/>
      <c r="Q446" s="42"/>
      <c r="R446" s="42">
        <v>705</v>
      </c>
      <c r="S446" s="42"/>
      <c r="T446" s="419"/>
      <c r="U446" s="42"/>
      <c r="V446" s="42"/>
      <c r="W446" s="42"/>
      <c r="X446" s="42"/>
      <c r="Y446" s="42"/>
      <c r="Z446" s="42"/>
      <c r="AA446" s="42"/>
      <c r="AB446" s="42"/>
      <c r="AC446" s="105">
        <f>IF(NFI_Expiration=1,IF($A446&lt;VLOOKUP(I$5,NFI,5,0),1,0)*Data_NFI_t[[#This Row],[Hygiene Kit]],0)</f>
        <v>0</v>
      </c>
      <c r="AD446" s="105">
        <f>IF(NFI_Expiration=1,IF($A446&lt;VLOOKUP(L$5,NFI,5,0),1,0)*Data_NFI_t[[#This Row],[NFI Core Kit]],0)</f>
        <v>0</v>
      </c>
      <c r="AE446" s="86">
        <f>IF(NFI_Expiration=1,IF($A446&lt;VLOOKUP(M$5,NFI,5,0),1,0)*Data_NFI_t[[#This Row],[Sanitary Kit]],0)</f>
        <v>0</v>
      </c>
      <c r="AF446" s="86">
        <f>IF(NFI_Expiration=1,IF($A446&lt;VLOOKUP(N$5,NFI,5,0),1,0)*Data_NFI_t[[#This Row],[Mosquito net]],0)</f>
        <v>0</v>
      </c>
      <c r="AG446" s="86">
        <f>IF(NFI_Expiration=1,IF($A446&lt;VLOOKUP(O$5,NFI,5,0),1,0)*Data_NFI_t[[#This Row],[Tarpaulin]],0)</f>
        <v>0</v>
      </c>
      <c r="AH446" s="86">
        <f>IF(NFI_Expiration=1,IF($A446&lt;VLOOKUP(P$5,NFI,5,0),1,0)*Data_NFI_t[[#This Row],[Blanket]],0)</f>
        <v>0</v>
      </c>
      <c r="AI446" s="86">
        <f>IF(NFI_Expiration=1,IF($A446&lt;VLOOKUP(Q$5,NFI,5,0),1,0)*Data_NFI_t[[#This Row],[Kitchen Set]],0)</f>
        <v>0</v>
      </c>
      <c r="AJ446" s="86">
        <f>IF(NFI_Expiration=1,IF($A446&lt;VLOOKUP(R$5,NFI,5,0),1,0)*Data_NFI_t[[#This Row],[Complementary Kit]],0)</f>
        <v>0</v>
      </c>
      <c r="AK446" s="86">
        <f>IF(NFI_Expiration=1,IF($A446&lt;VLOOKUP(S$5,NFI,5,0),1,0)*Data_NFI_t[[#This Row],[Plastic Bucket]],0)</f>
        <v>0</v>
      </c>
      <c r="AL446" s="86">
        <f>IF(NFI_Expiration=1,IF($A446&lt;VLOOKUP(T$5,NFI,5,0),1,0)*Data_NFI_t[[#This Row],[Jerry Can]],0)</f>
        <v>0</v>
      </c>
      <c r="AM446" s="105">
        <f>IF(NFI_Expiration=1,IF($A446&lt;VLOOKUP(U$5,NFI,5,0),1,0)*Data_NFI_t[[#This Row],[Plastic Mat]],0)*IF(Data_NFI_t[[#This Row],[Distribution Date]]&gt;"01-06-2015",1,2.5)</f>
        <v>0</v>
      </c>
      <c r="AN446" s="734">
        <f>IF(NFI_Expiration=1,IF($A446&lt;VLOOKUP(V$5,NFI,5,0),1,0)*Data_NFI_t[[#This Row],[Adult Clothes]],0)</f>
        <v>0</v>
      </c>
      <c r="AO446" s="105">
        <f>IF(NFI_Expiration=1,IF($A446&lt;VLOOKUP(W$5,NFI,5,0),1,0)*Data_NFI_t[[#This Row],[Children Clothes]],0)</f>
        <v>0</v>
      </c>
      <c r="AP446" s="105">
        <f>IF(NFI_Expiration=1,IF($A446&lt;VLOOKUP(X$5,NFI,5,0),1,0)*Data_NFI_t[[#This Row],[Sewing Kit]],0)</f>
        <v>0</v>
      </c>
      <c r="AQ446" s="734">
        <f>IF(NFI_Expiration=1,IF($A446&lt;VLOOKUP(X$5,NFI,5,0),1,0)*Data_NFI_t[[#This Row],[Solar Lantern]],0)</f>
        <v>0</v>
      </c>
      <c r="AR446" s="105" t="str">
        <f ca="1">IFERROR(OFFSET(Camp_List[P_Code],MATCH(Data_NFI_t[[#This Row],[Camp Name]],Camp_List[Camp Name],0)-1,0,1,1),"")</f>
        <v>MMR012CMP014</v>
      </c>
      <c r="AS446" s="421" t="str">
        <f ca="1">IFERROR(OFFSET(Camp_List[Status],MATCH(Data_NFI_t[[#This Row],[Camp Name]],Camp_List[Camp Name],0)-1,0,1,1),"")</f>
        <v>Open</v>
      </c>
      <c r="AT446" s="105"/>
    </row>
    <row r="447" spans="1:46" s="78" customFormat="1" ht="19.5" customHeight="1" x14ac:dyDescent="0.25">
      <c r="A447" s="208">
        <f t="shared" si="6"/>
        <v>64.900000000000006</v>
      </c>
      <c r="B447" s="208">
        <f>YEAR(Data_NFI_t[[#This Row],[Distribution Date]])</f>
        <v>2012</v>
      </c>
      <c r="C447" s="744">
        <v>41243</v>
      </c>
      <c r="D447" s="402" t="s">
        <v>274</v>
      </c>
      <c r="E447" s="401" t="s">
        <v>270</v>
      </c>
      <c r="F447" s="402" t="s">
        <v>7</v>
      </c>
      <c r="G447" s="670" t="s">
        <v>17</v>
      </c>
      <c r="H447" s="670" t="s">
        <v>68</v>
      </c>
      <c r="I447" s="670"/>
      <c r="J447" s="670"/>
      <c r="K447" s="670"/>
      <c r="L447" s="42"/>
      <c r="M447" s="42"/>
      <c r="N447" s="42"/>
      <c r="O447" s="42"/>
      <c r="P447" s="42">
        <v>100</v>
      </c>
      <c r="Q447" s="42"/>
      <c r="R447" s="42"/>
      <c r="S447" s="42"/>
      <c r="T447" s="419"/>
      <c r="U447" s="42"/>
      <c r="V447" s="42"/>
      <c r="W447" s="42"/>
      <c r="X447" s="42"/>
      <c r="Y447" s="42"/>
      <c r="Z447" s="42"/>
      <c r="AA447" s="42"/>
      <c r="AB447" s="42"/>
      <c r="AC447" s="105">
        <f>IF(NFI_Expiration=1,IF($A447&lt;VLOOKUP(I$5,NFI,5,0),1,0)*Data_NFI_t[[#This Row],[Hygiene Kit]],0)</f>
        <v>0</v>
      </c>
      <c r="AD447" s="105">
        <f>IF(NFI_Expiration=1,IF($A447&lt;VLOOKUP(L$5,NFI,5,0),1,0)*Data_NFI_t[[#This Row],[NFI Core Kit]],0)</f>
        <v>0</v>
      </c>
      <c r="AE447" s="86">
        <f>IF(NFI_Expiration=1,IF($A447&lt;VLOOKUP(M$5,NFI,5,0),1,0)*Data_NFI_t[[#This Row],[Sanitary Kit]],0)</f>
        <v>0</v>
      </c>
      <c r="AF447" s="86">
        <f>IF(NFI_Expiration=1,IF($A447&lt;VLOOKUP(N$5,NFI,5,0),1,0)*Data_NFI_t[[#This Row],[Mosquito net]],0)</f>
        <v>0</v>
      </c>
      <c r="AG447" s="86">
        <f>IF(NFI_Expiration=1,IF($A447&lt;VLOOKUP(O$5,NFI,5,0),1,0)*Data_NFI_t[[#This Row],[Tarpaulin]],0)</f>
        <v>0</v>
      </c>
      <c r="AH447" s="86">
        <f>IF(NFI_Expiration=1,IF($A447&lt;VLOOKUP(P$5,NFI,5,0),1,0)*Data_NFI_t[[#This Row],[Blanket]],0)</f>
        <v>0</v>
      </c>
      <c r="AI447" s="86">
        <f>IF(NFI_Expiration=1,IF($A447&lt;VLOOKUP(Q$5,NFI,5,0),1,0)*Data_NFI_t[[#This Row],[Kitchen Set]],0)</f>
        <v>0</v>
      </c>
      <c r="AJ447" s="86">
        <f>IF(NFI_Expiration=1,IF($A447&lt;VLOOKUP(R$5,NFI,5,0),1,0)*Data_NFI_t[[#This Row],[Complementary Kit]],0)</f>
        <v>0</v>
      </c>
      <c r="AK447" s="86">
        <f>IF(NFI_Expiration=1,IF($A447&lt;VLOOKUP(S$5,NFI,5,0),1,0)*Data_NFI_t[[#This Row],[Plastic Bucket]],0)</f>
        <v>0</v>
      </c>
      <c r="AL447" s="86">
        <f>IF(NFI_Expiration=1,IF($A447&lt;VLOOKUP(T$5,NFI,5,0),1,0)*Data_NFI_t[[#This Row],[Jerry Can]],0)</f>
        <v>0</v>
      </c>
      <c r="AM447" s="105">
        <f>IF(NFI_Expiration=1,IF($A447&lt;VLOOKUP(U$5,NFI,5,0),1,0)*Data_NFI_t[[#This Row],[Plastic Mat]],0)*IF(Data_NFI_t[[#This Row],[Distribution Date]]&gt;"01-06-2015",1,2.5)</f>
        <v>0</v>
      </c>
      <c r="AN447" s="734">
        <f>IF(NFI_Expiration=1,IF($A447&lt;VLOOKUP(V$5,NFI,5,0),1,0)*Data_NFI_t[[#This Row],[Adult Clothes]],0)</f>
        <v>0</v>
      </c>
      <c r="AO447" s="105">
        <f>IF(NFI_Expiration=1,IF($A447&lt;VLOOKUP(W$5,NFI,5,0),1,0)*Data_NFI_t[[#This Row],[Children Clothes]],0)</f>
        <v>0</v>
      </c>
      <c r="AP447" s="105">
        <f>IF(NFI_Expiration=1,IF($A447&lt;VLOOKUP(X$5,NFI,5,0),1,0)*Data_NFI_t[[#This Row],[Sewing Kit]],0)</f>
        <v>0</v>
      </c>
      <c r="AQ447" s="734">
        <f>IF(NFI_Expiration=1,IF($A447&lt;VLOOKUP(X$5,NFI,5,0),1,0)*Data_NFI_t[[#This Row],[Solar Lantern]],0)</f>
        <v>0</v>
      </c>
      <c r="AR447" s="105" t="str">
        <f ca="1">IFERROR(OFFSET(Camp_List[P_Code],MATCH(Data_NFI_t[[#This Row],[Camp Name]],Camp_List[Camp Name],0)-1,0,1,1),"")</f>
        <v>MMR012CMP048</v>
      </c>
      <c r="AS447" s="421" t="str">
        <f ca="1">IFERROR(OFFSET(Camp_List[Status],MATCH(Data_NFI_t[[#This Row],[Camp Name]],Camp_List[Camp Name],0)-1,0,1,1),"")</f>
        <v>Open</v>
      </c>
      <c r="AT447" s="105"/>
    </row>
    <row r="448" spans="1:46" s="78" customFormat="1" ht="19.5" customHeight="1" x14ac:dyDescent="0.25">
      <c r="A448" s="208">
        <f t="shared" si="6"/>
        <v>65.2</v>
      </c>
      <c r="B448" s="208">
        <f>YEAR(Data_NFI_t[[#This Row],[Distribution Date]])</f>
        <v>2012</v>
      </c>
      <c r="C448" s="744">
        <v>41234</v>
      </c>
      <c r="D448" s="402" t="s">
        <v>270</v>
      </c>
      <c r="E448" s="401"/>
      <c r="F448" s="402" t="s">
        <v>7</v>
      </c>
      <c r="G448" s="670" t="s">
        <v>11</v>
      </c>
      <c r="H448" s="670" t="s">
        <v>26</v>
      </c>
      <c r="I448" s="670"/>
      <c r="J448" s="670"/>
      <c r="K448" s="670"/>
      <c r="L448" s="42"/>
      <c r="M448" s="42"/>
      <c r="N448" s="42"/>
      <c r="O448" s="42">
        <v>129</v>
      </c>
      <c r="P448" s="42"/>
      <c r="Q448" s="42"/>
      <c r="R448" s="42"/>
      <c r="S448" s="42"/>
      <c r="T448" s="419"/>
      <c r="U448" s="42"/>
      <c r="V448" s="42"/>
      <c r="W448" s="42"/>
      <c r="X448" s="42"/>
      <c r="Y448" s="42"/>
      <c r="Z448" s="42"/>
      <c r="AA448" s="42"/>
      <c r="AB448" s="42"/>
      <c r="AC448" s="105">
        <f>IF(NFI_Expiration=1,IF($A448&lt;VLOOKUP(I$5,NFI,5,0),1,0)*Data_NFI_t[[#This Row],[Hygiene Kit]],0)</f>
        <v>0</v>
      </c>
      <c r="AD448" s="105">
        <f>IF(NFI_Expiration=1,IF($A448&lt;VLOOKUP(L$5,NFI,5,0),1,0)*Data_NFI_t[[#This Row],[NFI Core Kit]],0)</f>
        <v>0</v>
      </c>
      <c r="AE448" s="86">
        <f>IF(NFI_Expiration=1,IF($A448&lt;VLOOKUP(M$5,NFI,5,0),1,0)*Data_NFI_t[[#This Row],[Sanitary Kit]],0)</f>
        <v>0</v>
      </c>
      <c r="AF448" s="86">
        <f>IF(NFI_Expiration=1,IF($A448&lt;VLOOKUP(N$5,NFI,5,0),1,0)*Data_NFI_t[[#This Row],[Mosquito net]],0)</f>
        <v>0</v>
      </c>
      <c r="AG448" s="86">
        <f>IF(NFI_Expiration=1,IF($A448&lt;VLOOKUP(O$5,NFI,5,0),1,0)*Data_NFI_t[[#This Row],[Tarpaulin]],0)</f>
        <v>0</v>
      </c>
      <c r="AH448" s="86">
        <f>IF(NFI_Expiration=1,IF($A448&lt;VLOOKUP(P$5,NFI,5,0),1,0)*Data_NFI_t[[#This Row],[Blanket]],0)</f>
        <v>0</v>
      </c>
      <c r="AI448" s="86">
        <f>IF(NFI_Expiration=1,IF($A448&lt;VLOOKUP(Q$5,NFI,5,0),1,0)*Data_NFI_t[[#This Row],[Kitchen Set]],0)</f>
        <v>0</v>
      </c>
      <c r="AJ448" s="86">
        <f>IF(NFI_Expiration=1,IF($A448&lt;VLOOKUP(R$5,NFI,5,0),1,0)*Data_NFI_t[[#This Row],[Complementary Kit]],0)</f>
        <v>0</v>
      </c>
      <c r="AK448" s="86">
        <f>IF(NFI_Expiration=1,IF($A448&lt;VLOOKUP(S$5,NFI,5,0),1,0)*Data_NFI_t[[#This Row],[Plastic Bucket]],0)</f>
        <v>0</v>
      </c>
      <c r="AL448" s="86">
        <f>IF(NFI_Expiration=1,IF($A448&lt;VLOOKUP(T$5,NFI,5,0),1,0)*Data_NFI_t[[#This Row],[Jerry Can]],0)</f>
        <v>0</v>
      </c>
      <c r="AM448" s="105">
        <f>IF(NFI_Expiration=1,IF($A448&lt;VLOOKUP(U$5,NFI,5,0),1,0)*Data_NFI_t[[#This Row],[Plastic Mat]],0)*IF(Data_NFI_t[[#This Row],[Distribution Date]]&gt;"01-06-2015",1,2.5)</f>
        <v>0</v>
      </c>
      <c r="AN448" s="734">
        <f>IF(NFI_Expiration=1,IF($A448&lt;VLOOKUP(V$5,NFI,5,0),1,0)*Data_NFI_t[[#This Row],[Adult Clothes]],0)</f>
        <v>0</v>
      </c>
      <c r="AO448" s="105">
        <f>IF(NFI_Expiration=1,IF($A448&lt;VLOOKUP(W$5,NFI,5,0),1,0)*Data_NFI_t[[#This Row],[Children Clothes]],0)</f>
        <v>0</v>
      </c>
      <c r="AP448" s="105">
        <f>IF(NFI_Expiration=1,IF($A448&lt;VLOOKUP(X$5,NFI,5,0),1,0)*Data_NFI_t[[#This Row],[Sewing Kit]],0)</f>
        <v>0</v>
      </c>
      <c r="AQ448" s="734">
        <f>IF(NFI_Expiration=1,IF($A448&lt;VLOOKUP(X$5,NFI,5,0),1,0)*Data_NFI_t[[#This Row],[Solar Lantern]],0)</f>
        <v>0</v>
      </c>
      <c r="AR448" s="105" t="str">
        <f ca="1">IFERROR(OFFSET(Camp_List[P_Code],MATCH(Data_NFI_t[[#This Row],[Camp Name]],Camp_List[Camp Name],0)-1,0,1,1),"")</f>
        <v>MMR012CMP004</v>
      </c>
      <c r="AS448" s="421" t="str">
        <f ca="1">IFERROR(OFFSET(Camp_List[Status],MATCH(Data_NFI_t[[#This Row],[Camp Name]],Camp_List[Camp Name],0)-1,0,1,1),"")</f>
        <v>Close</v>
      </c>
      <c r="AT448" s="105"/>
    </row>
    <row r="449" spans="1:46" s="78" customFormat="1" ht="19.5" customHeight="1" x14ac:dyDescent="0.25">
      <c r="A449" s="208">
        <f t="shared" si="6"/>
        <v>65.2</v>
      </c>
      <c r="B449" s="208">
        <f>YEAR(Data_NFI_t[[#This Row],[Distribution Date]])</f>
        <v>2012</v>
      </c>
      <c r="C449" s="744">
        <v>41234</v>
      </c>
      <c r="D449" s="402" t="s">
        <v>270</v>
      </c>
      <c r="E449" s="401"/>
      <c r="F449" s="402" t="s">
        <v>7</v>
      </c>
      <c r="G449" s="670" t="s">
        <v>941</v>
      </c>
      <c r="H449" s="670" t="s">
        <v>31</v>
      </c>
      <c r="I449" s="670"/>
      <c r="J449" s="670"/>
      <c r="K449" s="670"/>
      <c r="L449" s="42"/>
      <c r="M449" s="42"/>
      <c r="N449" s="42"/>
      <c r="O449" s="42">
        <v>140</v>
      </c>
      <c r="P449" s="42"/>
      <c r="Q449" s="42"/>
      <c r="R449" s="42"/>
      <c r="S449" s="42"/>
      <c r="T449" s="419"/>
      <c r="U449" s="42"/>
      <c r="V449" s="42"/>
      <c r="W449" s="42"/>
      <c r="X449" s="42"/>
      <c r="Y449" s="42"/>
      <c r="Z449" s="42"/>
      <c r="AA449" s="42"/>
      <c r="AB449" s="42"/>
      <c r="AC449" s="105">
        <f>IF(NFI_Expiration=1,IF($A449&lt;VLOOKUP(I$5,NFI,5,0),1,0)*Data_NFI_t[[#This Row],[Hygiene Kit]],0)</f>
        <v>0</v>
      </c>
      <c r="AD449" s="105">
        <f>IF(NFI_Expiration=1,IF($A449&lt;VLOOKUP(L$5,NFI,5,0),1,0)*Data_NFI_t[[#This Row],[NFI Core Kit]],0)</f>
        <v>0</v>
      </c>
      <c r="AE449" s="86">
        <f>IF(NFI_Expiration=1,IF($A449&lt;VLOOKUP(M$5,NFI,5,0),1,0)*Data_NFI_t[[#This Row],[Sanitary Kit]],0)</f>
        <v>0</v>
      </c>
      <c r="AF449" s="86">
        <f>IF(NFI_Expiration=1,IF($A449&lt;VLOOKUP(N$5,NFI,5,0),1,0)*Data_NFI_t[[#This Row],[Mosquito net]],0)</f>
        <v>0</v>
      </c>
      <c r="AG449" s="86">
        <f>IF(NFI_Expiration=1,IF($A449&lt;VLOOKUP(O$5,NFI,5,0),1,0)*Data_NFI_t[[#This Row],[Tarpaulin]],0)</f>
        <v>0</v>
      </c>
      <c r="AH449" s="86">
        <f>IF(NFI_Expiration=1,IF($A449&lt;VLOOKUP(P$5,NFI,5,0),1,0)*Data_NFI_t[[#This Row],[Blanket]],0)</f>
        <v>0</v>
      </c>
      <c r="AI449" s="86">
        <f>IF(NFI_Expiration=1,IF($A449&lt;VLOOKUP(Q$5,NFI,5,0),1,0)*Data_NFI_t[[#This Row],[Kitchen Set]],0)</f>
        <v>0</v>
      </c>
      <c r="AJ449" s="86">
        <f>IF(NFI_Expiration=1,IF($A449&lt;VLOOKUP(R$5,NFI,5,0),1,0)*Data_NFI_t[[#This Row],[Complementary Kit]],0)</f>
        <v>0</v>
      </c>
      <c r="AK449" s="86">
        <f>IF(NFI_Expiration=1,IF($A449&lt;VLOOKUP(S$5,NFI,5,0),1,0)*Data_NFI_t[[#This Row],[Plastic Bucket]],0)</f>
        <v>0</v>
      </c>
      <c r="AL449" s="86">
        <f>IF(NFI_Expiration=1,IF($A449&lt;VLOOKUP(T$5,NFI,5,0),1,0)*Data_NFI_t[[#This Row],[Jerry Can]],0)</f>
        <v>0</v>
      </c>
      <c r="AM449" s="105">
        <f>IF(NFI_Expiration=1,IF($A449&lt;VLOOKUP(U$5,NFI,5,0),1,0)*Data_NFI_t[[#This Row],[Plastic Mat]],0)*IF(Data_NFI_t[[#This Row],[Distribution Date]]&gt;"01-06-2015",1,2.5)</f>
        <v>0</v>
      </c>
      <c r="AN449" s="734">
        <f>IF(NFI_Expiration=1,IF($A449&lt;VLOOKUP(V$5,NFI,5,0),1,0)*Data_NFI_t[[#This Row],[Adult Clothes]],0)</f>
        <v>0</v>
      </c>
      <c r="AO449" s="105">
        <f>IF(NFI_Expiration=1,IF($A449&lt;VLOOKUP(W$5,NFI,5,0),1,0)*Data_NFI_t[[#This Row],[Children Clothes]],0)</f>
        <v>0</v>
      </c>
      <c r="AP449" s="105">
        <f>IF(NFI_Expiration=1,IF($A449&lt;VLOOKUP(X$5,NFI,5,0),1,0)*Data_NFI_t[[#This Row],[Sewing Kit]],0)</f>
        <v>0</v>
      </c>
      <c r="AQ449" s="734">
        <f>IF(NFI_Expiration=1,IF($A449&lt;VLOOKUP(X$5,NFI,5,0),1,0)*Data_NFI_t[[#This Row],[Solar Lantern]],0)</f>
        <v>0</v>
      </c>
      <c r="AR449" s="105" t="str">
        <f ca="1">IFERROR(OFFSET(Camp_List[P_Code],MATCH(Data_NFI_t[[#This Row],[Camp Name]],Camp_List[Camp Name],0)-1,0,1,1),"")</f>
        <v>MMR012CMP009</v>
      </c>
      <c r="AS449" s="421" t="str">
        <f ca="1">IFERROR(OFFSET(Camp_List[Status],MATCH(Data_NFI_t[[#This Row],[Camp Name]],Camp_List[Camp Name],0)-1,0,1,1),"")</f>
        <v>Returned</v>
      </c>
      <c r="AT449" s="105"/>
    </row>
    <row r="450" spans="1:46" s="78" customFormat="1" ht="19.5" customHeight="1" x14ac:dyDescent="0.25">
      <c r="A450" s="208">
        <f t="shared" si="6"/>
        <v>65.2</v>
      </c>
      <c r="B450" s="208">
        <f>YEAR(Data_NFI_t[[#This Row],[Distribution Date]])</f>
        <v>2012</v>
      </c>
      <c r="C450" s="744">
        <v>41234</v>
      </c>
      <c r="D450" s="402" t="s">
        <v>270</v>
      </c>
      <c r="E450" s="401"/>
      <c r="F450" s="402" t="s">
        <v>7</v>
      </c>
      <c r="G450" s="670" t="s">
        <v>11</v>
      </c>
      <c r="H450" s="670" t="s">
        <v>30</v>
      </c>
      <c r="I450" s="670"/>
      <c r="J450" s="670"/>
      <c r="K450" s="670"/>
      <c r="L450" s="42"/>
      <c r="M450" s="42"/>
      <c r="N450" s="42">
        <v>27</v>
      </c>
      <c r="O450" s="42">
        <v>2</v>
      </c>
      <c r="P450" s="42"/>
      <c r="Q450" s="42"/>
      <c r="R450" s="42"/>
      <c r="S450" s="42"/>
      <c r="T450" s="419"/>
      <c r="U450" s="42"/>
      <c r="V450" s="42"/>
      <c r="W450" s="42"/>
      <c r="X450" s="42"/>
      <c r="Y450" s="42"/>
      <c r="Z450" s="42"/>
      <c r="AA450" s="42"/>
      <c r="AB450" s="42"/>
      <c r="AC450" s="105">
        <f>IF(NFI_Expiration=1,IF($A450&lt;VLOOKUP(I$5,NFI,5,0),1,0)*Data_NFI_t[[#This Row],[Hygiene Kit]],0)</f>
        <v>0</v>
      </c>
      <c r="AD450" s="105">
        <f>IF(NFI_Expiration=1,IF($A450&lt;VLOOKUP(L$5,NFI,5,0),1,0)*Data_NFI_t[[#This Row],[NFI Core Kit]],0)</f>
        <v>0</v>
      </c>
      <c r="AE450" s="86">
        <f>IF(NFI_Expiration=1,IF($A450&lt;VLOOKUP(M$5,NFI,5,0),1,0)*Data_NFI_t[[#This Row],[Sanitary Kit]],0)</f>
        <v>0</v>
      </c>
      <c r="AF450" s="86">
        <f>IF(NFI_Expiration=1,IF($A450&lt;VLOOKUP(N$5,NFI,5,0),1,0)*Data_NFI_t[[#This Row],[Mosquito net]],0)</f>
        <v>0</v>
      </c>
      <c r="AG450" s="86">
        <f>IF(NFI_Expiration=1,IF($A450&lt;VLOOKUP(O$5,NFI,5,0),1,0)*Data_NFI_t[[#This Row],[Tarpaulin]],0)</f>
        <v>0</v>
      </c>
      <c r="AH450" s="86">
        <f>IF(NFI_Expiration=1,IF($A450&lt;VLOOKUP(P$5,NFI,5,0),1,0)*Data_NFI_t[[#This Row],[Blanket]],0)</f>
        <v>0</v>
      </c>
      <c r="AI450" s="86">
        <f>IF(NFI_Expiration=1,IF($A450&lt;VLOOKUP(Q$5,NFI,5,0),1,0)*Data_NFI_t[[#This Row],[Kitchen Set]],0)</f>
        <v>0</v>
      </c>
      <c r="AJ450" s="86">
        <f>IF(NFI_Expiration=1,IF($A450&lt;VLOOKUP(R$5,NFI,5,0),1,0)*Data_NFI_t[[#This Row],[Complementary Kit]],0)</f>
        <v>0</v>
      </c>
      <c r="AK450" s="86">
        <f>IF(NFI_Expiration=1,IF($A450&lt;VLOOKUP(S$5,NFI,5,0),1,0)*Data_NFI_t[[#This Row],[Plastic Bucket]],0)</f>
        <v>0</v>
      </c>
      <c r="AL450" s="86">
        <f>IF(NFI_Expiration=1,IF($A450&lt;VLOOKUP(T$5,NFI,5,0),1,0)*Data_NFI_t[[#This Row],[Jerry Can]],0)</f>
        <v>0</v>
      </c>
      <c r="AM450" s="105">
        <f>IF(NFI_Expiration=1,IF($A450&lt;VLOOKUP(U$5,NFI,5,0),1,0)*Data_NFI_t[[#This Row],[Plastic Mat]],0)*IF(Data_NFI_t[[#This Row],[Distribution Date]]&gt;"01-06-2015",1,2.5)</f>
        <v>0</v>
      </c>
      <c r="AN450" s="734">
        <f>IF(NFI_Expiration=1,IF($A450&lt;VLOOKUP(V$5,NFI,5,0),1,0)*Data_NFI_t[[#This Row],[Adult Clothes]],0)</f>
        <v>0</v>
      </c>
      <c r="AO450" s="105">
        <f>IF(NFI_Expiration=1,IF($A450&lt;VLOOKUP(W$5,NFI,5,0),1,0)*Data_NFI_t[[#This Row],[Children Clothes]],0)</f>
        <v>0</v>
      </c>
      <c r="AP450" s="105">
        <f>IF(NFI_Expiration=1,IF($A450&lt;VLOOKUP(X$5,NFI,5,0),1,0)*Data_NFI_t[[#This Row],[Sewing Kit]],0)</f>
        <v>0</v>
      </c>
      <c r="AQ450" s="734">
        <f>IF(NFI_Expiration=1,IF($A450&lt;VLOOKUP(X$5,NFI,5,0),1,0)*Data_NFI_t[[#This Row],[Solar Lantern]],0)</f>
        <v>0</v>
      </c>
      <c r="AR450" s="105" t="str">
        <f ca="1">IFERROR(OFFSET(Camp_List[P_Code],MATCH(Data_NFI_t[[#This Row],[Camp Name]],Camp_List[Camp Name],0)-1,0,1,1),"")</f>
        <v>MMR012CMP008</v>
      </c>
      <c r="AS450" s="421" t="str">
        <f ca="1">IFERROR(OFFSET(Camp_List[Status],MATCH(Data_NFI_t[[#This Row],[Camp Name]],Camp_List[Camp Name],0)-1,0,1,1),"")</f>
        <v>Returned</v>
      </c>
      <c r="AT450" s="105"/>
    </row>
    <row r="451" spans="1:46" s="78" customFormat="1" ht="19.5" customHeight="1" x14ac:dyDescent="0.25">
      <c r="A451" s="208">
        <f t="shared" si="6"/>
        <v>65.2</v>
      </c>
      <c r="B451" s="208">
        <f>YEAR(Data_NFI_t[[#This Row],[Distribution Date]])</f>
        <v>2012</v>
      </c>
      <c r="C451" s="744">
        <v>41234</v>
      </c>
      <c r="D451" s="402" t="s">
        <v>270</v>
      </c>
      <c r="E451" s="401"/>
      <c r="F451" s="402" t="s">
        <v>7</v>
      </c>
      <c r="G451" s="670" t="s">
        <v>11</v>
      </c>
      <c r="H451" s="670" t="s">
        <v>25</v>
      </c>
      <c r="I451" s="670"/>
      <c r="J451" s="670"/>
      <c r="K451" s="670"/>
      <c r="L451" s="42"/>
      <c r="M451" s="42"/>
      <c r="N451" s="42">
        <v>172</v>
      </c>
      <c r="O451" s="42">
        <v>10</v>
      </c>
      <c r="P451" s="42">
        <v>172</v>
      </c>
      <c r="Q451" s="42"/>
      <c r="R451" s="42"/>
      <c r="S451" s="42"/>
      <c r="T451" s="419"/>
      <c r="U451" s="42"/>
      <c r="V451" s="42"/>
      <c r="W451" s="42"/>
      <c r="X451" s="42"/>
      <c r="Y451" s="42"/>
      <c r="Z451" s="42"/>
      <c r="AA451" s="42"/>
      <c r="AB451" s="42"/>
      <c r="AC451" s="105">
        <f>IF(NFI_Expiration=1,IF($A451&lt;VLOOKUP(I$5,NFI,5,0),1,0)*Data_NFI_t[[#This Row],[Hygiene Kit]],0)</f>
        <v>0</v>
      </c>
      <c r="AD451" s="105">
        <f>IF(NFI_Expiration=1,IF($A451&lt;VLOOKUP(L$5,NFI,5,0),1,0)*Data_NFI_t[[#This Row],[NFI Core Kit]],0)</f>
        <v>0</v>
      </c>
      <c r="AE451" s="86">
        <f>IF(NFI_Expiration=1,IF($A451&lt;VLOOKUP(M$5,NFI,5,0),1,0)*Data_NFI_t[[#This Row],[Sanitary Kit]],0)</f>
        <v>0</v>
      </c>
      <c r="AF451" s="86">
        <f>IF(NFI_Expiration=1,IF($A451&lt;VLOOKUP(N$5,NFI,5,0),1,0)*Data_NFI_t[[#This Row],[Mosquito net]],0)</f>
        <v>0</v>
      </c>
      <c r="AG451" s="86">
        <f>IF(NFI_Expiration=1,IF($A451&lt;VLOOKUP(O$5,NFI,5,0),1,0)*Data_NFI_t[[#This Row],[Tarpaulin]],0)</f>
        <v>0</v>
      </c>
      <c r="AH451" s="86">
        <f>IF(NFI_Expiration=1,IF($A451&lt;VLOOKUP(P$5,NFI,5,0),1,0)*Data_NFI_t[[#This Row],[Blanket]],0)</f>
        <v>0</v>
      </c>
      <c r="AI451" s="86">
        <f>IF(NFI_Expiration=1,IF($A451&lt;VLOOKUP(Q$5,NFI,5,0),1,0)*Data_NFI_t[[#This Row],[Kitchen Set]],0)</f>
        <v>0</v>
      </c>
      <c r="AJ451" s="86">
        <f>IF(NFI_Expiration=1,IF($A451&lt;VLOOKUP(R$5,NFI,5,0),1,0)*Data_NFI_t[[#This Row],[Complementary Kit]],0)</f>
        <v>0</v>
      </c>
      <c r="AK451" s="86">
        <f>IF(NFI_Expiration=1,IF($A451&lt;VLOOKUP(S$5,NFI,5,0),1,0)*Data_NFI_t[[#This Row],[Plastic Bucket]],0)</f>
        <v>0</v>
      </c>
      <c r="AL451" s="86">
        <f>IF(NFI_Expiration=1,IF($A451&lt;VLOOKUP(T$5,NFI,5,0),1,0)*Data_NFI_t[[#This Row],[Jerry Can]],0)</f>
        <v>0</v>
      </c>
      <c r="AM451" s="105">
        <f>IF(NFI_Expiration=1,IF($A451&lt;VLOOKUP(U$5,NFI,5,0),1,0)*Data_NFI_t[[#This Row],[Plastic Mat]],0)*IF(Data_NFI_t[[#This Row],[Distribution Date]]&gt;"01-06-2015",1,2.5)</f>
        <v>0</v>
      </c>
      <c r="AN451" s="734">
        <f>IF(NFI_Expiration=1,IF($A451&lt;VLOOKUP(V$5,NFI,5,0),1,0)*Data_NFI_t[[#This Row],[Adult Clothes]],0)</f>
        <v>0</v>
      </c>
      <c r="AO451" s="105">
        <f>IF(NFI_Expiration=1,IF($A451&lt;VLOOKUP(W$5,NFI,5,0),1,0)*Data_NFI_t[[#This Row],[Children Clothes]],0)</f>
        <v>0</v>
      </c>
      <c r="AP451" s="105">
        <f>IF(NFI_Expiration=1,IF($A451&lt;VLOOKUP(X$5,NFI,5,0),1,0)*Data_NFI_t[[#This Row],[Sewing Kit]],0)</f>
        <v>0</v>
      </c>
      <c r="AQ451" s="734">
        <f>IF(NFI_Expiration=1,IF($A451&lt;VLOOKUP(X$5,NFI,5,0),1,0)*Data_NFI_t[[#This Row],[Solar Lantern]],0)</f>
        <v>0</v>
      </c>
      <c r="AR451" s="105" t="str">
        <f ca="1">IFERROR(OFFSET(Camp_List[P_Code],MATCH(Data_NFI_t[[#This Row],[Camp Name]],Camp_List[Camp Name],0)-1,0,1,1),"")</f>
        <v>MMR012CMP003</v>
      </c>
      <c r="AS451" s="421" t="str">
        <f ca="1">IFERROR(OFFSET(Camp_List[Status],MATCH(Data_NFI_t[[#This Row],[Camp Name]],Camp_List[Camp Name],0)-1,0,1,1),"")</f>
        <v>Returned</v>
      </c>
      <c r="AT451" s="105"/>
    </row>
    <row r="452" spans="1:46" s="78" customFormat="1" ht="19.5" customHeight="1" x14ac:dyDescent="0.25">
      <c r="A452" s="208">
        <f t="shared" si="6"/>
        <v>65.2</v>
      </c>
      <c r="B452" s="208">
        <f>YEAR(Data_NFI_t[[#This Row],[Distribution Date]])</f>
        <v>2012</v>
      </c>
      <c r="C452" s="744">
        <v>41234</v>
      </c>
      <c r="D452" s="402" t="s">
        <v>270</v>
      </c>
      <c r="E452" s="401"/>
      <c r="F452" s="402" t="s">
        <v>7</v>
      </c>
      <c r="G452" s="670" t="s">
        <v>11</v>
      </c>
      <c r="H452" s="670" t="s">
        <v>24</v>
      </c>
      <c r="I452" s="670"/>
      <c r="J452" s="670"/>
      <c r="K452" s="670"/>
      <c r="L452" s="42"/>
      <c r="M452" s="42"/>
      <c r="N452" s="42"/>
      <c r="O452" s="42">
        <v>145</v>
      </c>
      <c r="P452" s="42"/>
      <c r="Q452" s="42"/>
      <c r="R452" s="42"/>
      <c r="S452" s="42"/>
      <c r="T452" s="419"/>
      <c r="U452" s="42"/>
      <c r="V452" s="42"/>
      <c r="W452" s="42"/>
      <c r="X452" s="42"/>
      <c r="Y452" s="42"/>
      <c r="Z452" s="42"/>
      <c r="AA452" s="42"/>
      <c r="AB452" s="42"/>
      <c r="AC452" s="105">
        <f>IF(NFI_Expiration=1,IF($A452&lt;VLOOKUP(I$5,NFI,5,0),1,0)*Data_NFI_t[[#This Row],[Hygiene Kit]],0)</f>
        <v>0</v>
      </c>
      <c r="AD452" s="105">
        <f>IF(NFI_Expiration=1,IF($A452&lt;VLOOKUP(L$5,NFI,5,0),1,0)*Data_NFI_t[[#This Row],[NFI Core Kit]],0)</f>
        <v>0</v>
      </c>
      <c r="AE452" s="86">
        <f>IF(NFI_Expiration=1,IF($A452&lt;VLOOKUP(M$5,NFI,5,0),1,0)*Data_NFI_t[[#This Row],[Sanitary Kit]],0)</f>
        <v>0</v>
      </c>
      <c r="AF452" s="86">
        <f>IF(NFI_Expiration=1,IF($A452&lt;VLOOKUP(N$5,NFI,5,0),1,0)*Data_NFI_t[[#This Row],[Mosquito net]],0)</f>
        <v>0</v>
      </c>
      <c r="AG452" s="86">
        <f>IF(NFI_Expiration=1,IF($A452&lt;VLOOKUP(O$5,NFI,5,0),1,0)*Data_NFI_t[[#This Row],[Tarpaulin]],0)</f>
        <v>0</v>
      </c>
      <c r="AH452" s="86">
        <f>IF(NFI_Expiration=1,IF($A452&lt;VLOOKUP(P$5,NFI,5,0),1,0)*Data_NFI_t[[#This Row],[Blanket]],0)</f>
        <v>0</v>
      </c>
      <c r="AI452" s="86">
        <f>IF(NFI_Expiration=1,IF($A452&lt;VLOOKUP(Q$5,NFI,5,0),1,0)*Data_NFI_t[[#This Row],[Kitchen Set]],0)</f>
        <v>0</v>
      </c>
      <c r="AJ452" s="86">
        <f>IF(NFI_Expiration=1,IF($A452&lt;VLOOKUP(R$5,NFI,5,0),1,0)*Data_NFI_t[[#This Row],[Complementary Kit]],0)</f>
        <v>0</v>
      </c>
      <c r="AK452" s="86">
        <f>IF(NFI_Expiration=1,IF($A452&lt;VLOOKUP(S$5,NFI,5,0),1,0)*Data_NFI_t[[#This Row],[Plastic Bucket]],0)</f>
        <v>0</v>
      </c>
      <c r="AL452" s="86">
        <f>IF(NFI_Expiration=1,IF($A452&lt;VLOOKUP(T$5,NFI,5,0),1,0)*Data_NFI_t[[#This Row],[Jerry Can]],0)</f>
        <v>0</v>
      </c>
      <c r="AM452" s="105">
        <f>IF(NFI_Expiration=1,IF($A452&lt;VLOOKUP(U$5,NFI,5,0),1,0)*Data_NFI_t[[#This Row],[Plastic Mat]],0)*IF(Data_NFI_t[[#This Row],[Distribution Date]]&gt;"01-06-2015",1,2.5)</f>
        <v>0</v>
      </c>
      <c r="AN452" s="734">
        <f>IF(NFI_Expiration=1,IF($A452&lt;VLOOKUP(V$5,NFI,5,0),1,0)*Data_NFI_t[[#This Row],[Adult Clothes]],0)</f>
        <v>0</v>
      </c>
      <c r="AO452" s="105">
        <f>IF(NFI_Expiration=1,IF($A452&lt;VLOOKUP(W$5,NFI,5,0),1,0)*Data_NFI_t[[#This Row],[Children Clothes]],0)</f>
        <v>0</v>
      </c>
      <c r="AP452" s="105">
        <f>IF(NFI_Expiration=1,IF($A452&lt;VLOOKUP(X$5,NFI,5,0),1,0)*Data_NFI_t[[#This Row],[Sewing Kit]],0)</f>
        <v>0</v>
      </c>
      <c r="AQ452" s="734">
        <f>IF(NFI_Expiration=1,IF($A452&lt;VLOOKUP(X$5,NFI,5,0),1,0)*Data_NFI_t[[#This Row],[Solar Lantern]],0)</f>
        <v>0</v>
      </c>
      <c r="AR452" s="105" t="str">
        <f ca="1">IFERROR(OFFSET(Camp_List[P_Code],MATCH(Data_NFI_t[[#This Row],[Camp Name]],Camp_List[Camp Name],0)-1,0,1,1),"")</f>
        <v>MMR012CMP002</v>
      </c>
      <c r="AS452" s="421" t="str">
        <f ca="1">IFERROR(OFFSET(Camp_List[Status],MATCH(Data_NFI_t[[#This Row],[Camp Name]],Camp_List[Camp Name],0)-1,0,1,1),"")</f>
        <v>Returned</v>
      </c>
      <c r="AT452" s="105"/>
    </row>
    <row r="453" spans="1:46" s="78" customFormat="1" ht="19.5" customHeight="1" x14ac:dyDescent="0.25">
      <c r="A453" s="208">
        <f t="shared" si="6"/>
        <v>65.2</v>
      </c>
      <c r="B453" s="208">
        <f>YEAR(Data_NFI_t[[#This Row],[Distribution Date]])</f>
        <v>2012</v>
      </c>
      <c r="C453" s="744">
        <v>41234</v>
      </c>
      <c r="D453" s="402" t="s">
        <v>270</v>
      </c>
      <c r="E453" s="401"/>
      <c r="F453" s="402" t="s">
        <v>7</v>
      </c>
      <c r="G453" s="670" t="s">
        <v>941</v>
      </c>
      <c r="H453" s="670" t="s">
        <v>32</v>
      </c>
      <c r="I453" s="670"/>
      <c r="J453" s="670"/>
      <c r="K453" s="670"/>
      <c r="L453" s="42"/>
      <c r="M453" s="42"/>
      <c r="N453" s="42"/>
      <c r="O453" s="42">
        <v>83</v>
      </c>
      <c r="P453" s="42"/>
      <c r="Q453" s="42"/>
      <c r="R453" s="42"/>
      <c r="S453" s="42"/>
      <c r="T453" s="419"/>
      <c r="U453" s="42"/>
      <c r="V453" s="42"/>
      <c r="W453" s="42"/>
      <c r="X453" s="42"/>
      <c r="Y453" s="42"/>
      <c r="Z453" s="42"/>
      <c r="AA453" s="42"/>
      <c r="AB453" s="42"/>
      <c r="AC453" s="105">
        <f>IF(NFI_Expiration=1,IF($A453&lt;VLOOKUP(I$5,NFI,5,0),1,0)*Data_NFI_t[[#This Row],[Hygiene Kit]],0)</f>
        <v>0</v>
      </c>
      <c r="AD453" s="105">
        <f>IF(NFI_Expiration=1,IF($A453&lt;VLOOKUP(L$5,NFI,5,0),1,0)*Data_NFI_t[[#This Row],[NFI Core Kit]],0)</f>
        <v>0</v>
      </c>
      <c r="AE453" s="86">
        <f>IF(NFI_Expiration=1,IF($A453&lt;VLOOKUP(M$5,NFI,5,0),1,0)*Data_NFI_t[[#This Row],[Sanitary Kit]],0)</f>
        <v>0</v>
      </c>
      <c r="AF453" s="86">
        <f>IF(NFI_Expiration=1,IF($A453&lt;VLOOKUP(N$5,NFI,5,0),1,0)*Data_NFI_t[[#This Row],[Mosquito net]],0)</f>
        <v>0</v>
      </c>
      <c r="AG453" s="86">
        <f>IF(NFI_Expiration=1,IF($A453&lt;VLOOKUP(O$5,NFI,5,0),1,0)*Data_NFI_t[[#This Row],[Tarpaulin]],0)</f>
        <v>0</v>
      </c>
      <c r="AH453" s="86">
        <f>IF(NFI_Expiration=1,IF($A453&lt;VLOOKUP(P$5,NFI,5,0),1,0)*Data_NFI_t[[#This Row],[Blanket]],0)</f>
        <v>0</v>
      </c>
      <c r="AI453" s="86">
        <f>IF(NFI_Expiration=1,IF($A453&lt;VLOOKUP(Q$5,NFI,5,0),1,0)*Data_NFI_t[[#This Row],[Kitchen Set]],0)</f>
        <v>0</v>
      </c>
      <c r="AJ453" s="86">
        <f>IF(NFI_Expiration=1,IF($A453&lt;VLOOKUP(R$5,NFI,5,0),1,0)*Data_NFI_t[[#This Row],[Complementary Kit]],0)</f>
        <v>0</v>
      </c>
      <c r="AK453" s="86">
        <f>IF(NFI_Expiration=1,IF($A453&lt;VLOOKUP(S$5,NFI,5,0),1,0)*Data_NFI_t[[#This Row],[Plastic Bucket]],0)</f>
        <v>0</v>
      </c>
      <c r="AL453" s="86">
        <f>IF(NFI_Expiration=1,IF($A453&lt;VLOOKUP(T$5,NFI,5,0),1,0)*Data_NFI_t[[#This Row],[Jerry Can]],0)</f>
        <v>0</v>
      </c>
      <c r="AM453" s="105">
        <f>IF(NFI_Expiration=1,IF($A453&lt;VLOOKUP(U$5,NFI,5,0),1,0)*Data_NFI_t[[#This Row],[Plastic Mat]],0)*IF(Data_NFI_t[[#This Row],[Distribution Date]]&gt;"01-06-2015",1,2.5)</f>
        <v>0</v>
      </c>
      <c r="AN453" s="734">
        <f>IF(NFI_Expiration=1,IF($A453&lt;VLOOKUP(V$5,NFI,5,0),1,0)*Data_NFI_t[[#This Row],[Adult Clothes]],0)</f>
        <v>0</v>
      </c>
      <c r="AO453" s="105">
        <f>IF(NFI_Expiration=1,IF($A453&lt;VLOOKUP(W$5,NFI,5,0),1,0)*Data_NFI_t[[#This Row],[Children Clothes]],0)</f>
        <v>0</v>
      </c>
      <c r="AP453" s="105">
        <f>IF(NFI_Expiration=1,IF($A453&lt;VLOOKUP(X$5,NFI,5,0),1,0)*Data_NFI_t[[#This Row],[Sewing Kit]],0)</f>
        <v>0</v>
      </c>
      <c r="AQ453" s="734">
        <f>IF(NFI_Expiration=1,IF($A453&lt;VLOOKUP(X$5,NFI,5,0),1,0)*Data_NFI_t[[#This Row],[Solar Lantern]],0)</f>
        <v>0</v>
      </c>
      <c r="AR453" s="105" t="str">
        <f ca="1">IFERROR(OFFSET(Camp_List[P_Code],MATCH(Data_NFI_t[[#This Row],[Camp Name]],Camp_List[Camp Name],0)-1,0,1,1),"")</f>
        <v>MMR012CMP010</v>
      </c>
      <c r="AS453" s="421" t="str">
        <f ca="1">IFERROR(OFFSET(Camp_List[Status],MATCH(Data_NFI_t[[#This Row],[Camp Name]],Camp_List[Camp Name],0)-1,0,1,1),"")</f>
        <v>Returned</v>
      </c>
      <c r="AT453" s="105"/>
    </row>
    <row r="454" spans="1:46" s="78" customFormat="1" ht="19.5" customHeight="1" x14ac:dyDescent="0.25">
      <c r="A454" s="208">
        <f t="shared" ref="A454:A517" si="7">IF(ISBLANK(C454),"",(Report_Date-C454)/30)</f>
        <v>65.266666666666666</v>
      </c>
      <c r="B454" s="208">
        <f>YEAR(Data_NFI_t[[#This Row],[Distribution Date]])</f>
        <v>2012</v>
      </c>
      <c r="C454" s="744">
        <v>41232</v>
      </c>
      <c r="D454" s="402" t="s">
        <v>270</v>
      </c>
      <c r="E454" s="401"/>
      <c r="F454" s="402" t="s">
        <v>7</v>
      </c>
      <c r="G454" s="670" t="s">
        <v>13</v>
      </c>
      <c r="H454" s="670" t="s">
        <v>38</v>
      </c>
      <c r="I454" s="670"/>
      <c r="J454" s="670"/>
      <c r="K454" s="670"/>
      <c r="L454" s="42"/>
      <c r="M454" s="42"/>
      <c r="N454" s="42"/>
      <c r="O454" s="42">
        <v>458</v>
      </c>
      <c r="P454" s="42">
        <v>148</v>
      </c>
      <c r="Q454" s="42"/>
      <c r="R454" s="42"/>
      <c r="S454" s="42"/>
      <c r="T454" s="419"/>
      <c r="U454" s="42"/>
      <c r="V454" s="42"/>
      <c r="W454" s="42"/>
      <c r="X454" s="42"/>
      <c r="Y454" s="42"/>
      <c r="Z454" s="42"/>
      <c r="AA454" s="42"/>
      <c r="AB454" s="42"/>
      <c r="AC454" s="105">
        <f>IF(NFI_Expiration=1,IF($A454&lt;VLOOKUP(I$5,NFI,5,0),1,0)*Data_NFI_t[[#This Row],[Hygiene Kit]],0)</f>
        <v>0</v>
      </c>
      <c r="AD454" s="105">
        <f>IF(NFI_Expiration=1,IF($A454&lt;VLOOKUP(L$5,NFI,5,0),1,0)*Data_NFI_t[[#This Row],[NFI Core Kit]],0)</f>
        <v>0</v>
      </c>
      <c r="AE454" s="86">
        <f>IF(NFI_Expiration=1,IF($A454&lt;VLOOKUP(M$5,NFI,5,0),1,0)*Data_NFI_t[[#This Row],[Sanitary Kit]],0)</f>
        <v>0</v>
      </c>
      <c r="AF454" s="86">
        <f>IF(NFI_Expiration=1,IF($A454&lt;VLOOKUP(N$5,NFI,5,0),1,0)*Data_NFI_t[[#This Row],[Mosquito net]],0)</f>
        <v>0</v>
      </c>
      <c r="AG454" s="86">
        <f>IF(NFI_Expiration=1,IF($A454&lt;VLOOKUP(O$5,NFI,5,0),1,0)*Data_NFI_t[[#This Row],[Tarpaulin]],0)</f>
        <v>0</v>
      </c>
      <c r="AH454" s="86">
        <f>IF(NFI_Expiration=1,IF($A454&lt;VLOOKUP(P$5,NFI,5,0),1,0)*Data_NFI_t[[#This Row],[Blanket]],0)</f>
        <v>0</v>
      </c>
      <c r="AI454" s="86">
        <f>IF(NFI_Expiration=1,IF($A454&lt;VLOOKUP(Q$5,NFI,5,0),1,0)*Data_NFI_t[[#This Row],[Kitchen Set]],0)</f>
        <v>0</v>
      </c>
      <c r="AJ454" s="86">
        <f>IF(NFI_Expiration=1,IF($A454&lt;VLOOKUP(R$5,NFI,5,0),1,0)*Data_NFI_t[[#This Row],[Complementary Kit]],0)</f>
        <v>0</v>
      </c>
      <c r="AK454" s="86">
        <f>IF(NFI_Expiration=1,IF($A454&lt;VLOOKUP(S$5,NFI,5,0),1,0)*Data_NFI_t[[#This Row],[Plastic Bucket]],0)</f>
        <v>0</v>
      </c>
      <c r="AL454" s="86">
        <f>IF(NFI_Expiration=1,IF($A454&lt;VLOOKUP(T$5,NFI,5,0),1,0)*Data_NFI_t[[#This Row],[Jerry Can]],0)</f>
        <v>0</v>
      </c>
      <c r="AM454" s="105">
        <f>IF(NFI_Expiration=1,IF($A454&lt;VLOOKUP(U$5,NFI,5,0),1,0)*Data_NFI_t[[#This Row],[Plastic Mat]],0)*IF(Data_NFI_t[[#This Row],[Distribution Date]]&gt;"01-06-2015",1,2.5)</f>
        <v>0</v>
      </c>
      <c r="AN454" s="734">
        <f>IF(NFI_Expiration=1,IF($A454&lt;VLOOKUP(V$5,NFI,5,0),1,0)*Data_NFI_t[[#This Row],[Adult Clothes]],0)</f>
        <v>0</v>
      </c>
      <c r="AO454" s="105">
        <f>IF(NFI_Expiration=1,IF($A454&lt;VLOOKUP(W$5,NFI,5,0),1,0)*Data_NFI_t[[#This Row],[Children Clothes]],0)</f>
        <v>0</v>
      </c>
      <c r="AP454" s="105">
        <f>IF(NFI_Expiration=1,IF($A454&lt;VLOOKUP(X$5,NFI,5,0),1,0)*Data_NFI_t[[#This Row],[Sewing Kit]],0)</f>
        <v>0</v>
      </c>
      <c r="AQ454" s="734">
        <f>IF(NFI_Expiration=1,IF($A454&lt;VLOOKUP(X$5,NFI,5,0),1,0)*Data_NFI_t[[#This Row],[Solar Lantern]],0)</f>
        <v>0</v>
      </c>
      <c r="AR454" s="105" t="str">
        <f ca="1">IFERROR(OFFSET(Camp_List[P_Code],MATCH(Data_NFI_t[[#This Row],[Camp Name]],Camp_List[Camp Name],0)-1,0,1,1),"")</f>
        <v>MMR012CMP016</v>
      </c>
      <c r="AS454" s="421" t="str">
        <f ca="1">IFERROR(OFFSET(Camp_List[Status],MATCH(Data_NFI_t[[#This Row],[Camp Name]],Camp_List[Camp Name],0)-1,0,1,1),"")</f>
        <v>Open</v>
      </c>
      <c r="AT454" s="105"/>
    </row>
    <row r="455" spans="1:46" s="78" customFormat="1" ht="19.5" customHeight="1" x14ac:dyDescent="0.25">
      <c r="A455" s="208">
        <f t="shared" si="7"/>
        <v>65.266666666666666</v>
      </c>
      <c r="B455" s="208">
        <f>YEAR(Data_NFI_t[[#This Row],[Distribution Date]])</f>
        <v>2012</v>
      </c>
      <c r="C455" s="744">
        <v>41232</v>
      </c>
      <c r="D455" s="402" t="s">
        <v>270</v>
      </c>
      <c r="E455" s="401"/>
      <c r="F455" s="402" t="s">
        <v>7</v>
      </c>
      <c r="G455" s="670" t="s">
        <v>13</v>
      </c>
      <c r="H455" s="670" t="s">
        <v>40</v>
      </c>
      <c r="I455" s="670"/>
      <c r="J455" s="670"/>
      <c r="K455" s="670"/>
      <c r="L455" s="42"/>
      <c r="M455" s="42"/>
      <c r="N455" s="42">
        <v>769</v>
      </c>
      <c r="O455" s="42">
        <v>369</v>
      </c>
      <c r="P455" s="42">
        <v>1538</v>
      </c>
      <c r="Q455" s="42">
        <v>769</v>
      </c>
      <c r="R455" s="42"/>
      <c r="S455" s="42"/>
      <c r="T455" s="419"/>
      <c r="U455" s="42"/>
      <c r="V455" s="42"/>
      <c r="W455" s="42"/>
      <c r="X455" s="42"/>
      <c r="Y455" s="42"/>
      <c r="Z455" s="42"/>
      <c r="AA455" s="42"/>
      <c r="AB455" s="42"/>
      <c r="AC455" s="105">
        <f>IF(NFI_Expiration=1,IF($A455&lt;VLOOKUP(I$5,NFI,5,0),1,0)*Data_NFI_t[[#This Row],[Hygiene Kit]],0)</f>
        <v>0</v>
      </c>
      <c r="AD455" s="105">
        <f>IF(NFI_Expiration=1,IF($A455&lt;VLOOKUP(L$5,NFI,5,0),1,0)*Data_NFI_t[[#This Row],[NFI Core Kit]],0)</f>
        <v>0</v>
      </c>
      <c r="AE455" s="86">
        <f>IF(NFI_Expiration=1,IF($A455&lt;VLOOKUP(M$5,NFI,5,0),1,0)*Data_NFI_t[[#This Row],[Sanitary Kit]],0)</f>
        <v>0</v>
      </c>
      <c r="AF455" s="86">
        <f>IF(NFI_Expiration=1,IF($A455&lt;VLOOKUP(N$5,NFI,5,0),1,0)*Data_NFI_t[[#This Row],[Mosquito net]],0)</f>
        <v>0</v>
      </c>
      <c r="AG455" s="86">
        <f>IF(NFI_Expiration=1,IF($A455&lt;VLOOKUP(O$5,NFI,5,0),1,0)*Data_NFI_t[[#This Row],[Tarpaulin]],0)</f>
        <v>0</v>
      </c>
      <c r="AH455" s="86">
        <f>IF(NFI_Expiration=1,IF($A455&lt;VLOOKUP(P$5,NFI,5,0),1,0)*Data_NFI_t[[#This Row],[Blanket]],0)</f>
        <v>0</v>
      </c>
      <c r="AI455" s="86">
        <f>IF(NFI_Expiration=1,IF($A455&lt;VLOOKUP(Q$5,NFI,5,0),1,0)*Data_NFI_t[[#This Row],[Kitchen Set]],0)</f>
        <v>0</v>
      </c>
      <c r="AJ455" s="86">
        <f>IF(NFI_Expiration=1,IF($A455&lt;VLOOKUP(R$5,NFI,5,0),1,0)*Data_NFI_t[[#This Row],[Complementary Kit]],0)</f>
        <v>0</v>
      </c>
      <c r="AK455" s="86">
        <f>IF(NFI_Expiration=1,IF($A455&lt;VLOOKUP(S$5,NFI,5,0),1,0)*Data_NFI_t[[#This Row],[Plastic Bucket]],0)</f>
        <v>0</v>
      </c>
      <c r="AL455" s="86">
        <f>IF(NFI_Expiration=1,IF($A455&lt;VLOOKUP(T$5,NFI,5,0),1,0)*Data_NFI_t[[#This Row],[Jerry Can]],0)</f>
        <v>0</v>
      </c>
      <c r="AM455" s="105">
        <f>IF(NFI_Expiration=1,IF($A455&lt;VLOOKUP(U$5,NFI,5,0),1,0)*Data_NFI_t[[#This Row],[Plastic Mat]],0)*IF(Data_NFI_t[[#This Row],[Distribution Date]]&gt;"01-06-2015",1,2.5)</f>
        <v>0</v>
      </c>
      <c r="AN455" s="734">
        <f>IF(NFI_Expiration=1,IF($A455&lt;VLOOKUP(V$5,NFI,5,0),1,0)*Data_NFI_t[[#This Row],[Adult Clothes]],0)</f>
        <v>0</v>
      </c>
      <c r="AO455" s="105">
        <f>IF(NFI_Expiration=1,IF($A455&lt;VLOOKUP(W$5,NFI,5,0),1,0)*Data_NFI_t[[#This Row],[Children Clothes]],0)</f>
        <v>0</v>
      </c>
      <c r="AP455" s="105">
        <f>IF(NFI_Expiration=1,IF($A455&lt;VLOOKUP(X$5,NFI,5,0),1,0)*Data_NFI_t[[#This Row],[Sewing Kit]],0)</f>
        <v>0</v>
      </c>
      <c r="AQ455" s="734">
        <f>IF(NFI_Expiration=1,IF($A455&lt;VLOOKUP(X$5,NFI,5,0),1,0)*Data_NFI_t[[#This Row],[Solar Lantern]],0)</f>
        <v>0</v>
      </c>
      <c r="AR455" s="105" t="str">
        <f ca="1">IFERROR(OFFSET(Camp_List[P_Code],MATCH(Data_NFI_t[[#This Row],[Camp Name]],Camp_List[Camp Name],0)-1,0,1,1),"")</f>
        <v>MMR012CMP018</v>
      </c>
      <c r="AS455" s="421" t="str">
        <f ca="1">IFERROR(OFFSET(Camp_List[Status],MATCH(Data_NFI_t[[#This Row],[Camp Name]],Camp_List[Camp Name],0)-1,0,1,1),"")</f>
        <v>Open</v>
      </c>
      <c r="AT455" s="105"/>
    </row>
    <row r="456" spans="1:46" s="78" customFormat="1" ht="19.5" customHeight="1" x14ac:dyDescent="0.25">
      <c r="A456" s="208">
        <f t="shared" si="7"/>
        <v>65.266666666666666</v>
      </c>
      <c r="B456" s="208">
        <f>YEAR(Data_NFI_t[[#This Row],[Distribution Date]])</f>
        <v>2012</v>
      </c>
      <c r="C456" s="744">
        <v>41232</v>
      </c>
      <c r="D456" s="402" t="s">
        <v>270</v>
      </c>
      <c r="E456" s="401"/>
      <c r="F456" s="402" t="s">
        <v>7</v>
      </c>
      <c r="G456" s="670" t="s">
        <v>13</v>
      </c>
      <c r="H456" s="670" t="s">
        <v>39</v>
      </c>
      <c r="I456" s="670"/>
      <c r="J456" s="670"/>
      <c r="K456" s="670"/>
      <c r="L456" s="42"/>
      <c r="M456" s="42"/>
      <c r="N456" s="42">
        <v>1306</v>
      </c>
      <c r="O456" s="42">
        <v>506</v>
      </c>
      <c r="P456" s="42">
        <v>1306</v>
      </c>
      <c r="Q456" s="42">
        <v>1306</v>
      </c>
      <c r="R456" s="42"/>
      <c r="S456" s="42"/>
      <c r="T456" s="419"/>
      <c r="U456" s="42"/>
      <c r="V456" s="42"/>
      <c r="W456" s="42"/>
      <c r="X456" s="42"/>
      <c r="Y456" s="42"/>
      <c r="Z456" s="42"/>
      <c r="AA456" s="42"/>
      <c r="AB456" s="42"/>
      <c r="AC456" s="105">
        <f>IF(NFI_Expiration=1,IF($A456&lt;VLOOKUP(I$5,NFI,5,0),1,0)*Data_NFI_t[[#This Row],[Hygiene Kit]],0)</f>
        <v>0</v>
      </c>
      <c r="AD456" s="105">
        <f>IF(NFI_Expiration=1,IF($A456&lt;VLOOKUP(L$5,NFI,5,0),1,0)*Data_NFI_t[[#This Row],[NFI Core Kit]],0)</f>
        <v>0</v>
      </c>
      <c r="AE456" s="86">
        <f>IF(NFI_Expiration=1,IF($A456&lt;VLOOKUP(M$5,NFI,5,0),1,0)*Data_NFI_t[[#This Row],[Sanitary Kit]],0)</f>
        <v>0</v>
      </c>
      <c r="AF456" s="86">
        <f>IF(NFI_Expiration=1,IF($A456&lt;VLOOKUP(N$5,NFI,5,0),1,0)*Data_NFI_t[[#This Row],[Mosquito net]],0)</f>
        <v>0</v>
      </c>
      <c r="AG456" s="86">
        <f>IF(NFI_Expiration=1,IF($A456&lt;VLOOKUP(O$5,NFI,5,0),1,0)*Data_NFI_t[[#This Row],[Tarpaulin]],0)</f>
        <v>0</v>
      </c>
      <c r="AH456" s="86">
        <f>IF(NFI_Expiration=1,IF($A456&lt;VLOOKUP(P$5,NFI,5,0),1,0)*Data_NFI_t[[#This Row],[Blanket]],0)</f>
        <v>0</v>
      </c>
      <c r="AI456" s="86">
        <f>IF(NFI_Expiration=1,IF($A456&lt;VLOOKUP(Q$5,NFI,5,0),1,0)*Data_NFI_t[[#This Row],[Kitchen Set]],0)</f>
        <v>0</v>
      </c>
      <c r="AJ456" s="86">
        <f>IF(NFI_Expiration=1,IF($A456&lt;VLOOKUP(R$5,NFI,5,0),1,0)*Data_NFI_t[[#This Row],[Complementary Kit]],0)</f>
        <v>0</v>
      </c>
      <c r="AK456" s="86">
        <f>IF(NFI_Expiration=1,IF($A456&lt;VLOOKUP(S$5,NFI,5,0),1,0)*Data_NFI_t[[#This Row],[Plastic Bucket]],0)</f>
        <v>0</v>
      </c>
      <c r="AL456" s="86">
        <f>IF(NFI_Expiration=1,IF($A456&lt;VLOOKUP(T$5,NFI,5,0),1,0)*Data_NFI_t[[#This Row],[Jerry Can]],0)</f>
        <v>0</v>
      </c>
      <c r="AM456" s="105">
        <f>IF(NFI_Expiration=1,IF($A456&lt;VLOOKUP(U$5,NFI,5,0),1,0)*Data_NFI_t[[#This Row],[Plastic Mat]],0)*IF(Data_NFI_t[[#This Row],[Distribution Date]]&gt;"01-06-2015",1,2.5)</f>
        <v>0</v>
      </c>
      <c r="AN456" s="734">
        <f>IF(NFI_Expiration=1,IF($A456&lt;VLOOKUP(V$5,NFI,5,0),1,0)*Data_NFI_t[[#This Row],[Adult Clothes]],0)</f>
        <v>0</v>
      </c>
      <c r="AO456" s="105">
        <f>IF(NFI_Expiration=1,IF($A456&lt;VLOOKUP(W$5,NFI,5,0),1,0)*Data_NFI_t[[#This Row],[Children Clothes]],0)</f>
        <v>0</v>
      </c>
      <c r="AP456" s="105">
        <f>IF(NFI_Expiration=1,IF($A456&lt;VLOOKUP(X$5,NFI,5,0),1,0)*Data_NFI_t[[#This Row],[Sewing Kit]],0)</f>
        <v>0</v>
      </c>
      <c r="AQ456" s="734">
        <f>IF(NFI_Expiration=1,IF($A456&lt;VLOOKUP(X$5,NFI,5,0),1,0)*Data_NFI_t[[#This Row],[Solar Lantern]],0)</f>
        <v>0</v>
      </c>
      <c r="AR456" s="105" t="str">
        <f ca="1">IFERROR(OFFSET(Camp_List[P_Code],MATCH(Data_NFI_t[[#This Row],[Camp Name]],Camp_List[Camp Name],0)-1,0,1,1),"")</f>
        <v/>
      </c>
      <c r="AS456" s="421" t="str">
        <f ca="1">IFERROR(OFFSET(Camp_List[Status],MATCH(Data_NFI_t[[#This Row],[Camp Name]],Camp_List[Camp Name],0)-1,0,1,1),"")</f>
        <v/>
      </c>
      <c r="AT456" s="105"/>
    </row>
    <row r="457" spans="1:46" s="78" customFormat="1" ht="19.5" customHeight="1" x14ac:dyDescent="0.25">
      <c r="A457" s="208">
        <f t="shared" si="7"/>
        <v>65.266666666666666</v>
      </c>
      <c r="B457" s="208">
        <f>YEAR(Data_NFI_t[[#This Row],[Distribution Date]])</f>
        <v>2012</v>
      </c>
      <c r="C457" s="744">
        <v>41232</v>
      </c>
      <c r="D457" s="402" t="s">
        <v>270</v>
      </c>
      <c r="E457" s="401"/>
      <c r="F457" s="402" t="s">
        <v>7</v>
      </c>
      <c r="G457" s="670" t="s">
        <v>16</v>
      </c>
      <c r="H457" s="670" t="s">
        <v>58</v>
      </c>
      <c r="I457" s="670"/>
      <c r="J457" s="670"/>
      <c r="K457" s="670"/>
      <c r="L457" s="42"/>
      <c r="M457" s="42"/>
      <c r="N457" s="42">
        <v>26</v>
      </c>
      <c r="O457" s="42">
        <v>13</v>
      </c>
      <c r="P457" s="42">
        <v>26</v>
      </c>
      <c r="Q457" s="42">
        <v>13</v>
      </c>
      <c r="R457" s="42"/>
      <c r="S457" s="42"/>
      <c r="T457" s="419"/>
      <c r="U457" s="42"/>
      <c r="V457" s="42"/>
      <c r="W457" s="42"/>
      <c r="X457" s="42"/>
      <c r="Y457" s="42"/>
      <c r="Z457" s="42"/>
      <c r="AA457" s="42"/>
      <c r="AB457" s="42"/>
      <c r="AC457" s="105">
        <f>IF(NFI_Expiration=1,IF($A457&lt;VLOOKUP(I$5,NFI,5,0),1,0)*Data_NFI_t[[#This Row],[Hygiene Kit]],0)</f>
        <v>0</v>
      </c>
      <c r="AD457" s="105">
        <f>IF(NFI_Expiration=1,IF($A457&lt;VLOOKUP(L$5,NFI,5,0),1,0)*Data_NFI_t[[#This Row],[NFI Core Kit]],0)</f>
        <v>0</v>
      </c>
      <c r="AE457" s="86">
        <f>IF(NFI_Expiration=1,IF($A457&lt;VLOOKUP(M$5,NFI,5,0),1,0)*Data_NFI_t[[#This Row],[Sanitary Kit]],0)</f>
        <v>0</v>
      </c>
      <c r="AF457" s="86">
        <f>IF(NFI_Expiration=1,IF($A457&lt;VLOOKUP(N$5,NFI,5,0),1,0)*Data_NFI_t[[#This Row],[Mosquito net]],0)</f>
        <v>0</v>
      </c>
      <c r="AG457" s="86">
        <f>IF(NFI_Expiration=1,IF($A457&lt;VLOOKUP(O$5,NFI,5,0),1,0)*Data_NFI_t[[#This Row],[Tarpaulin]],0)</f>
        <v>0</v>
      </c>
      <c r="AH457" s="86">
        <f>IF(NFI_Expiration=1,IF($A457&lt;VLOOKUP(P$5,NFI,5,0),1,0)*Data_NFI_t[[#This Row],[Blanket]],0)</f>
        <v>0</v>
      </c>
      <c r="AI457" s="86">
        <f>IF(NFI_Expiration=1,IF($A457&lt;VLOOKUP(Q$5,NFI,5,0),1,0)*Data_NFI_t[[#This Row],[Kitchen Set]],0)</f>
        <v>0</v>
      </c>
      <c r="AJ457" s="86">
        <f>IF(NFI_Expiration=1,IF($A457&lt;VLOOKUP(R$5,NFI,5,0),1,0)*Data_NFI_t[[#This Row],[Complementary Kit]],0)</f>
        <v>0</v>
      </c>
      <c r="AK457" s="86">
        <f>IF(NFI_Expiration=1,IF($A457&lt;VLOOKUP(S$5,NFI,5,0),1,0)*Data_NFI_t[[#This Row],[Plastic Bucket]],0)</f>
        <v>0</v>
      </c>
      <c r="AL457" s="86">
        <f>IF(NFI_Expiration=1,IF($A457&lt;VLOOKUP(T$5,NFI,5,0),1,0)*Data_NFI_t[[#This Row],[Jerry Can]],0)</f>
        <v>0</v>
      </c>
      <c r="AM457" s="105">
        <f>IF(NFI_Expiration=1,IF($A457&lt;VLOOKUP(U$5,NFI,5,0),1,0)*Data_NFI_t[[#This Row],[Plastic Mat]],0)*IF(Data_NFI_t[[#This Row],[Distribution Date]]&gt;"01-06-2015",1,2.5)</f>
        <v>0</v>
      </c>
      <c r="AN457" s="734">
        <f>IF(NFI_Expiration=1,IF($A457&lt;VLOOKUP(V$5,NFI,5,0),1,0)*Data_NFI_t[[#This Row],[Adult Clothes]],0)</f>
        <v>0</v>
      </c>
      <c r="AO457" s="105">
        <f>IF(NFI_Expiration=1,IF($A457&lt;VLOOKUP(W$5,NFI,5,0),1,0)*Data_NFI_t[[#This Row],[Children Clothes]],0)</f>
        <v>0</v>
      </c>
      <c r="AP457" s="105">
        <f>IF(NFI_Expiration=1,IF($A457&lt;VLOOKUP(X$5,NFI,5,0),1,0)*Data_NFI_t[[#This Row],[Sewing Kit]],0)</f>
        <v>0</v>
      </c>
      <c r="AQ457" s="734">
        <f>IF(NFI_Expiration=1,IF($A457&lt;VLOOKUP(X$5,NFI,5,0),1,0)*Data_NFI_t[[#This Row],[Solar Lantern]],0)</f>
        <v>0</v>
      </c>
      <c r="AR457" s="105" t="str">
        <f ca="1">IFERROR(OFFSET(Camp_List[P_Code],MATCH(Data_NFI_t[[#This Row],[Camp Name]],Camp_List[Camp Name],0)-1,0,1,1),"")</f>
        <v>MMR012CMP038</v>
      </c>
      <c r="AS457" s="421" t="str">
        <f ca="1">IFERROR(OFFSET(Camp_List[Status],MATCH(Data_NFI_t[[#This Row],[Camp Name]],Camp_List[Camp Name],0)-1,0,1,1),"")</f>
        <v>Close</v>
      </c>
      <c r="AT457" s="105"/>
    </row>
    <row r="458" spans="1:46" s="78" customFormat="1" ht="19.5" customHeight="1" x14ac:dyDescent="0.25">
      <c r="A458" s="208">
        <f t="shared" si="7"/>
        <v>65.266666666666666</v>
      </c>
      <c r="B458" s="208">
        <f>YEAR(Data_NFI_t[[#This Row],[Distribution Date]])</f>
        <v>2012</v>
      </c>
      <c r="C458" s="744">
        <v>41232</v>
      </c>
      <c r="D458" s="402" t="s">
        <v>270</v>
      </c>
      <c r="E458" s="401"/>
      <c r="F458" s="402" t="s">
        <v>7</v>
      </c>
      <c r="G458" s="670" t="s">
        <v>16</v>
      </c>
      <c r="H458" s="670" t="s">
        <v>57</v>
      </c>
      <c r="I458" s="670"/>
      <c r="J458" s="670"/>
      <c r="K458" s="670"/>
      <c r="L458" s="42"/>
      <c r="M458" s="42"/>
      <c r="N458" s="42">
        <v>194</v>
      </c>
      <c r="O458" s="42">
        <v>97</v>
      </c>
      <c r="P458" s="42">
        <v>194</v>
      </c>
      <c r="Q458" s="42">
        <v>97</v>
      </c>
      <c r="R458" s="42"/>
      <c r="S458" s="42"/>
      <c r="T458" s="419"/>
      <c r="U458" s="42"/>
      <c r="V458" s="42"/>
      <c r="W458" s="42"/>
      <c r="X458" s="42"/>
      <c r="Y458" s="42"/>
      <c r="Z458" s="42"/>
      <c r="AA458" s="42"/>
      <c r="AB458" s="42"/>
      <c r="AC458" s="105">
        <f>IF(NFI_Expiration=1,IF($A458&lt;VLOOKUP(I$5,NFI,5,0),1,0)*Data_NFI_t[[#This Row],[Hygiene Kit]],0)</f>
        <v>0</v>
      </c>
      <c r="AD458" s="105">
        <f>IF(NFI_Expiration=1,IF($A458&lt;VLOOKUP(L$5,NFI,5,0),1,0)*Data_NFI_t[[#This Row],[NFI Core Kit]],0)</f>
        <v>0</v>
      </c>
      <c r="AE458" s="86">
        <f>IF(NFI_Expiration=1,IF($A458&lt;VLOOKUP(M$5,NFI,5,0),1,0)*Data_NFI_t[[#This Row],[Sanitary Kit]],0)</f>
        <v>0</v>
      </c>
      <c r="AF458" s="86">
        <f>IF(NFI_Expiration=1,IF($A458&lt;VLOOKUP(N$5,NFI,5,0),1,0)*Data_NFI_t[[#This Row],[Mosquito net]],0)</f>
        <v>0</v>
      </c>
      <c r="AG458" s="86">
        <f>IF(NFI_Expiration=1,IF($A458&lt;VLOOKUP(O$5,NFI,5,0),1,0)*Data_NFI_t[[#This Row],[Tarpaulin]],0)</f>
        <v>0</v>
      </c>
      <c r="AH458" s="86">
        <f>IF(NFI_Expiration=1,IF($A458&lt;VLOOKUP(P$5,NFI,5,0),1,0)*Data_NFI_t[[#This Row],[Blanket]],0)</f>
        <v>0</v>
      </c>
      <c r="AI458" s="86">
        <f>IF(NFI_Expiration=1,IF($A458&lt;VLOOKUP(Q$5,NFI,5,0),1,0)*Data_NFI_t[[#This Row],[Kitchen Set]],0)</f>
        <v>0</v>
      </c>
      <c r="AJ458" s="86">
        <f>IF(NFI_Expiration=1,IF($A458&lt;VLOOKUP(R$5,NFI,5,0),1,0)*Data_NFI_t[[#This Row],[Complementary Kit]],0)</f>
        <v>0</v>
      </c>
      <c r="AK458" s="86">
        <f>IF(NFI_Expiration=1,IF($A458&lt;VLOOKUP(S$5,NFI,5,0),1,0)*Data_NFI_t[[#This Row],[Plastic Bucket]],0)</f>
        <v>0</v>
      </c>
      <c r="AL458" s="86">
        <f>IF(NFI_Expiration=1,IF($A458&lt;VLOOKUP(T$5,NFI,5,0),1,0)*Data_NFI_t[[#This Row],[Jerry Can]],0)</f>
        <v>0</v>
      </c>
      <c r="AM458" s="105">
        <f>IF(NFI_Expiration=1,IF($A458&lt;VLOOKUP(U$5,NFI,5,0),1,0)*Data_NFI_t[[#This Row],[Plastic Mat]],0)*IF(Data_NFI_t[[#This Row],[Distribution Date]]&gt;"01-06-2015",1,2.5)</f>
        <v>0</v>
      </c>
      <c r="AN458" s="734">
        <f>IF(NFI_Expiration=1,IF($A458&lt;VLOOKUP(V$5,NFI,5,0),1,0)*Data_NFI_t[[#This Row],[Adult Clothes]],0)</f>
        <v>0</v>
      </c>
      <c r="AO458" s="105">
        <f>IF(NFI_Expiration=1,IF($A458&lt;VLOOKUP(W$5,NFI,5,0),1,0)*Data_NFI_t[[#This Row],[Children Clothes]],0)</f>
        <v>0</v>
      </c>
      <c r="AP458" s="105">
        <f>IF(NFI_Expiration=1,IF($A458&lt;VLOOKUP(X$5,NFI,5,0),1,0)*Data_NFI_t[[#This Row],[Sewing Kit]],0)</f>
        <v>0</v>
      </c>
      <c r="AQ458" s="734">
        <f>IF(NFI_Expiration=1,IF($A458&lt;VLOOKUP(X$5,NFI,5,0),1,0)*Data_NFI_t[[#This Row],[Solar Lantern]],0)</f>
        <v>0</v>
      </c>
      <c r="AR458" s="105" t="str">
        <f ca="1">IFERROR(OFFSET(Camp_List[P_Code],MATCH(Data_NFI_t[[#This Row],[Camp Name]],Camp_List[Camp Name],0)-1,0,1,1),"")</f>
        <v>MMR012CMP037</v>
      </c>
      <c r="AS458" s="421" t="str">
        <f ca="1">IFERROR(OFFSET(Camp_List[Status],MATCH(Data_NFI_t[[#This Row],[Camp Name]],Camp_List[Camp Name],0)-1,0,1,1),"")</f>
        <v>Close</v>
      </c>
      <c r="AT458" s="105"/>
    </row>
    <row r="459" spans="1:46" s="78" customFormat="1" ht="19.5" customHeight="1" x14ac:dyDescent="0.25">
      <c r="A459" s="208">
        <f t="shared" si="7"/>
        <v>65.266666666666666</v>
      </c>
      <c r="B459" s="208">
        <f>YEAR(Data_NFI_t[[#This Row],[Distribution Date]])</f>
        <v>2012</v>
      </c>
      <c r="C459" s="744">
        <v>41232</v>
      </c>
      <c r="D459" s="402" t="s">
        <v>270</v>
      </c>
      <c r="E459" s="401"/>
      <c r="F459" s="402" t="s">
        <v>7</v>
      </c>
      <c r="G459" s="670" t="s">
        <v>13</v>
      </c>
      <c r="H459" s="670" t="s">
        <v>41</v>
      </c>
      <c r="I459" s="670"/>
      <c r="J459" s="670"/>
      <c r="K459" s="670"/>
      <c r="L459" s="42"/>
      <c r="M459" s="42"/>
      <c r="N459" s="42"/>
      <c r="O459" s="42">
        <v>362</v>
      </c>
      <c r="P459" s="42"/>
      <c r="Q459" s="42"/>
      <c r="R459" s="42"/>
      <c r="S459" s="42"/>
      <c r="T459" s="419"/>
      <c r="U459" s="42"/>
      <c r="V459" s="42"/>
      <c r="W459" s="42"/>
      <c r="X459" s="42"/>
      <c r="Y459" s="42"/>
      <c r="Z459" s="42"/>
      <c r="AA459" s="42"/>
      <c r="AB459" s="42"/>
      <c r="AC459" s="105">
        <f>IF(NFI_Expiration=1,IF($A459&lt;VLOOKUP(I$5,NFI,5,0),1,0)*Data_NFI_t[[#This Row],[Hygiene Kit]],0)</f>
        <v>0</v>
      </c>
      <c r="AD459" s="105">
        <f>IF(NFI_Expiration=1,IF($A459&lt;VLOOKUP(L$5,NFI,5,0),1,0)*Data_NFI_t[[#This Row],[NFI Core Kit]],0)</f>
        <v>0</v>
      </c>
      <c r="AE459" s="86">
        <f>IF(NFI_Expiration=1,IF($A459&lt;VLOOKUP(M$5,NFI,5,0),1,0)*Data_NFI_t[[#This Row],[Sanitary Kit]],0)</f>
        <v>0</v>
      </c>
      <c r="AF459" s="86">
        <f>IF(NFI_Expiration=1,IF($A459&lt;VLOOKUP(N$5,NFI,5,0),1,0)*Data_NFI_t[[#This Row],[Mosquito net]],0)</f>
        <v>0</v>
      </c>
      <c r="AG459" s="86">
        <f>IF(NFI_Expiration=1,IF($A459&lt;VLOOKUP(O$5,NFI,5,0),1,0)*Data_NFI_t[[#This Row],[Tarpaulin]],0)</f>
        <v>0</v>
      </c>
      <c r="AH459" s="86">
        <f>IF(NFI_Expiration=1,IF($A459&lt;VLOOKUP(P$5,NFI,5,0),1,0)*Data_NFI_t[[#This Row],[Blanket]],0)</f>
        <v>0</v>
      </c>
      <c r="AI459" s="86">
        <f>IF(NFI_Expiration=1,IF($A459&lt;VLOOKUP(Q$5,NFI,5,0),1,0)*Data_NFI_t[[#This Row],[Kitchen Set]],0)</f>
        <v>0</v>
      </c>
      <c r="AJ459" s="86">
        <f>IF(NFI_Expiration=1,IF($A459&lt;VLOOKUP(R$5,NFI,5,0),1,0)*Data_NFI_t[[#This Row],[Complementary Kit]],0)</f>
        <v>0</v>
      </c>
      <c r="AK459" s="86">
        <f>IF(NFI_Expiration=1,IF($A459&lt;VLOOKUP(S$5,NFI,5,0),1,0)*Data_NFI_t[[#This Row],[Plastic Bucket]],0)</f>
        <v>0</v>
      </c>
      <c r="AL459" s="86">
        <f>IF(NFI_Expiration=1,IF($A459&lt;VLOOKUP(T$5,NFI,5,0),1,0)*Data_NFI_t[[#This Row],[Jerry Can]],0)</f>
        <v>0</v>
      </c>
      <c r="AM459" s="105">
        <f>IF(NFI_Expiration=1,IF($A459&lt;VLOOKUP(U$5,NFI,5,0),1,0)*Data_NFI_t[[#This Row],[Plastic Mat]],0)*IF(Data_NFI_t[[#This Row],[Distribution Date]]&gt;"01-06-2015",1,2.5)</f>
        <v>0</v>
      </c>
      <c r="AN459" s="734">
        <f>IF(NFI_Expiration=1,IF($A459&lt;VLOOKUP(V$5,NFI,5,0),1,0)*Data_NFI_t[[#This Row],[Adult Clothes]],0)</f>
        <v>0</v>
      </c>
      <c r="AO459" s="105">
        <f>IF(NFI_Expiration=1,IF($A459&lt;VLOOKUP(W$5,NFI,5,0),1,0)*Data_NFI_t[[#This Row],[Children Clothes]],0)</f>
        <v>0</v>
      </c>
      <c r="AP459" s="105">
        <f>IF(NFI_Expiration=1,IF($A459&lt;VLOOKUP(X$5,NFI,5,0),1,0)*Data_NFI_t[[#This Row],[Sewing Kit]],0)</f>
        <v>0</v>
      </c>
      <c r="AQ459" s="734">
        <f>IF(NFI_Expiration=1,IF($A459&lt;VLOOKUP(X$5,NFI,5,0),1,0)*Data_NFI_t[[#This Row],[Solar Lantern]],0)</f>
        <v>0</v>
      </c>
      <c r="AR459" s="105" t="str">
        <f ca="1">IFERROR(OFFSET(Camp_List[P_Code],MATCH(Data_NFI_t[[#This Row],[Camp Name]],Camp_List[Camp Name],0)-1,0,1,1),"")</f>
        <v>MMR012CMP019</v>
      </c>
      <c r="AS459" s="421" t="str">
        <f ca="1">IFERROR(OFFSET(Camp_List[Status],MATCH(Data_NFI_t[[#This Row],[Camp Name]],Camp_List[Camp Name],0)-1,0,1,1),"")</f>
        <v>Open</v>
      </c>
      <c r="AT459" s="105"/>
    </row>
    <row r="460" spans="1:46" s="78" customFormat="1" ht="19.5" customHeight="1" x14ac:dyDescent="0.25">
      <c r="A460" s="208">
        <f t="shared" si="7"/>
        <v>65.8</v>
      </c>
      <c r="B460" s="208">
        <f>YEAR(Data_NFI_t[[#This Row],[Distribution Date]])</f>
        <v>2012</v>
      </c>
      <c r="C460" s="744">
        <v>41216</v>
      </c>
      <c r="D460" s="402" t="s">
        <v>270</v>
      </c>
      <c r="E460" s="401"/>
      <c r="F460" s="402" t="s">
        <v>7</v>
      </c>
      <c r="G460" s="670" t="s">
        <v>13</v>
      </c>
      <c r="H460" s="670" t="s">
        <v>41</v>
      </c>
      <c r="I460" s="670"/>
      <c r="J460" s="670"/>
      <c r="K460" s="670"/>
      <c r="L460" s="42"/>
      <c r="M460" s="42"/>
      <c r="N460" s="42">
        <v>862</v>
      </c>
      <c r="O460" s="42">
        <v>500</v>
      </c>
      <c r="P460" s="42">
        <v>862</v>
      </c>
      <c r="Q460" s="42">
        <v>862</v>
      </c>
      <c r="R460" s="42"/>
      <c r="S460" s="42"/>
      <c r="T460" s="419"/>
      <c r="U460" s="42"/>
      <c r="V460" s="42"/>
      <c r="W460" s="42"/>
      <c r="X460" s="42"/>
      <c r="Y460" s="42"/>
      <c r="Z460" s="42"/>
      <c r="AA460" s="42"/>
      <c r="AB460" s="42"/>
      <c r="AC460" s="105">
        <f>IF(NFI_Expiration=1,IF($A460&lt;VLOOKUP(I$5,NFI,5,0),1,0)*Data_NFI_t[[#This Row],[Hygiene Kit]],0)</f>
        <v>0</v>
      </c>
      <c r="AD460" s="105">
        <f>IF(NFI_Expiration=1,IF($A460&lt;VLOOKUP(L$5,NFI,5,0),1,0)*Data_NFI_t[[#This Row],[NFI Core Kit]],0)</f>
        <v>0</v>
      </c>
      <c r="AE460" s="86">
        <f>IF(NFI_Expiration=1,IF($A460&lt;VLOOKUP(M$5,NFI,5,0),1,0)*Data_NFI_t[[#This Row],[Sanitary Kit]],0)</f>
        <v>0</v>
      </c>
      <c r="AF460" s="86">
        <f>IF(NFI_Expiration=1,IF($A460&lt;VLOOKUP(N$5,NFI,5,0),1,0)*Data_NFI_t[[#This Row],[Mosquito net]],0)</f>
        <v>0</v>
      </c>
      <c r="AG460" s="86">
        <f>IF(NFI_Expiration=1,IF($A460&lt;VLOOKUP(O$5,NFI,5,0),1,0)*Data_NFI_t[[#This Row],[Tarpaulin]],0)</f>
        <v>0</v>
      </c>
      <c r="AH460" s="86">
        <f>IF(NFI_Expiration=1,IF($A460&lt;VLOOKUP(P$5,NFI,5,0),1,0)*Data_NFI_t[[#This Row],[Blanket]],0)</f>
        <v>0</v>
      </c>
      <c r="AI460" s="86">
        <f>IF(NFI_Expiration=1,IF($A460&lt;VLOOKUP(Q$5,NFI,5,0),1,0)*Data_NFI_t[[#This Row],[Kitchen Set]],0)</f>
        <v>0</v>
      </c>
      <c r="AJ460" s="86">
        <f>IF(NFI_Expiration=1,IF($A460&lt;VLOOKUP(R$5,NFI,5,0),1,0)*Data_NFI_t[[#This Row],[Complementary Kit]],0)</f>
        <v>0</v>
      </c>
      <c r="AK460" s="86">
        <f>IF(NFI_Expiration=1,IF($A460&lt;VLOOKUP(S$5,NFI,5,0),1,0)*Data_NFI_t[[#This Row],[Plastic Bucket]],0)</f>
        <v>0</v>
      </c>
      <c r="AL460" s="86">
        <f>IF(NFI_Expiration=1,IF($A460&lt;VLOOKUP(T$5,NFI,5,0),1,0)*Data_NFI_t[[#This Row],[Jerry Can]],0)</f>
        <v>0</v>
      </c>
      <c r="AM460" s="105">
        <f>IF(NFI_Expiration=1,IF($A460&lt;VLOOKUP(U$5,NFI,5,0),1,0)*Data_NFI_t[[#This Row],[Plastic Mat]],0)*IF(Data_NFI_t[[#This Row],[Distribution Date]]&gt;"01-06-2015",1,2.5)</f>
        <v>0</v>
      </c>
      <c r="AN460" s="734">
        <f>IF(NFI_Expiration=1,IF($A460&lt;VLOOKUP(V$5,NFI,5,0),1,0)*Data_NFI_t[[#This Row],[Adult Clothes]],0)</f>
        <v>0</v>
      </c>
      <c r="AO460" s="105">
        <f>IF(NFI_Expiration=1,IF($A460&lt;VLOOKUP(W$5,NFI,5,0),1,0)*Data_NFI_t[[#This Row],[Children Clothes]],0)</f>
        <v>0</v>
      </c>
      <c r="AP460" s="105">
        <f>IF(NFI_Expiration=1,IF($A460&lt;VLOOKUP(X$5,NFI,5,0),1,0)*Data_NFI_t[[#This Row],[Sewing Kit]],0)</f>
        <v>0</v>
      </c>
      <c r="AQ460" s="734">
        <f>IF(NFI_Expiration=1,IF($A460&lt;VLOOKUP(X$5,NFI,5,0),1,0)*Data_NFI_t[[#This Row],[Solar Lantern]],0)</f>
        <v>0</v>
      </c>
      <c r="AR460" s="105" t="str">
        <f ca="1">IFERROR(OFFSET(Camp_List[P_Code],MATCH(Data_NFI_t[[#This Row],[Camp Name]],Camp_List[Camp Name],0)-1,0,1,1),"")</f>
        <v>MMR012CMP019</v>
      </c>
      <c r="AS460" s="421" t="str">
        <f ca="1">IFERROR(OFFSET(Camp_List[Status],MATCH(Data_NFI_t[[#This Row],[Camp Name]],Camp_List[Camp Name],0)-1,0,1,1),"")</f>
        <v>Open</v>
      </c>
      <c r="AT460" s="105"/>
    </row>
    <row r="461" spans="1:46" s="78" customFormat="1" ht="19.5" customHeight="1" x14ac:dyDescent="0.25">
      <c r="A461" s="208">
        <f t="shared" si="7"/>
        <v>65.833333333333329</v>
      </c>
      <c r="B461" s="208">
        <f>YEAR(Data_NFI_t[[#This Row],[Distribution Date]])</f>
        <v>2012</v>
      </c>
      <c r="C461" s="744">
        <v>41215</v>
      </c>
      <c r="D461" s="402" t="s">
        <v>270</v>
      </c>
      <c r="E461" s="401"/>
      <c r="F461" s="402" t="s">
        <v>7</v>
      </c>
      <c r="G461" s="670" t="s">
        <v>14</v>
      </c>
      <c r="H461" s="670" t="s">
        <v>47</v>
      </c>
      <c r="I461" s="670"/>
      <c r="J461" s="670"/>
      <c r="K461" s="670"/>
      <c r="L461" s="42"/>
      <c r="M461" s="42"/>
      <c r="N461" s="42"/>
      <c r="O461" s="42">
        <v>85</v>
      </c>
      <c r="P461" s="42"/>
      <c r="Q461" s="42"/>
      <c r="R461" s="42"/>
      <c r="S461" s="42"/>
      <c r="T461" s="419"/>
      <c r="U461" s="42"/>
      <c r="V461" s="42"/>
      <c r="W461" s="42"/>
      <c r="X461" s="42"/>
      <c r="Y461" s="42"/>
      <c r="Z461" s="42"/>
      <c r="AA461" s="42"/>
      <c r="AB461" s="42"/>
      <c r="AC461" s="105">
        <f>IF(NFI_Expiration=1,IF($A461&lt;VLOOKUP(I$5,NFI,5,0),1,0)*Data_NFI_t[[#This Row],[Hygiene Kit]],0)</f>
        <v>0</v>
      </c>
      <c r="AD461" s="105">
        <f>IF(NFI_Expiration=1,IF($A461&lt;VLOOKUP(L$5,NFI,5,0),1,0)*Data_NFI_t[[#This Row],[NFI Core Kit]],0)</f>
        <v>0</v>
      </c>
      <c r="AE461" s="86">
        <f>IF(NFI_Expiration=1,IF($A461&lt;VLOOKUP(M$5,NFI,5,0),1,0)*Data_NFI_t[[#This Row],[Sanitary Kit]],0)</f>
        <v>0</v>
      </c>
      <c r="AF461" s="86">
        <f>IF(NFI_Expiration=1,IF($A461&lt;VLOOKUP(N$5,NFI,5,0),1,0)*Data_NFI_t[[#This Row],[Mosquito net]],0)</f>
        <v>0</v>
      </c>
      <c r="AG461" s="86">
        <f>IF(NFI_Expiration=1,IF($A461&lt;VLOOKUP(O$5,NFI,5,0),1,0)*Data_NFI_t[[#This Row],[Tarpaulin]],0)</f>
        <v>0</v>
      </c>
      <c r="AH461" s="86">
        <f>IF(NFI_Expiration=1,IF($A461&lt;VLOOKUP(P$5,NFI,5,0),1,0)*Data_NFI_t[[#This Row],[Blanket]],0)</f>
        <v>0</v>
      </c>
      <c r="AI461" s="86">
        <f>IF(NFI_Expiration=1,IF($A461&lt;VLOOKUP(Q$5,NFI,5,0),1,0)*Data_NFI_t[[#This Row],[Kitchen Set]],0)</f>
        <v>0</v>
      </c>
      <c r="AJ461" s="86">
        <f>IF(NFI_Expiration=1,IF($A461&lt;VLOOKUP(R$5,NFI,5,0),1,0)*Data_NFI_t[[#This Row],[Complementary Kit]],0)</f>
        <v>0</v>
      </c>
      <c r="AK461" s="86">
        <f>IF(NFI_Expiration=1,IF($A461&lt;VLOOKUP(S$5,NFI,5,0),1,0)*Data_NFI_t[[#This Row],[Plastic Bucket]],0)</f>
        <v>0</v>
      </c>
      <c r="AL461" s="86">
        <f>IF(NFI_Expiration=1,IF($A461&lt;VLOOKUP(T$5,NFI,5,0),1,0)*Data_NFI_t[[#This Row],[Jerry Can]],0)</f>
        <v>0</v>
      </c>
      <c r="AM461" s="105">
        <f>IF(NFI_Expiration=1,IF($A461&lt;VLOOKUP(U$5,NFI,5,0),1,0)*Data_NFI_t[[#This Row],[Plastic Mat]],0)*IF(Data_NFI_t[[#This Row],[Distribution Date]]&gt;"01-06-2015",1,2.5)</f>
        <v>0</v>
      </c>
      <c r="AN461" s="734">
        <f>IF(NFI_Expiration=1,IF($A461&lt;VLOOKUP(V$5,NFI,5,0),1,0)*Data_NFI_t[[#This Row],[Adult Clothes]],0)</f>
        <v>0</v>
      </c>
      <c r="AO461" s="105">
        <f>IF(NFI_Expiration=1,IF($A461&lt;VLOOKUP(W$5,NFI,5,0),1,0)*Data_NFI_t[[#This Row],[Children Clothes]],0)</f>
        <v>0</v>
      </c>
      <c r="AP461" s="105">
        <f>IF(NFI_Expiration=1,IF($A461&lt;VLOOKUP(X$5,NFI,5,0),1,0)*Data_NFI_t[[#This Row],[Sewing Kit]],0)</f>
        <v>0</v>
      </c>
      <c r="AQ461" s="734">
        <f>IF(NFI_Expiration=1,IF($A461&lt;VLOOKUP(X$5,NFI,5,0),1,0)*Data_NFI_t[[#This Row],[Solar Lantern]],0)</f>
        <v>0</v>
      </c>
      <c r="AR461" s="105" t="str">
        <f ca="1">IFERROR(OFFSET(Camp_List[P_Code],MATCH(Data_NFI_t[[#This Row],[Camp Name]],Camp_List[Camp Name],0)-1,0,1,1),"")</f>
        <v>MMR012CMP025</v>
      </c>
      <c r="AS461" s="421" t="str">
        <f ca="1">IFERROR(OFFSET(Camp_List[Status],MATCH(Data_NFI_t[[#This Row],[Camp Name]],Camp_List[Camp Name],0)-1,0,1,1),"")</f>
        <v>Returned</v>
      </c>
      <c r="AT461" s="105"/>
    </row>
    <row r="462" spans="1:46" s="78" customFormat="1" ht="19.5" customHeight="1" x14ac:dyDescent="0.25">
      <c r="A462" s="208">
        <f t="shared" si="7"/>
        <v>65.86666666666666</v>
      </c>
      <c r="B462" s="208">
        <f>YEAR(Data_NFI_t[[#This Row],[Distribution Date]])</f>
        <v>2012</v>
      </c>
      <c r="C462" s="744">
        <v>41214</v>
      </c>
      <c r="D462" s="402" t="s">
        <v>270</v>
      </c>
      <c r="E462" s="401"/>
      <c r="F462" s="402" t="s">
        <v>7</v>
      </c>
      <c r="G462" s="670" t="s">
        <v>817</v>
      </c>
      <c r="H462" s="670" t="s">
        <v>36</v>
      </c>
      <c r="I462" s="670"/>
      <c r="J462" s="670"/>
      <c r="K462" s="670"/>
      <c r="L462" s="42"/>
      <c r="M462" s="42"/>
      <c r="N462" s="42"/>
      <c r="O462" s="42">
        <v>146</v>
      </c>
      <c r="P462" s="42"/>
      <c r="Q462" s="42">
        <v>146</v>
      </c>
      <c r="R462" s="42"/>
      <c r="S462" s="42"/>
      <c r="T462" s="419"/>
      <c r="U462" s="42"/>
      <c r="V462" s="42"/>
      <c r="W462" s="42"/>
      <c r="X462" s="42"/>
      <c r="Y462" s="42"/>
      <c r="Z462" s="42"/>
      <c r="AA462" s="42"/>
      <c r="AB462" s="42"/>
      <c r="AC462" s="105">
        <f>IF(NFI_Expiration=1,IF($A462&lt;VLOOKUP(I$5,NFI,5,0),1,0)*Data_NFI_t[[#This Row],[Hygiene Kit]],0)</f>
        <v>0</v>
      </c>
      <c r="AD462" s="105">
        <f>IF(NFI_Expiration=1,IF($A462&lt;VLOOKUP(L$5,NFI,5,0),1,0)*Data_NFI_t[[#This Row],[NFI Core Kit]],0)</f>
        <v>0</v>
      </c>
      <c r="AE462" s="86">
        <f>IF(NFI_Expiration=1,IF($A462&lt;VLOOKUP(M$5,NFI,5,0),1,0)*Data_NFI_t[[#This Row],[Sanitary Kit]],0)</f>
        <v>0</v>
      </c>
      <c r="AF462" s="86">
        <f>IF(NFI_Expiration=1,IF($A462&lt;VLOOKUP(N$5,NFI,5,0),1,0)*Data_NFI_t[[#This Row],[Mosquito net]],0)</f>
        <v>0</v>
      </c>
      <c r="AG462" s="86">
        <f>IF(NFI_Expiration=1,IF($A462&lt;VLOOKUP(O$5,NFI,5,0),1,0)*Data_NFI_t[[#This Row],[Tarpaulin]],0)</f>
        <v>0</v>
      </c>
      <c r="AH462" s="86">
        <f>IF(NFI_Expiration=1,IF($A462&lt;VLOOKUP(P$5,NFI,5,0),1,0)*Data_NFI_t[[#This Row],[Blanket]],0)</f>
        <v>0</v>
      </c>
      <c r="AI462" s="86">
        <f>IF(NFI_Expiration=1,IF($A462&lt;VLOOKUP(Q$5,NFI,5,0),1,0)*Data_NFI_t[[#This Row],[Kitchen Set]],0)</f>
        <v>0</v>
      </c>
      <c r="AJ462" s="86">
        <f>IF(NFI_Expiration=1,IF($A462&lt;VLOOKUP(R$5,NFI,5,0),1,0)*Data_NFI_t[[#This Row],[Complementary Kit]],0)</f>
        <v>0</v>
      </c>
      <c r="AK462" s="86">
        <f>IF(NFI_Expiration=1,IF($A462&lt;VLOOKUP(S$5,NFI,5,0),1,0)*Data_NFI_t[[#This Row],[Plastic Bucket]],0)</f>
        <v>0</v>
      </c>
      <c r="AL462" s="86">
        <f>IF(NFI_Expiration=1,IF($A462&lt;VLOOKUP(T$5,NFI,5,0),1,0)*Data_NFI_t[[#This Row],[Jerry Can]],0)</f>
        <v>0</v>
      </c>
      <c r="AM462" s="105">
        <f>IF(NFI_Expiration=1,IF($A462&lt;VLOOKUP(U$5,NFI,5,0),1,0)*Data_NFI_t[[#This Row],[Plastic Mat]],0)*IF(Data_NFI_t[[#This Row],[Distribution Date]]&gt;"01-06-2015",1,2.5)</f>
        <v>0</v>
      </c>
      <c r="AN462" s="734">
        <f>IF(NFI_Expiration=1,IF($A462&lt;VLOOKUP(V$5,NFI,5,0),1,0)*Data_NFI_t[[#This Row],[Adult Clothes]],0)</f>
        <v>0</v>
      </c>
      <c r="AO462" s="105">
        <f>IF(NFI_Expiration=1,IF($A462&lt;VLOOKUP(W$5,NFI,5,0),1,0)*Data_NFI_t[[#This Row],[Children Clothes]],0)</f>
        <v>0</v>
      </c>
      <c r="AP462" s="105">
        <f>IF(NFI_Expiration=1,IF($A462&lt;VLOOKUP(X$5,NFI,5,0),1,0)*Data_NFI_t[[#This Row],[Sewing Kit]],0)</f>
        <v>0</v>
      </c>
      <c r="AQ462" s="734">
        <f>IF(NFI_Expiration=1,IF($A462&lt;VLOOKUP(X$5,NFI,5,0),1,0)*Data_NFI_t[[#This Row],[Solar Lantern]],0)</f>
        <v>0</v>
      </c>
      <c r="AR462" s="105" t="str">
        <f ca="1">IFERROR(OFFSET(Camp_List[P_Code],MATCH(Data_NFI_t[[#This Row],[Camp Name]],Camp_List[Camp Name],0)-1,0,1,1),"")</f>
        <v>MMR012CMP014</v>
      </c>
      <c r="AS462" s="421" t="str">
        <f ca="1">IFERROR(OFFSET(Camp_List[Status],MATCH(Data_NFI_t[[#This Row],[Camp Name]],Camp_List[Camp Name],0)-1,0,1,1),"")</f>
        <v>Open</v>
      </c>
      <c r="AT462" s="105"/>
    </row>
    <row r="463" spans="1:46" s="78" customFormat="1" ht="19.5" customHeight="1" x14ac:dyDescent="0.25">
      <c r="A463" s="208">
        <f t="shared" si="7"/>
        <v>65.900000000000006</v>
      </c>
      <c r="B463" s="208">
        <f>YEAR(Data_NFI_t[[#This Row],[Distribution Date]])</f>
        <v>2012</v>
      </c>
      <c r="C463" s="744">
        <v>41213</v>
      </c>
      <c r="D463" s="402" t="s">
        <v>270</v>
      </c>
      <c r="E463" s="401"/>
      <c r="F463" s="402" t="s">
        <v>7</v>
      </c>
      <c r="G463" s="670" t="s">
        <v>11</v>
      </c>
      <c r="H463" s="670" t="s">
        <v>28</v>
      </c>
      <c r="I463" s="670"/>
      <c r="J463" s="670"/>
      <c r="K463" s="670"/>
      <c r="L463" s="42"/>
      <c r="M463" s="42"/>
      <c r="N463" s="42"/>
      <c r="O463" s="42">
        <v>40</v>
      </c>
      <c r="P463" s="42"/>
      <c r="Q463" s="42"/>
      <c r="R463" s="42"/>
      <c r="S463" s="42"/>
      <c r="T463" s="419"/>
      <c r="U463" s="42"/>
      <c r="V463" s="42"/>
      <c r="W463" s="42"/>
      <c r="X463" s="42"/>
      <c r="Y463" s="42"/>
      <c r="Z463" s="42"/>
      <c r="AA463" s="42"/>
      <c r="AB463" s="42"/>
      <c r="AC463" s="105">
        <f>IF(NFI_Expiration=1,IF($A463&lt;VLOOKUP(I$5,NFI,5,0),1,0)*Data_NFI_t[[#This Row],[Hygiene Kit]],0)</f>
        <v>0</v>
      </c>
      <c r="AD463" s="105">
        <f>IF(NFI_Expiration=1,IF($A463&lt;VLOOKUP(L$5,NFI,5,0),1,0)*Data_NFI_t[[#This Row],[NFI Core Kit]],0)</f>
        <v>0</v>
      </c>
      <c r="AE463" s="86">
        <f>IF(NFI_Expiration=1,IF($A463&lt;VLOOKUP(M$5,NFI,5,0),1,0)*Data_NFI_t[[#This Row],[Sanitary Kit]],0)</f>
        <v>0</v>
      </c>
      <c r="AF463" s="86">
        <f>IF(NFI_Expiration=1,IF($A463&lt;VLOOKUP(N$5,NFI,5,0),1,0)*Data_NFI_t[[#This Row],[Mosquito net]],0)</f>
        <v>0</v>
      </c>
      <c r="AG463" s="86">
        <f>IF(NFI_Expiration=1,IF($A463&lt;VLOOKUP(O$5,NFI,5,0),1,0)*Data_NFI_t[[#This Row],[Tarpaulin]],0)</f>
        <v>0</v>
      </c>
      <c r="AH463" s="86">
        <f>IF(NFI_Expiration=1,IF($A463&lt;VLOOKUP(P$5,NFI,5,0),1,0)*Data_NFI_t[[#This Row],[Blanket]],0)</f>
        <v>0</v>
      </c>
      <c r="AI463" s="86">
        <f>IF(NFI_Expiration=1,IF($A463&lt;VLOOKUP(Q$5,NFI,5,0),1,0)*Data_NFI_t[[#This Row],[Kitchen Set]],0)</f>
        <v>0</v>
      </c>
      <c r="AJ463" s="86">
        <f>IF(NFI_Expiration=1,IF($A463&lt;VLOOKUP(R$5,NFI,5,0),1,0)*Data_NFI_t[[#This Row],[Complementary Kit]],0)</f>
        <v>0</v>
      </c>
      <c r="AK463" s="86">
        <f>IF(NFI_Expiration=1,IF($A463&lt;VLOOKUP(S$5,NFI,5,0),1,0)*Data_NFI_t[[#This Row],[Plastic Bucket]],0)</f>
        <v>0</v>
      </c>
      <c r="AL463" s="86">
        <f>IF(NFI_Expiration=1,IF($A463&lt;VLOOKUP(T$5,NFI,5,0),1,0)*Data_NFI_t[[#This Row],[Jerry Can]],0)</f>
        <v>0</v>
      </c>
      <c r="AM463" s="105">
        <f>IF(NFI_Expiration=1,IF($A463&lt;VLOOKUP(U$5,NFI,5,0),1,0)*Data_NFI_t[[#This Row],[Plastic Mat]],0)*IF(Data_NFI_t[[#This Row],[Distribution Date]]&gt;"01-06-2015",1,2.5)</f>
        <v>0</v>
      </c>
      <c r="AN463" s="734">
        <f>IF(NFI_Expiration=1,IF($A463&lt;VLOOKUP(V$5,NFI,5,0),1,0)*Data_NFI_t[[#This Row],[Adult Clothes]],0)</f>
        <v>0</v>
      </c>
      <c r="AO463" s="105">
        <f>IF(NFI_Expiration=1,IF($A463&lt;VLOOKUP(W$5,NFI,5,0),1,0)*Data_NFI_t[[#This Row],[Children Clothes]],0)</f>
        <v>0</v>
      </c>
      <c r="AP463" s="105">
        <f>IF(NFI_Expiration=1,IF($A463&lt;VLOOKUP(X$5,NFI,5,0),1,0)*Data_NFI_t[[#This Row],[Sewing Kit]],0)</f>
        <v>0</v>
      </c>
      <c r="AQ463" s="734">
        <f>IF(NFI_Expiration=1,IF($A463&lt;VLOOKUP(X$5,NFI,5,0),1,0)*Data_NFI_t[[#This Row],[Solar Lantern]],0)</f>
        <v>0</v>
      </c>
      <c r="AR463" s="105" t="str">
        <f ca="1">IFERROR(OFFSET(Camp_List[P_Code],MATCH(Data_NFI_t[[#This Row],[Camp Name]],Camp_List[Camp Name],0)-1,0,1,1),"")</f>
        <v>MMR012CMP006</v>
      </c>
      <c r="AS463" s="421" t="str">
        <f ca="1">IFERROR(OFFSET(Camp_List[Status],MATCH(Data_NFI_t[[#This Row],[Camp Name]],Camp_List[Camp Name],0)-1,0,1,1),"")</f>
        <v>Returned</v>
      </c>
      <c r="AT463" s="105"/>
    </row>
    <row r="464" spans="1:46" s="78" customFormat="1" ht="19.5" customHeight="1" x14ac:dyDescent="0.25">
      <c r="A464" s="208">
        <f t="shared" si="7"/>
        <v>65.900000000000006</v>
      </c>
      <c r="B464" s="208">
        <f>YEAR(Data_NFI_t[[#This Row],[Distribution Date]])</f>
        <v>2012</v>
      </c>
      <c r="C464" s="744">
        <v>41213</v>
      </c>
      <c r="D464" s="402" t="s">
        <v>270</v>
      </c>
      <c r="E464" s="401"/>
      <c r="F464" s="402" t="s">
        <v>7</v>
      </c>
      <c r="G464" s="670" t="s">
        <v>11</v>
      </c>
      <c r="H464" s="670" t="s">
        <v>26</v>
      </c>
      <c r="I464" s="670"/>
      <c r="J464" s="670"/>
      <c r="K464" s="670"/>
      <c r="L464" s="42"/>
      <c r="M464" s="42"/>
      <c r="N464" s="42"/>
      <c r="O464" s="42">
        <v>100</v>
      </c>
      <c r="P464" s="42"/>
      <c r="Q464" s="42"/>
      <c r="R464" s="42"/>
      <c r="S464" s="42"/>
      <c r="T464" s="419"/>
      <c r="U464" s="42"/>
      <c r="V464" s="42"/>
      <c r="W464" s="42"/>
      <c r="X464" s="42"/>
      <c r="Y464" s="42"/>
      <c r="Z464" s="42"/>
      <c r="AA464" s="42"/>
      <c r="AB464" s="42"/>
      <c r="AC464" s="105">
        <f>IF(NFI_Expiration=1,IF($A464&lt;VLOOKUP(I$5,NFI,5,0),1,0)*Data_NFI_t[[#This Row],[Hygiene Kit]],0)</f>
        <v>0</v>
      </c>
      <c r="AD464" s="105">
        <f>IF(NFI_Expiration=1,IF($A464&lt;VLOOKUP(L$5,NFI,5,0),1,0)*Data_NFI_t[[#This Row],[NFI Core Kit]],0)</f>
        <v>0</v>
      </c>
      <c r="AE464" s="86">
        <f>IF(NFI_Expiration=1,IF($A464&lt;VLOOKUP(M$5,NFI,5,0),1,0)*Data_NFI_t[[#This Row],[Sanitary Kit]],0)</f>
        <v>0</v>
      </c>
      <c r="AF464" s="86">
        <f>IF(NFI_Expiration=1,IF($A464&lt;VLOOKUP(N$5,NFI,5,0),1,0)*Data_NFI_t[[#This Row],[Mosquito net]],0)</f>
        <v>0</v>
      </c>
      <c r="AG464" s="86">
        <f>IF(NFI_Expiration=1,IF($A464&lt;VLOOKUP(O$5,NFI,5,0),1,0)*Data_NFI_t[[#This Row],[Tarpaulin]],0)</f>
        <v>0</v>
      </c>
      <c r="AH464" s="86">
        <f>IF(NFI_Expiration=1,IF($A464&lt;VLOOKUP(P$5,NFI,5,0),1,0)*Data_NFI_t[[#This Row],[Blanket]],0)</f>
        <v>0</v>
      </c>
      <c r="AI464" s="86">
        <f>IF(NFI_Expiration=1,IF($A464&lt;VLOOKUP(Q$5,NFI,5,0),1,0)*Data_NFI_t[[#This Row],[Kitchen Set]],0)</f>
        <v>0</v>
      </c>
      <c r="AJ464" s="86">
        <f>IF(NFI_Expiration=1,IF($A464&lt;VLOOKUP(R$5,NFI,5,0),1,0)*Data_NFI_t[[#This Row],[Complementary Kit]],0)</f>
        <v>0</v>
      </c>
      <c r="AK464" s="86">
        <f>IF(NFI_Expiration=1,IF($A464&lt;VLOOKUP(S$5,NFI,5,0),1,0)*Data_NFI_t[[#This Row],[Plastic Bucket]],0)</f>
        <v>0</v>
      </c>
      <c r="AL464" s="86">
        <f>IF(NFI_Expiration=1,IF($A464&lt;VLOOKUP(T$5,NFI,5,0),1,0)*Data_NFI_t[[#This Row],[Jerry Can]],0)</f>
        <v>0</v>
      </c>
      <c r="AM464" s="105">
        <f>IF(NFI_Expiration=1,IF($A464&lt;VLOOKUP(U$5,NFI,5,0),1,0)*Data_NFI_t[[#This Row],[Plastic Mat]],0)*IF(Data_NFI_t[[#This Row],[Distribution Date]]&gt;"01-06-2015",1,2.5)</f>
        <v>0</v>
      </c>
      <c r="AN464" s="734">
        <f>IF(NFI_Expiration=1,IF($A464&lt;VLOOKUP(V$5,NFI,5,0),1,0)*Data_NFI_t[[#This Row],[Adult Clothes]],0)</f>
        <v>0</v>
      </c>
      <c r="AO464" s="105">
        <f>IF(NFI_Expiration=1,IF($A464&lt;VLOOKUP(W$5,NFI,5,0),1,0)*Data_NFI_t[[#This Row],[Children Clothes]],0)</f>
        <v>0</v>
      </c>
      <c r="AP464" s="105">
        <f>IF(NFI_Expiration=1,IF($A464&lt;VLOOKUP(X$5,NFI,5,0),1,0)*Data_NFI_t[[#This Row],[Sewing Kit]],0)</f>
        <v>0</v>
      </c>
      <c r="AQ464" s="734">
        <f>IF(NFI_Expiration=1,IF($A464&lt;VLOOKUP(X$5,NFI,5,0),1,0)*Data_NFI_t[[#This Row],[Solar Lantern]],0)</f>
        <v>0</v>
      </c>
      <c r="AR464" s="105" t="str">
        <f ca="1">IFERROR(OFFSET(Camp_List[P_Code],MATCH(Data_NFI_t[[#This Row],[Camp Name]],Camp_List[Camp Name],0)-1,0,1,1),"")</f>
        <v>MMR012CMP004</v>
      </c>
      <c r="AS464" s="421" t="str">
        <f ca="1">IFERROR(OFFSET(Camp_List[Status],MATCH(Data_NFI_t[[#This Row],[Camp Name]],Camp_List[Camp Name],0)-1,0,1,1),"")</f>
        <v>Close</v>
      </c>
      <c r="AT464" s="105"/>
    </row>
    <row r="465" spans="1:46" s="78" customFormat="1" ht="19.5" customHeight="1" x14ac:dyDescent="0.25">
      <c r="A465" s="208">
        <f t="shared" si="7"/>
        <v>65.900000000000006</v>
      </c>
      <c r="B465" s="208">
        <f>YEAR(Data_NFI_t[[#This Row],[Distribution Date]])</f>
        <v>2012</v>
      </c>
      <c r="C465" s="744">
        <v>41213</v>
      </c>
      <c r="D465" s="402" t="s">
        <v>270</v>
      </c>
      <c r="E465" s="401"/>
      <c r="F465" s="402" t="s">
        <v>7</v>
      </c>
      <c r="G465" s="670" t="s">
        <v>941</v>
      </c>
      <c r="H465" s="670" t="s">
        <v>31</v>
      </c>
      <c r="I465" s="670"/>
      <c r="J465" s="670"/>
      <c r="K465" s="670"/>
      <c r="L465" s="42"/>
      <c r="M465" s="42"/>
      <c r="N465" s="42"/>
      <c r="O465" s="42">
        <v>100</v>
      </c>
      <c r="P465" s="42"/>
      <c r="Q465" s="42"/>
      <c r="R465" s="42"/>
      <c r="S465" s="42"/>
      <c r="T465" s="419"/>
      <c r="U465" s="42"/>
      <c r="V465" s="42"/>
      <c r="W465" s="42"/>
      <c r="X465" s="42"/>
      <c r="Y465" s="42"/>
      <c r="Z465" s="42"/>
      <c r="AA465" s="42"/>
      <c r="AB465" s="42"/>
      <c r="AC465" s="105">
        <f>IF(NFI_Expiration=1,IF($A465&lt;VLOOKUP(I$5,NFI,5,0),1,0)*Data_NFI_t[[#This Row],[Hygiene Kit]],0)</f>
        <v>0</v>
      </c>
      <c r="AD465" s="105">
        <f>IF(NFI_Expiration=1,IF($A465&lt;VLOOKUP(L$5,NFI,5,0),1,0)*Data_NFI_t[[#This Row],[NFI Core Kit]],0)</f>
        <v>0</v>
      </c>
      <c r="AE465" s="86">
        <f>IF(NFI_Expiration=1,IF($A465&lt;VLOOKUP(M$5,NFI,5,0),1,0)*Data_NFI_t[[#This Row],[Sanitary Kit]],0)</f>
        <v>0</v>
      </c>
      <c r="AF465" s="86">
        <f>IF(NFI_Expiration=1,IF($A465&lt;VLOOKUP(N$5,NFI,5,0),1,0)*Data_NFI_t[[#This Row],[Mosquito net]],0)</f>
        <v>0</v>
      </c>
      <c r="AG465" s="86">
        <f>IF(NFI_Expiration=1,IF($A465&lt;VLOOKUP(O$5,NFI,5,0),1,0)*Data_NFI_t[[#This Row],[Tarpaulin]],0)</f>
        <v>0</v>
      </c>
      <c r="AH465" s="86">
        <f>IF(NFI_Expiration=1,IF($A465&lt;VLOOKUP(P$5,NFI,5,0),1,0)*Data_NFI_t[[#This Row],[Blanket]],0)</f>
        <v>0</v>
      </c>
      <c r="AI465" s="86">
        <f>IF(NFI_Expiration=1,IF($A465&lt;VLOOKUP(Q$5,NFI,5,0),1,0)*Data_NFI_t[[#This Row],[Kitchen Set]],0)</f>
        <v>0</v>
      </c>
      <c r="AJ465" s="86">
        <f>IF(NFI_Expiration=1,IF($A465&lt;VLOOKUP(R$5,NFI,5,0),1,0)*Data_NFI_t[[#This Row],[Complementary Kit]],0)</f>
        <v>0</v>
      </c>
      <c r="AK465" s="86">
        <f>IF(NFI_Expiration=1,IF($A465&lt;VLOOKUP(S$5,NFI,5,0),1,0)*Data_NFI_t[[#This Row],[Plastic Bucket]],0)</f>
        <v>0</v>
      </c>
      <c r="AL465" s="86">
        <f>IF(NFI_Expiration=1,IF($A465&lt;VLOOKUP(T$5,NFI,5,0),1,0)*Data_NFI_t[[#This Row],[Jerry Can]],0)</f>
        <v>0</v>
      </c>
      <c r="AM465" s="105">
        <f>IF(NFI_Expiration=1,IF($A465&lt;VLOOKUP(U$5,NFI,5,0),1,0)*Data_NFI_t[[#This Row],[Plastic Mat]],0)*IF(Data_NFI_t[[#This Row],[Distribution Date]]&gt;"01-06-2015",1,2.5)</f>
        <v>0</v>
      </c>
      <c r="AN465" s="734">
        <f>IF(NFI_Expiration=1,IF($A465&lt;VLOOKUP(V$5,NFI,5,0),1,0)*Data_NFI_t[[#This Row],[Adult Clothes]],0)</f>
        <v>0</v>
      </c>
      <c r="AO465" s="105">
        <f>IF(NFI_Expiration=1,IF($A465&lt;VLOOKUP(W$5,NFI,5,0),1,0)*Data_NFI_t[[#This Row],[Children Clothes]],0)</f>
        <v>0</v>
      </c>
      <c r="AP465" s="105">
        <f>IF(NFI_Expiration=1,IF($A465&lt;VLOOKUP(X$5,NFI,5,0),1,0)*Data_NFI_t[[#This Row],[Sewing Kit]],0)</f>
        <v>0</v>
      </c>
      <c r="AQ465" s="734">
        <f>IF(NFI_Expiration=1,IF($A465&lt;VLOOKUP(X$5,NFI,5,0),1,0)*Data_NFI_t[[#This Row],[Solar Lantern]],0)</f>
        <v>0</v>
      </c>
      <c r="AR465" s="105" t="str">
        <f ca="1">IFERROR(OFFSET(Camp_List[P_Code],MATCH(Data_NFI_t[[#This Row],[Camp Name]],Camp_List[Camp Name],0)-1,0,1,1),"")</f>
        <v>MMR012CMP009</v>
      </c>
      <c r="AS465" s="421" t="str">
        <f ca="1">IFERROR(OFFSET(Camp_List[Status],MATCH(Data_NFI_t[[#This Row],[Camp Name]],Camp_List[Camp Name],0)-1,0,1,1),"")</f>
        <v>Returned</v>
      </c>
      <c r="AT465" s="105"/>
    </row>
    <row r="466" spans="1:46" s="78" customFormat="1" ht="19.5" customHeight="1" x14ac:dyDescent="0.25">
      <c r="A466" s="208">
        <f t="shared" si="7"/>
        <v>66.7</v>
      </c>
      <c r="B466" s="208">
        <f>YEAR(Data_NFI_t[[#This Row],[Distribution Date]])</f>
        <v>2012</v>
      </c>
      <c r="C466" s="744">
        <v>41189</v>
      </c>
      <c r="D466" s="402" t="s">
        <v>270</v>
      </c>
      <c r="E466" s="401"/>
      <c r="F466" s="402" t="s">
        <v>7</v>
      </c>
      <c r="G466" s="670" t="s">
        <v>14</v>
      </c>
      <c r="H466" s="670" t="s">
        <v>46</v>
      </c>
      <c r="I466" s="670"/>
      <c r="J466" s="670"/>
      <c r="K466" s="670"/>
      <c r="L466" s="42"/>
      <c r="M466" s="42"/>
      <c r="N466" s="42"/>
      <c r="O466" s="42">
        <v>90</v>
      </c>
      <c r="P466" s="42"/>
      <c r="Q466" s="42"/>
      <c r="R466" s="42"/>
      <c r="S466" s="42"/>
      <c r="T466" s="419"/>
      <c r="U466" s="42"/>
      <c r="V466" s="42"/>
      <c r="W466" s="42"/>
      <c r="X466" s="42"/>
      <c r="Y466" s="42"/>
      <c r="Z466" s="42"/>
      <c r="AA466" s="42"/>
      <c r="AB466" s="42"/>
      <c r="AC466" s="105">
        <f>IF(NFI_Expiration=1,IF($A466&lt;VLOOKUP(I$5,NFI,5,0),1,0)*Data_NFI_t[[#This Row],[Hygiene Kit]],0)</f>
        <v>0</v>
      </c>
      <c r="AD466" s="105">
        <f>IF(NFI_Expiration=1,IF($A466&lt;VLOOKUP(L$5,NFI,5,0),1,0)*Data_NFI_t[[#This Row],[NFI Core Kit]],0)</f>
        <v>0</v>
      </c>
      <c r="AE466" s="86">
        <f>IF(NFI_Expiration=1,IF($A466&lt;VLOOKUP(M$5,NFI,5,0),1,0)*Data_NFI_t[[#This Row],[Sanitary Kit]],0)</f>
        <v>0</v>
      </c>
      <c r="AF466" s="86">
        <f>IF(NFI_Expiration=1,IF($A466&lt;VLOOKUP(N$5,NFI,5,0),1,0)*Data_NFI_t[[#This Row],[Mosquito net]],0)</f>
        <v>0</v>
      </c>
      <c r="AG466" s="86">
        <f>IF(NFI_Expiration=1,IF($A466&lt;VLOOKUP(O$5,NFI,5,0),1,0)*Data_NFI_t[[#This Row],[Tarpaulin]],0)</f>
        <v>0</v>
      </c>
      <c r="AH466" s="86">
        <f>IF(NFI_Expiration=1,IF($A466&lt;VLOOKUP(P$5,NFI,5,0),1,0)*Data_NFI_t[[#This Row],[Blanket]],0)</f>
        <v>0</v>
      </c>
      <c r="AI466" s="86">
        <f>IF(NFI_Expiration=1,IF($A466&lt;VLOOKUP(Q$5,NFI,5,0),1,0)*Data_NFI_t[[#This Row],[Kitchen Set]],0)</f>
        <v>0</v>
      </c>
      <c r="AJ466" s="86">
        <f>IF(NFI_Expiration=1,IF($A466&lt;VLOOKUP(R$5,NFI,5,0),1,0)*Data_NFI_t[[#This Row],[Complementary Kit]],0)</f>
        <v>0</v>
      </c>
      <c r="AK466" s="86">
        <f>IF(NFI_Expiration=1,IF($A466&lt;VLOOKUP(S$5,NFI,5,0),1,0)*Data_NFI_t[[#This Row],[Plastic Bucket]],0)</f>
        <v>0</v>
      </c>
      <c r="AL466" s="86">
        <f>IF(NFI_Expiration=1,IF($A466&lt;VLOOKUP(T$5,NFI,5,0),1,0)*Data_NFI_t[[#This Row],[Jerry Can]],0)</f>
        <v>0</v>
      </c>
      <c r="AM466" s="105">
        <f>IF(NFI_Expiration=1,IF($A466&lt;VLOOKUP(U$5,NFI,5,0),1,0)*Data_NFI_t[[#This Row],[Plastic Mat]],0)*IF(Data_NFI_t[[#This Row],[Distribution Date]]&gt;"01-06-2015",1,2.5)</f>
        <v>0</v>
      </c>
      <c r="AN466" s="734">
        <f>IF(NFI_Expiration=1,IF($A466&lt;VLOOKUP(V$5,NFI,5,0),1,0)*Data_NFI_t[[#This Row],[Adult Clothes]],0)</f>
        <v>0</v>
      </c>
      <c r="AO466" s="105">
        <f>IF(NFI_Expiration=1,IF($A466&lt;VLOOKUP(W$5,NFI,5,0),1,0)*Data_NFI_t[[#This Row],[Children Clothes]],0)</f>
        <v>0</v>
      </c>
      <c r="AP466" s="105">
        <f>IF(NFI_Expiration=1,IF($A466&lt;VLOOKUP(X$5,NFI,5,0),1,0)*Data_NFI_t[[#This Row],[Sewing Kit]],0)</f>
        <v>0</v>
      </c>
      <c r="AQ466" s="734">
        <f>IF(NFI_Expiration=1,IF($A466&lt;VLOOKUP(X$5,NFI,5,0),1,0)*Data_NFI_t[[#This Row],[Solar Lantern]],0)</f>
        <v>0</v>
      </c>
      <c r="AR466" s="105" t="str">
        <f ca="1">IFERROR(OFFSET(Camp_List[P_Code],MATCH(Data_NFI_t[[#This Row],[Camp Name]],Camp_List[Camp Name],0)-1,0,1,1),"")</f>
        <v>MMR012CMP024</v>
      </c>
      <c r="AS466" s="421" t="str">
        <f ca="1">IFERROR(OFFSET(Camp_List[Status],MATCH(Data_NFI_t[[#This Row],[Camp Name]],Camp_List[Camp Name],0)-1,0,1,1),"")</f>
        <v>Returned</v>
      </c>
      <c r="AT466" s="105"/>
    </row>
    <row r="467" spans="1:46" s="78" customFormat="1" ht="19.5" customHeight="1" x14ac:dyDescent="0.25">
      <c r="A467" s="208">
        <f t="shared" si="7"/>
        <v>66.7</v>
      </c>
      <c r="B467" s="208">
        <f>YEAR(Data_NFI_t[[#This Row],[Distribution Date]])</f>
        <v>2012</v>
      </c>
      <c r="C467" s="744">
        <v>41189</v>
      </c>
      <c r="D467" s="402" t="s">
        <v>270</v>
      </c>
      <c r="E467" s="401"/>
      <c r="F467" s="402" t="s">
        <v>7</v>
      </c>
      <c r="G467" s="670" t="s">
        <v>14</v>
      </c>
      <c r="H467" s="670" t="s">
        <v>276</v>
      </c>
      <c r="I467" s="670"/>
      <c r="J467" s="670"/>
      <c r="K467" s="670"/>
      <c r="L467" s="42"/>
      <c r="M467" s="42"/>
      <c r="N467" s="42"/>
      <c r="O467" s="42">
        <v>97</v>
      </c>
      <c r="P467" s="42"/>
      <c r="Q467" s="42"/>
      <c r="R467" s="42"/>
      <c r="S467" s="42"/>
      <c r="T467" s="419"/>
      <c r="U467" s="42"/>
      <c r="V467" s="42"/>
      <c r="W467" s="42"/>
      <c r="X467" s="42"/>
      <c r="Y467" s="42"/>
      <c r="Z467" s="42"/>
      <c r="AA467" s="42"/>
      <c r="AB467" s="42"/>
      <c r="AC467" s="105">
        <f>IF(NFI_Expiration=1,IF($A467&lt;VLOOKUP(I$5,NFI,5,0),1,0)*Data_NFI_t[[#This Row],[Hygiene Kit]],0)</f>
        <v>0</v>
      </c>
      <c r="AD467" s="105">
        <f>IF(NFI_Expiration=1,IF($A467&lt;VLOOKUP(L$5,NFI,5,0),1,0)*Data_NFI_t[[#This Row],[NFI Core Kit]],0)</f>
        <v>0</v>
      </c>
      <c r="AE467" s="86">
        <f>IF(NFI_Expiration=1,IF($A467&lt;VLOOKUP(M$5,NFI,5,0),1,0)*Data_NFI_t[[#This Row],[Sanitary Kit]],0)</f>
        <v>0</v>
      </c>
      <c r="AF467" s="86">
        <f>IF(NFI_Expiration=1,IF($A467&lt;VLOOKUP(N$5,NFI,5,0),1,0)*Data_NFI_t[[#This Row],[Mosquito net]],0)</f>
        <v>0</v>
      </c>
      <c r="AG467" s="86">
        <f>IF(NFI_Expiration=1,IF($A467&lt;VLOOKUP(O$5,NFI,5,0),1,0)*Data_NFI_t[[#This Row],[Tarpaulin]],0)</f>
        <v>0</v>
      </c>
      <c r="AH467" s="86">
        <f>IF(NFI_Expiration=1,IF($A467&lt;VLOOKUP(P$5,NFI,5,0),1,0)*Data_NFI_t[[#This Row],[Blanket]],0)</f>
        <v>0</v>
      </c>
      <c r="AI467" s="86">
        <f>IF(NFI_Expiration=1,IF($A467&lt;VLOOKUP(Q$5,NFI,5,0),1,0)*Data_NFI_t[[#This Row],[Kitchen Set]],0)</f>
        <v>0</v>
      </c>
      <c r="AJ467" s="86">
        <f>IF(NFI_Expiration=1,IF($A467&lt;VLOOKUP(R$5,NFI,5,0),1,0)*Data_NFI_t[[#This Row],[Complementary Kit]],0)</f>
        <v>0</v>
      </c>
      <c r="AK467" s="86">
        <f>IF(NFI_Expiration=1,IF($A467&lt;VLOOKUP(S$5,NFI,5,0),1,0)*Data_NFI_t[[#This Row],[Plastic Bucket]],0)</f>
        <v>0</v>
      </c>
      <c r="AL467" s="86">
        <f>IF(NFI_Expiration=1,IF($A467&lt;VLOOKUP(T$5,NFI,5,0),1,0)*Data_NFI_t[[#This Row],[Jerry Can]],0)</f>
        <v>0</v>
      </c>
      <c r="AM467" s="105">
        <f>IF(NFI_Expiration=1,IF($A467&lt;VLOOKUP(U$5,NFI,5,0),1,0)*Data_NFI_t[[#This Row],[Plastic Mat]],0)*IF(Data_NFI_t[[#This Row],[Distribution Date]]&gt;"01-06-2015",1,2.5)</f>
        <v>0</v>
      </c>
      <c r="AN467" s="734">
        <f>IF(NFI_Expiration=1,IF($A467&lt;VLOOKUP(V$5,NFI,5,0),1,0)*Data_NFI_t[[#This Row],[Adult Clothes]],0)</f>
        <v>0</v>
      </c>
      <c r="AO467" s="105">
        <f>IF(NFI_Expiration=1,IF($A467&lt;VLOOKUP(W$5,NFI,5,0),1,0)*Data_NFI_t[[#This Row],[Children Clothes]],0)</f>
        <v>0</v>
      </c>
      <c r="AP467" s="105">
        <f>IF(NFI_Expiration=1,IF($A467&lt;VLOOKUP(X$5,NFI,5,0),1,0)*Data_NFI_t[[#This Row],[Sewing Kit]],0)</f>
        <v>0</v>
      </c>
      <c r="AQ467" s="734">
        <f>IF(NFI_Expiration=1,IF($A467&lt;VLOOKUP(X$5,NFI,5,0),1,0)*Data_NFI_t[[#This Row],[Solar Lantern]],0)</f>
        <v>0</v>
      </c>
      <c r="AR467" s="105" t="str">
        <f ca="1">IFERROR(OFFSET(Camp_List[P_Code],MATCH(Data_NFI_t[[#This Row],[Camp Name]],Camp_List[Camp Name],0)-1,0,1,1),"")</f>
        <v/>
      </c>
      <c r="AS467" s="421" t="str">
        <f ca="1">IFERROR(OFFSET(Camp_List[Status],MATCH(Data_NFI_t[[#This Row],[Camp Name]],Camp_List[Camp Name],0)-1,0,1,1),"")</f>
        <v/>
      </c>
      <c r="AT467" s="105"/>
    </row>
    <row r="468" spans="1:46" s="78" customFormat="1" ht="19.5" customHeight="1" x14ac:dyDescent="0.25">
      <c r="A468" s="208">
        <f t="shared" si="7"/>
        <v>66.733333333333334</v>
      </c>
      <c r="B468" s="208">
        <f>YEAR(Data_NFI_t[[#This Row],[Distribution Date]])</f>
        <v>2012</v>
      </c>
      <c r="C468" s="744">
        <v>41188</v>
      </c>
      <c r="D468" s="402" t="s">
        <v>270</v>
      </c>
      <c r="E468" s="401"/>
      <c r="F468" s="402" t="s">
        <v>7</v>
      </c>
      <c r="G468" s="670" t="s">
        <v>17</v>
      </c>
      <c r="H468" s="670" t="s">
        <v>261</v>
      </c>
      <c r="I468" s="670"/>
      <c r="J468" s="670"/>
      <c r="K468" s="670"/>
      <c r="L468" s="42"/>
      <c r="M468" s="42"/>
      <c r="N468" s="42"/>
      <c r="O468" s="42">
        <v>100</v>
      </c>
      <c r="P468" s="42"/>
      <c r="Q468" s="42"/>
      <c r="R468" s="42"/>
      <c r="S468" s="42"/>
      <c r="T468" s="419"/>
      <c r="U468" s="42"/>
      <c r="V468" s="42"/>
      <c r="W468" s="42"/>
      <c r="X468" s="42"/>
      <c r="Y468" s="42"/>
      <c r="Z468" s="42"/>
      <c r="AA468" s="42"/>
      <c r="AB468" s="42"/>
      <c r="AC468" s="105">
        <f>IF(NFI_Expiration=1,IF($A468&lt;VLOOKUP(I$5,NFI,5,0),1,0)*Data_NFI_t[[#This Row],[Hygiene Kit]],0)</f>
        <v>0</v>
      </c>
      <c r="AD468" s="105">
        <f>IF(NFI_Expiration=1,IF($A468&lt;VLOOKUP(L$5,NFI,5,0),1,0)*Data_NFI_t[[#This Row],[NFI Core Kit]],0)</f>
        <v>0</v>
      </c>
      <c r="AE468" s="86">
        <f>IF(NFI_Expiration=1,IF($A468&lt;VLOOKUP(M$5,NFI,5,0),1,0)*Data_NFI_t[[#This Row],[Sanitary Kit]],0)</f>
        <v>0</v>
      </c>
      <c r="AF468" s="86">
        <f>IF(NFI_Expiration=1,IF($A468&lt;VLOOKUP(N$5,NFI,5,0),1,0)*Data_NFI_t[[#This Row],[Mosquito net]],0)</f>
        <v>0</v>
      </c>
      <c r="AG468" s="86">
        <f>IF(NFI_Expiration=1,IF($A468&lt;VLOOKUP(O$5,NFI,5,0),1,0)*Data_NFI_t[[#This Row],[Tarpaulin]],0)</f>
        <v>0</v>
      </c>
      <c r="AH468" s="86">
        <f>IF(NFI_Expiration=1,IF($A468&lt;VLOOKUP(P$5,NFI,5,0),1,0)*Data_NFI_t[[#This Row],[Blanket]],0)</f>
        <v>0</v>
      </c>
      <c r="AI468" s="86">
        <f>IF(NFI_Expiration=1,IF($A468&lt;VLOOKUP(Q$5,NFI,5,0),1,0)*Data_NFI_t[[#This Row],[Kitchen Set]],0)</f>
        <v>0</v>
      </c>
      <c r="AJ468" s="86">
        <f>IF(NFI_Expiration=1,IF($A468&lt;VLOOKUP(R$5,NFI,5,0),1,0)*Data_NFI_t[[#This Row],[Complementary Kit]],0)</f>
        <v>0</v>
      </c>
      <c r="AK468" s="86">
        <f>IF(NFI_Expiration=1,IF($A468&lt;VLOOKUP(S$5,NFI,5,0),1,0)*Data_NFI_t[[#This Row],[Plastic Bucket]],0)</f>
        <v>0</v>
      </c>
      <c r="AL468" s="86">
        <f>IF(NFI_Expiration=1,IF($A468&lt;VLOOKUP(T$5,NFI,5,0),1,0)*Data_NFI_t[[#This Row],[Jerry Can]],0)</f>
        <v>0</v>
      </c>
      <c r="AM468" s="105">
        <f>IF(NFI_Expiration=1,IF($A468&lt;VLOOKUP(U$5,NFI,5,0),1,0)*Data_NFI_t[[#This Row],[Plastic Mat]],0)*IF(Data_NFI_t[[#This Row],[Distribution Date]]&gt;"01-06-2015",1,2.5)</f>
        <v>0</v>
      </c>
      <c r="AN468" s="734">
        <f>IF(NFI_Expiration=1,IF($A468&lt;VLOOKUP(V$5,NFI,5,0),1,0)*Data_NFI_t[[#This Row],[Adult Clothes]],0)</f>
        <v>0</v>
      </c>
      <c r="AO468" s="105">
        <f>IF(NFI_Expiration=1,IF($A468&lt;VLOOKUP(W$5,NFI,5,0),1,0)*Data_NFI_t[[#This Row],[Children Clothes]],0)</f>
        <v>0</v>
      </c>
      <c r="AP468" s="105">
        <f>IF(NFI_Expiration=1,IF($A468&lt;VLOOKUP(X$5,NFI,5,0),1,0)*Data_NFI_t[[#This Row],[Sewing Kit]],0)</f>
        <v>0</v>
      </c>
      <c r="AQ468" s="734">
        <f>IF(NFI_Expiration=1,IF($A468&lt;VLOOKUP(X$5,NFI,5,0),1,0)*Data_NFI_t[[#This Row],[Solar Lantern]],0)</f>
        <v>0</v>
      </c>
      <c r="AR468" s="105" t="str">
        <f ca="1">IFERROR(OFFSET(Camp_List[P_Code],MATCH(Data_NFI_t[[#This Row],[Camp Name]],Camp_List[Camp Name],0)-1,0,1,1),"")</f>
        <v/>
      </c>
      <c r="AS468" s="421" t="str">
        <f ca="1">IFERROR(OFFSET(Camp_List[Status],MATCH(Data_NFI_t[[#This Row],[Camp Name]],Camp_List[Camp Name],0)-1,0,1,1),"")</f>
        <v/>
      </c>
      <c r="AT468" s="105"/>
    </row>
    <row r="469" spans="1:46" s="78" customFormat="1" ht="19.5" customHeight="1" x14ac:dyDescent="0.25">
      <c r="A469" s="208">
        <f t="shared" si="7"/>
        <v>67.7</v>
      </c>
      <c r="B469" s="208">
        <f>YEAR(Data_NFI_t[[#This Row],[Distribution Date]])</f>
        <v>2012</v>
      </c>
      <c r="C469" s="744">
        <v>41159</v>
      </c>
      <c r="D469" s="402" t="s">
        <v>270</v>
      </c>
      <c r="E469" s="401"/>
      <c r="F469" s="402" t="s">
        <v>7</v>
      </c>
      <c r="G469" s="670" t="s">
        <v>17</v>
      </c>
      <c r="H469" s="670" t="s">
        <v>60</v>
      </c>
      <c r="I469" s="670"/>
      <c r="J469" s="670"/>
      <c r="K469" s="670"/>
      <c r="L469" s="42"/>
      <c r="M469" s="42"/>
      <c r="N469" s="42"/>
      <c r="O469" s="42">
        <v>55</v>
      </c>
      <c r="P469" s="42"/>
      <c r="Q469" s="42"/>
      <c r="R469" s="42"/>
      <c r="S469" s="42"/>
      <c r="T469" s="419"/>
      <c r="U469" s="42"/>
      <c r="V469" s="42"/>
      <c r="W469" s="42"/>
      <c r="X469" s="42"/>
      <c r="Y469" s="42"/>
      <c r="Z469" s="42"/>
      <c r="AA469" s="42"/>
      <c r="AB469" s="42"/>
      <c r="AC469" s="105">
        <f>IF(NFI_Expiration=1,IF($A469&lt;VLOOKUP(I$5,NFI,5,0),1,0)*Data_NFI_t[[#This Row],[Hygiene Kit]],0)</f>
        <v>0</v>
      </c>
      <c r="AD469" s="105">
        <f>IF(NFI_Expiration=1,IF($A469&lt;VLOOKUP(L$5,NFI,5,0),1,0)*Data_NFI_t[[#This Row],[NFI Core Kit]],0)</f>
        <v>0</v>
      </c>
      <c r="AE469" s="86">
        <f>IF(NFI_Expiration=1,IF($A469&lt;VLOOKUP(M$5,NFI,5,0),1,0)*Data_NFI_t[[#This Row],[Sanitary Kit]],0)</f>
        <v>0</v>
      </c>
      <c r="AF469" s="86">
        <f>IF(NFI_Expiration=1,IF($A469&lt;VLOOKUP(N$5,NFI,5,0),1,0)*Data_NFI_t[[#This Row],[Mosquito net]],0)</f>
        <v>0</v>
      </c>
      <c r="AG469" s="86">
        <f>IF(NFI_Expiration=1,IF($A469&lt;VLOOKUP(O$5,NFI,5,0),1,0)*Data_NFI_t[[#This Row],[Tarpaulin]],0)</f>
        <v>0</v>
      </c>
      <c r="AH469" s="86">
        <f>IF(NFI_Expiration=1,IF($A469&lt;VLOOKUP(P$5,NFI,5,0),1,0)*Data_NFI_t[[#This Row],[Blanket]],0)</f>
        <v>0</v>
      </c>
      <c r="AI469" s="86">
        <f>IF(NFI_Expiration=1,IF($A469&lt;VLOOKUP(Q$5,NFI,5,0),1,0)*Data_NFI_t[[#This Row],[Kitchen Set]],0)</f>
        <v>0</v>
      </c>
      <c r="AJ469" s="86">
        <f>IF(NFI_Expiration=1,IF($A469&lt;VLOOKUP(R$5,NFI,5,0),1,0)*Data_NFI_t[[#This Row],[Complementary Kit]],0)</f>
        <v>0</v>
      </c>
      <c r="AK469" s="86">
        <f>IF(NFI_Expiration=1,IF($A469&lt;VLOOKUP(S$5,NFI,5,0),1,0)*Data_NFI_t[[#This Row],[Plastic Bucket]],0)</f>
        <v>0</v>
      </c>
      <c r="AL469" s="86">
        <f>IF(NFI_Expiration=1,IF($A469&lt;VLOOKUP(T$5,NFI,5,0),1,0)*Data_NFI_t[[#This Row],[Jerry Can]],0)</f>
        <v>0</v>
      </c>
      <c r="AM469" s="105">
        <f>IF(NFI_Expiration=1,IF($A469&lt;VLOOKUP(U$5,NFI,5,0),1,0)*Data_NFI_t[[#This Row],[Plastic Mat]],0)*IF(Data_NFI_t[[#This Row],[Distribution Date]]&gt;"01-06-2015",1,2.5)</f>
        <v>0</v>
      </c>
      <c r="AN469" s="734">
        <f>IF(NFI_Expiration=1,IF($A469&lt;VLOOKUP(V$5,NFI,5,0),1,0)*Data_NFI_t[[#This Row],[Adult Clothes]],0)</f>
        <v>0</v>
      </c>
      <c r="AO469" s="105">
        <f>IF(NFI_Expiration=1,IF($A469&lt;VLOOKUP(W$5,NFI,5,0),1,0)*Data_NFI_t[[#This Row],[Children Clothes]],0)</f>
        <v>0</v>
      </c>
      <c r="AP469" s="105">
        <f>IF(NFI_Expiration=1,IF($A469&lt;VLOOKUP(X$5,NFI,5,0),1,0)*Data_NFI_t[[#This Row],[Sewing Kit]],0)</f>
        <v>0</v>
      </c>
      <c r="AQ469" s="734">
        <f>IF(NFI_Expiration=1,IF($A469&lt;VLOOKUP(X$5,NFI,5,0),1,0)*Data_NFI_t[[#This Row],[Solar Lantern]],0)</f>
        <v>0</v>
      </c>
      <c r="AR469" s="105" t="str">
        <f ca="1">IFERROR(OFFSET(Camp_List[P_Code],MATCH(Data_NFI_t[[#This Row],[Camp Name]],Camp_List[Camp Name],0)-1,0,1,1),"")</f>
        <v>MMR012CMP040</v>
      </c>
      <c r="AS469" s="421" t="str">
        <f ca="1">IFERROR(OFFSET(Camp_List[Status],MATCH(Data_NFI_t[[#This Row],[Camp Name]],Camp_List[Camp Name],0)-1,0,1,1),"")</f>
        <v>Close</v>
      </c>
      <c r="AT469" s="105"/>
    </row>
    <row r="470" spans="1:46" s="78" customFormat="1" ht="19.5" customHeight="1" x14ac:dyDescent="0.25">
      <c r="A470" s="208">
        <f t="shared" si="7"/>
        <v>67.766666666666666</v>
      </c>
      <c r="B470" s="208">
        <f>YEAR(Data_NFI_t[[#This Row],[Distribution Date]])</f>
        <v>2012</v>
      </c>
      <c r="C470" s="744">
        <v>41157</v>
      </c>
      <c r="D470" s="402" t="s">
        <v>270</v>
      </c>
      <c r="E470" s="401"/>
      <c r="F470" s="402" t="s">
        <v>7</v>
      </c>
      <c r="G470" s="670" t="s">
        <v>17</v>
      </c>
      <c r="H470" s="670" t="s">
        <v>60</v>
      </c>
      <c r="I470" s="670"/>
      <c r="J470" s="670"/>
      <c r="K470" s="670"/>
      <c r="L470" s="42"/>
      <c r="M470" s="42"/>
      <c r="N470" s="42"/>
      <c r="O470" s="42"/>
      <c r="P470" s="42">
        <v>65</v>
      </c>
      <c r="Q470" s="42"/>
      <c r="R470" s="42"/>
      <c r="S470" s="42"/>
      <c r="T470" s="419"/>
      <c r="U470" s="42"/>
      <c r="V470" s="42"/>
      <c r="W470" s="42"/>
      <c r="X470" s="42"/>
      <c r="Y470" s="42"/>
      <c r="Z470" s="42"/>
      <c r="AA470" s="42"/>
      <c r="AB470" s="42"/>
      <c r="AC470" s="105">
        <f>IF(NFI_Expiration=1,IF($A470&lt;VLOOKUP(I$5,NFI,5,0),1,0)*Data_NFI_t[[#This Row],[Hygiene Kit]],0)</f>
        <v>0</v>
      </c>
      <c r="AD470" s="105">
        <f>IF(NFI_Expiration=1,IF($A470&lt;VLOOKUP(L$5,NFI,5,0),1,0)*Data_NFI_t[[#This Row],[NFI Core Kit]],0)</f>
        <v>0</v>
      </c>
      <c r="AE470" s="86">
        <f>IF(NFI_Expiration=1,IF($A470&lt;VLOOKUP(M$5,NFI,5,0),1,0)*Data_NFI_t[[#This Row],[Sanitary Kit]],0)</f>
        <v>0</v>
      </c>
      <c r="AF470" s="86">
        <f>IF(NFI_Expiration=1,IF($A470&lt;VLOOKUP(N$5,NFI,5,0),1,0)*Data_NFI_t[[#This Row],[Mosquito net]],0)</f>
        <v>0</v>
      </c>
      <c r="AG470" s="86">
        <f>IF(NFI_Expiration=1,IF($A470&lt;VLOOKUP(O$5,NFI,5,0),1,0)*Data_NFI_t[[#This Row],[Tarpaulin]],0)</f>
        <v>0</v>
      </c>
      <c r="AH470" s="86">
        <f>IF(NFI_Expiration=1,IF($A470&lt;VLOOKUP(P$5,NFI,5,0),1,0)*Data_NFI_t[[#This Row],[Blanket]],0)</f>
        <v>0</v>
      </c>
      <c r="AI470" s="86">
        <f>IF(NFI_Expiration=1,IF($A470&lt;VLOOKUP(Q$5,NFI,5,0),1,0)*Data_NFI_t[[#This Row],[Kitchen Set]],0)</f>
        <v>0</v>
      </c>
      <c r="AJ470" s="86">
        <f>IF(NFI_Expiration=1,IF($A470&lt;VLOOKUP(R$5,NFI,5,0),1,0)*Data_NFI_t[[#This Row],[Complementary Kit]],0)</f>
        <v>0</v>
      </c>
      <c r="AK470" s="86">
        <f>IF(NFI_Expiration=1,IF($A470&lt;VLOOKUP(S$5,NFI,5,0),1,0)*Data_NFI_t[[#This Row],[Plastic Bucket]],0)</f>
        <v>0</v>
      </c>
      <c r="AL470" s="86">
        <f>IF(NFI_Expiration=1,IF($A470&lt;VLOOKUP(T$5,NFI,5,0),1,0)*Data_NFI_t[[#This Row],[Jerry Can]],0)</f>
        <v>0</v>
      </c>
      <c r="AM470" s="105">
        <f>IF(NFI_Expiration=1,IF($A470&lt;VLOOKUP(U$5,NFI,5,0),1,0)*Data_NFI_t[[#This Row],[Plastic Mat]],0)*IF(Data_NFI_t[[#This Row],[Distribution Date]]&gt;"01-06-2015",1,2.5)</f>
        <v>0</v>
      </c>
      <c r="AN470" s="734">
        <f>IF(NFI_Expiration=1,IF($A470&lt;VLOOKUP(V$5,NFI,5,0),1,0)*Data_NFI_t[[#This Row],[Adult Clothes]],0)</f>
        <v>0</v>
      </c>
      <c r="AO470" s="105">
        <f>IF(NFI_Expiration=1,IF($A470&lt;VLOOKUP(W$5,NFI,5,0),1,0)*Data_NFI_t[[#This Row],[Children Clothes]],0)</f>
        <v>0</v>
      </c>
      <c r="AP470" s="105">
        <f>IF(NFI_Expiration=1,IF($A470&lt;VLOOKUP(X$5,NFI,5,0),1,0)*Data_NFI_t[[#This Row],[Sewing Kit]],0)</f>
        <v>0</v>
      </c>
      <c r="AQ470" s="734">
        <f>IF(NFI_Expiration=1,IF($A470&lt;VLOOKUP(X$5,NFI,5,0),1,0)*Data_NFI_t[[#This Row],[Solar Lantern]],0)</f>
        <v>0</v>
      </c>
      <c r="AR470" s="105" t="str">
        <f ca="1">IFERROR(OFFSET(Camp_List[P_Code],MATCH(Data_NFI_t[[#This Row],[Camp Name]],Camp_List[Camp Name],0)-1,0,1,1),"")</f>
        <v>MMR012CMP040</v>
      </c>
      <c r="AS470" s="421" t="str">
        <f ca="1">IFERROR(OFFSET(Camp_List[Status],MATCH(Data_NFI_t[[#This Row],[Camp Name]],Camp_List[Camp Name],0)-1,0,1,1),"")</f>
        <v>Close</v>
      </c>
      <c r="AT470" s="105"/>
    </row>
    <row r="471" spans="1:46" s="78" customFormat="1" ht="19.5" customHeight="1" x14ac:dyDescent="0.25">
      <c r="A471" s="208">
        <f t="shared" si="7"/>
        <v>67.900000000000006</v>
      </c>
      <c r="B471" s="208">
        <f>YEAR(Data_NFI_t[[#This Row],[Distribution Date]])</f>
        <v>2012</v>
      </c>
      <c r="C471" s="744">
        <v>41153</v>
      </c>
      <c r="D471" s="402" t="s">
        <v>274</v>
      </c>
      <c r="E471" s="401" t="s">
        <v>270</v>
      </c>
      <c r="F471" s="402" t="s">
        <v>7</v>
      </c>
      <c r="G471" s="670" t="s">
        <v>17</v>
      </c>
      <c r="H471" s="670" t="s">
        <v>63</v>
      </c>
      <c r="I471" s="670"/>
      <c r="J471" s="670"/>
      <c r="K471" s="670"/>
      <c r="L471" s="42"/>
      <c r="M471" s="42"/>
      <c r="N471" s="42"/>
      <c r="O471" s="42"/>
      <c r="P471" s="42">
        <v>60</v>
      </c>
      <c r="Q471" s="42"/>
      <c r="R471" s="42"/>
      <c r="S471" s="42"/>
      <c r="T471" s="419"/>
      <c r="U471" s="42"/>
      <c r="V471" s="42"/>
      <c r="W471" s="42"/>
      <c r="X471" s="42"/>
      <c r="Y471" s="42"/>
      <c r="Z471" s="42"/>
      <c r="AA471" s="42"/>
      <c r="AB471" s="42"/>
      <c r="AC471" s="105">
        <f>IF(NFI_Expiration=1,IF($A471&lt;VLOOKUP(I$5,NFI,5,0),1,0)*Data_NFI_t[[#This Row],[Hygiene Kit]],0)</f>
        <v>0</v>
      </c>
      <c r="AD471" s="105">
        <f>IF(NFI_Expiration=1,IF($A471&lt;VLOOKUP(L$5,NFI,5,0),1,0)*Data_NFI_t[[#This Row],[NFI Core Kit]],0)</f>
        <v>0</v>
      </c>
      <c r="AE471" s="86">
        <f>IF(NFI_Expiration=1,IF($A471&lt;VLOOKUP(M$5,NFI,5,0),1,0)*Data_NFI_t[[#This Row],[Sanitary Kit]],0)</f>
        <v>0</v>
      </c>
      <c r="AF471" s="86">
        <f>IF(NFI_Expiration=1,IF($A471&lt;VLOOKUP(N$5,NFI,5,0),1,0)*Data_NFI_t[[#This Row],[Mosquito net]],0)</f>
        <v>0</v>
      </c>
      <c r="AG471" s="86">
        <f>IF(NFI_Expiration=1,IF($A471&lt;VLOOKUP(O$5,NFI,5,0),1,0)*Data_NFI_t[[#This Row],[Tarpaulin]],0)</f>
        <v>0</v>
      </c>
      <c r="AH471" s="86">
        <f>IF(NFI_Expiration=1,IF($A471&lt;VLOOKUP(P$5,NFI,5,0),1,0)*Data_NFI_t[[#This Row],[Blanket]],0)</f>
        <v>0</v>
      </c>
      <c r="AI471" s="86">
        <f>IF(NFI_Expiration=1,IF($A471&lt;VLOOKUP(Q$5,NFI,5,0),1,0)*Data_NFI_t[[#This Row],[Kitchen Set]],0)</f>
        <v>0</v>
      </c>
      <c r="AJ471" s="86">
        <f>IF(NFI_Expiration=1,IF($A471&lt;VLOOKUP(R$5,NFI,5,0),1,0)*Data_NFI_t[[#This Row],[Complementary Kit]],0)</f>
        <v>0</v>
      </c>
      <c r="AK471" s="86">
        <f>IF(NFI_Expiration=1,IF($A471&lt;VLOOKUP(S$5,NFI,5,0),1,0)*Data_NFI_t[[#This Row],[Plastic Bucket]],0)</f>
        <v>0</v>
      </c>
      <c r="AL471" s="86">
        <f>IF(NFI_Expiration=1,IF($A471&lt;VLOOKUP(T$5,NFI,5,0),1,0)*Data_NFI_t[[#This Row],[Jerry Can]],0)</f>
        <v>0</v>
      </c>
      <c r="AM471" s="105">
        <f>IF(NFI_Expiration=1,IF($A471&lt;VLOOKUP(U$5,NFI,5,0),1,0)*Data_NFI_t[[#This Row],[Plastic Mat]],0)*IF(Data_NFI_t[[#This Row],[Distribution Date]]&gt;"01-06-2015",1,2.5)</f>
        <v>0</v>
      </c>
      <c r="AN471" s="734">
        <f>IF(NFI_Expiration=1,IF($A471&lt;VLOOKUP(V$5,NFI,5,0),1,0)*Data_NFI_t[[#This Row],[Adult Clothes]],0)</f>
        <v>0</v>
      </c>
      <c r="AO471" s="105">
        <f>IF(NFI_Expiration=1,IF($A471&lt;VLOOKUP(W$5,NFI,5,0),1,0)*Data_NFI_t[[#This Row],[Children Clothes]],0)</f>
        <v>0</v>
      </c>
      <c r="AP471" s="105">
        <f>IF(NFI_Expiration=1,IF($A471&lt;VLOOKUP(X$5,NFI,5,0),1,0)*Data_NFI_t[[#This Row],[Sewing Kit]],0)</f>
        <v>0</v>
      </c>
      <c r="AQ471" s="734">
        <f>IF(NFI_Expiration=1,IF($A471&lt;VLOOKUP(X$5,NFI,5,0),1,0)*Data_NFI_t[[#This Row],[Solar Lantern]],0)</f>
        <v>0</v>
      </c>
      <c r="AR471" s="105" t="str">
        <f ca="1">IFERROR(OFFSET(Camp_List[P_Code],MATCH(Data_NFI_t[[#This Row],[Camp Name]],Camp_List[Camp Name],0)-1,0,1,1),"")</f>
        <v>MMR012CMP043</v>
      </c>
      <c r="AS471" s="421" t="str">
        <f ca="1">IFERROR(OFFSET(Camp_List[Status],MATCH(Data_NFI_t[[#This Row],[Camp Name]],Camp_List[Camp Name],0)-1,0,1,1),"")</f>
        <v>Close</v>
      </c>
      <c r="AT471" s="105"/>
    </row>
    <row r="472" spans="1:46" s="78" customFormat="1" ht="19.5" customHeight="1" x14ac:dyDescent="0.25">
      <c r="A472" s="208">
        <f t="shared" si="7"/>
        <v>68.13333333333334</v>
      </c>
      <c r="B472" s="208">
        <f>YEAR(Data_NFI_t[[#This Row],[Distribution Date]])</f>
        <v>2012</v>
      </c>
      <c r="C472" s="744">
        <v>41146</v>
      </c>
      <c r="D472" s="402" t="s">
        <v>270</v>
      </c>
      <c r="E472" s="401"/>
      <c r="F472" s="402" t="s">
        <v>7</v>
      </c>
      <c r="G472" s="670" t="s">
        <v>14</v>
      </c>
      <c r="H472" s="670" t="s">
        <v>49</v>
      </c>
      <c r="I472" s="670"/>
      <c r="J472" s="670"/>
      <c r="K472" s="670"/>
      <c r="L472" s="42"/>
      <c r="M472" s="42"/>
      <c r="N472" s="42"/>
      <c r="O472" s="42">
        <v>114</v>
      </c>
      <c r="P472" s="42"/>
      <c r="Q472" s="42"/>
      <c r="R472" s="42"/>
      <c r="S472" s="42"/>
      <c r="T472" s="419"/>
      <c r="U472" s="42"/>
      <c r="V472" s="42"/>
      <c r="W472" s="42"/>
      <c r="X472" s="42"/>
      <c r="Y472" s="42"/>
      <c r="Z472" s="42"/>
      <c r="AA472" s="42"/>
      <c r="AB472" s="42"/>
      <c r="AC472" s="105">
        <f>IF(NFI_Expiration=1,IF($A472&lt;VLOOKUP(I$5,NFI,5,0),1,0)*Data_NFI_t[[#This Row],[Hygiene Kit]],0)</f>
        <v>0</v>
      </c>
      <c r="AD472" s="105">
        <f>IF(NFI_Expiration=1,IF($A472&lt;VLOOKUP(L$5,NFI,5,0),1,0)*Data_NFI_t[[#This Row],[NFI Core Kit]],0)</f>
        <v>0</v>
      </c>
      <c r="AE472" s="86">
        <f>IF(NFI_Expiration=1,IF($A472&lt;VLOOKUP(M$5,NFI,5,0),1,0)*Data_NFI_t[[#This Row],[Sanitary Kit]],0)</f>
        <v>0</v>
      </c>
      <c r="AF472" s="86">
        <f>IF(NFI_Expiration=1,IF($A472&lt;VLOOKUP(N$5,NFI,5,0),1,0)*Data_NFI_t[[#This Row],[Mosquito net]],0)</f>
        <v>0</v>
      </c>
      <c r="AG472" s="86">
        <f>IF(NFI_Expiration=1,IF($A472&lt;VLOOKUP(O$5,NFI,5,0),1,0)*Data_NFI_t[[#This Row],[Tarpaulin]],0)</f>
        <v>0</v>
      </c>
      <c r="AH472" s="86">
        <f>IF(NFI_Expiration=1,IF($A472&lt;VLOOKUP(P$5,NFI,5,0),1,0)*Data_NFI_t[[#This Row],[Blanket]],0)</f>
        <v>0</v>
      </c>
      <c r="AI472" s="86">
        <f>IF(NFI_Expiration=1,IF($A472&lt;VLOOKUP(Q$5,NFI,5,0),1,0)*Data_NFI_t[[#This Row],[Kitchen Set]],0)</f>
        <v>0</v>
      </c>
      <c r="AJ472" s="86">
        <f>IF(NFI_Expiration=1,IF($A472&lt;VLOOKUP(R$5,NFI,5,0),1,0)*Data_NFI_t[[#This Row],[Complementary Kit]],0)</f>
        <v>0</v>
      </c>
      <c r="AK472" s="86">
        <f>IF(NFI_Expiration=1,IF($A472&lt;VLOOKUP(S$5,NFI,5,0),1,0)*Data_NFI_t[[#This Row],[Plastic Bucket]],0)</f>
        <v>0</v>
      </c>
      <c r="AL472" s="86">
        <f>IF(NFI_Expiration=1,IF($A472&lt;VLOOKUP(T$5,NFI,5,0),1,0)*Data_NFI_t[[#This Row],[Jerry Can]],0)</f>
        <v>0</v>
      </c>
      <c r="AM472" s="105">
        <f>IF(NFI_Expiration=1,IF($A472&lt;VLOOKUP(U$5,NFI,5,0),1,0)*Data_NFI_t[[#This Row],[Plastic Mat]],0)*IF(Data_NFI_t[[#This Row],[Distribution Date]]&gt;"01-06-2015",1,2.5)</f>
        <v>0</v>
      </c>
      <c r="AN472" s="734">
        <f>IF(NFI_Expiration=1,IF($A472&lt;VLOOKUP(V$5,NFI,5,0),1,0)*Data_NFI_t[[#This Row],[Adult Clothes]],0)</f>
        <v>0</v>
      </c>
      <c r="AO472" s="105">
        <f>IF(NFI_Expiration=1,IF($A472&lt;VLOOKUP(W$5,NFI,5,0),1,0)*Data_NFI_t[[#This Row],[Children Clothes]],0)</f>
        <v>0</v>
      </c>
      <c r="AP472" s="105">
        <f>IF(NFI_Expiration=1,IF($A472&lt;VLOOKUP(X$5,NFI,5,0),1,0)*Data_NFI_t[[#This Row],[Sewing Kit]],0)</f>
        <v>0</v>
      </c>
      <c r="AQ472" s="734">
        <f>IF(NFI_Expiration=1,IF($A472&lt;VLOOKUP(X$5,NFI,5,0),1,0)*Data_NFI_t[[#This Row],[Solar Lantern]],0)</f>
        <v>0</v>
      </c>
      <c r="AR472" s="105" t="str">
        <f ca="1">IFERROR(OFFSET(Camp_List[P_Code],MATCH(Data_NFI_t[[#This Row],[Camp Name]],Camp_List[Camp Name],0)-1,0,1,1),"")</f>
        <v>MMR012CMP027</v>
      </c>
      <c r="AS472" s="421" t="str">
        <f ca="1">IFERROR(OFFSET(Camp_List[Status],MATCH(Data_NFI_t[[#This Row],[Camp Name]],Camp_List[Camp Name],0)-1,0,1,1),"")</f>
        <v>Returned</v>
      </c>
      <c r="AT472" s="105"/>
    </row>
    <row r="473" spans="1:46" s="78" customFormat="1" ht="19.5" customHeight="1" x14ac:dyDescent="0.25">
      <c r="A473" s="208">
        <f t="shared" si="7"/>
        <v>68.13333333333334</v>
      </c>
      <c r="B473" s="208">
        <f>YEAR(Data_NFI_t[[#This Row],[Distribution Date]])</f>
        <v>2012</v>
      </c>
      <c r="C473" s="744">
        <v>41146</v>
      </c>
      <c r="D473" s="402" t="s">
        <v>270</v>
      </c>
      <c r="E473" s="401"/>
      <c r="F473" s="402" t="s">
        <v>7</v>
      </c>
      <c r="G473" s="670" t="s">
        <v>14</v>
      </c>
      <c r="H473" s="670" t="s">
        <v>48</v>
      </c>
      <c r="I473" s="670"/>
      <c r="J473" s="670"/>
      <c r="K473" s="670"/>
      <c r="L473" s="42"/>
      <c r="M473" s="42"/>
      <c r="N473" s="42"/>
      <c r="O473" s="42">
        <v>230</v>
      </c>
      <c r="P473" s="42"/>
      <c r="Q473" s="42"/>
      <c r="R473" s="42">
        <v>230</v>
      </c>
      <c r="S473" s="42"/>
      <c r="T473" s="419"/>
      <c r="U473" s="42"/>
      <c r="V473" s="42"/>
      <c r="W473" s="42"/>
      <c r="X473" s="42"/>
      <c r="Y473" s="42"/>
      <c r="Z473" s="42"/>
      <c r="AA473" s="42"/>
      <c r="AB473" s="42"/>
      <c r="AC473" s="105">
        <f>IF(NFI_Expiration=1,IF($A473&lt;VLOOKUP(I$5,NFI,5,0),1,0)*Data_NFI_t[[#This Row],[Hygiene Kit]],0)</f>
        <v>0</v>
      </c>
      <c r="AD473" s="105">
        <f>IF(NFI_Expiration=1,IF($A473&lt;VLOOKUP(L$5,NFI,5,0),1,0)*Data_NFI_t[[#This Row],[NFI Core Kit]],0)</f>
        <v>0</v>
      </c>
      <c r="AE473" s="86">
        <f>IF(NFI_Expiration=1,IF($A473&lt;VLOOKUP(M$5,NFI,5,0),1,0)*Data_NFI_t[[#This Row],[Sanitary Kit]],0)</f>
        <v>0</v>
      </c>
      <c r="AF473" s="86">
        <f>IF(NFI_Expiration=1,IF($A473&lt;VLOOKUP(N$5,NFI,5,0),1,0)*Data_NFI_t[[#This Row],[Mosquito net]],0)</f>
        <v>0</v>
      </c>
      <c r="AG473" s="86">
        <f>IF(NFI_Expiration=1,IF($A473&lt;VLOOKUP(O$5,NFI,5,0),1,0)*Data_NFI_t[[#This Row],[Tarpaulin]],0)</f>
        <v>0</v>
      </c>
      <c r="AH473" s="86">
        <f>IF(NFI_Expiration=1,IF($A473&lt;VLOOKUP(P$5,NFI,5,0),1,0)*Data_NFI_t[[#This Row],[Blanket]],0)</f>
        <v>0</v>
      </c>
      <c r="AI473" s="86">
        <f>IF(NFI_Expiration=1,IF($A473&lt;VLOOKUP(Q$5,NFI,5,0),1,0)*Data_NFI_t[[#This Row],[Kitchen Set]],0)</f>
        <v>0</v>
      </c>
      <c r="AJ473" s="86">
        <f>IF(NFI_Expiration=1,IF($A473&lt;VLOOKUP(R$5,NFI,5,0),1,0)*Data_NFI_t[[#This Row],[Complementary Kit]],0)</f>
        <v>0</v>
      </c>
      <c r="AK473" s="86">
        <f>IF(NFI_Expiration=1,IF($A473&lt;VLOOKUP(S$5,NFI,5,0),1,0)*Data_NFI_t[[#This Row],[Plastic Bucket]],0)</f>
        <v>0</v>
      </c>
      <c r="AL473" s="86">
        <f>IF(NFI_Expiration=1,IF($A473&lt;VLOOKUP(T$5,NFI,5,0),1,0)*Data_NFI_t[[#This Row],[Jerry Can]],0)</f>
        <v>0</v>
      </c>
      <c r="AM473" s="105">
        <f>IF(NFI_Expiration=1,IF($A473&lt;VLOOKUP(U$5,NFI,5,0),1,0)*Data_NFI_t[[#This Row],[Plastic Mat]],0)*IF(Data_NFI_t[[#This Row],[Distribution Date]]&gt;"01-06-2015",1,2.5)</f>
        <v>0</v>
      </c>
      <c r="AN473" s="734">
        <f>IF(NFI_Expiration=1,IF($A473&lt;VLOOKUP(V$5,NFI,5,0),1,0)*Data_NFI_t[[#This Row],[Adult Clothes]],0)</f>
        <v>0</v>
      </c>
      <c r="AO473" s="105">
        <f>IF(NFI_Expiration=1,IF($A473&lt;VLOOKUP(W$5,NFI,5,0),1,0)*Data_NFI_t[[#This Row],[Children Clothes]],0)</f>
        <v>0</v>
      </c>
      <c r="AP473" s="105">
        <f>IF(NFI_Expiration=1,IF($A473&lt;VLOOKUP(X$5,NFI,5,0),1,0)*Data_NFI_t[[#This Row],[Sewing Kit]],0)</f>
        <v>0</v>
      </c>
      <c r="AQ473" s="734">
        <f>IF(NFI_Expiration=1,IF($A473&lt;VLOOKUP(X$5,NFI,5,0),1,0)*Data_NFI_t[[#This Row],[Solar Lantern]],0)</f>
        <v>0</v>
      </c>
      <c r="AR473" s="105" t="str">
        <f ca="1">IFERROR(OFFSET(Camp_List[P_Code],MATCH(Data_NFI_t[[#This Row],[Camp Name]],Camp_List[Camp Name],0)-1,0,1,1),"")</f>
        <v>MMR012CMP026</v>
      </c>
      <c r="AS473" s="421" t="str">
        <f ca="1">IFERROR(OFFSET(Camp_List[Status],MATCH(Data_NFI_t[[#This Row],[Camp Name]],Camp_List[Camp Name],0)-1,0,1,1),"")</f>
        <v>Returned</v>
      </c>
      <c r="AT473" s="105"/>
    </row>
    <row r="474" spans="1:46" s="78" customFormat="1" ht="19.5" customHeight="1" x14ac:dyDescent="0.25">
      <c r="A474" s="208">
        <f t="shared" si="7"/>
        <v>68.13333333333334</v>
      </c>
      <c r="B474" s="208">
        <f>YEAR(Data_NFI_t[[#This Row],[Distribution Date]])</f>
        <v>2012</v>
      </c>
      <c r="C474" s="744">
        <v>41146</v>
      </c>
      <c r="D474" s="402" t="s">
        <v>270</v>
      </c>
      <c r="E474" s="401"/>
      <c r="F474" s="402" t="s">
        <v>7</v>
      </c>
      <c r="G474" s="670" t="s">
        <v>14</v>
      </c>
      <c r="H474" s="670" t="s">
        <v>51</v>
      </c>
      <c r="I474" s="670"/>
      <c r="J474" s="670"/>
      <c r="K474" s="670"/>
      <c r="L474" s="42"/>
      <c r="M474" s="42"/>
      <c r="N474" s="42"/>
      <c r="O474" s="42">
        <v>144</v>
      </c>
      <c r="P474" s="42">
        <v>290</v>
      </c>
      <c r="Q474" s="42">
        <v>40</v>
      </c>
      <c r="R474" s="42"/>
      <c r="S474" s="42"/>
      <c r="T474" s="419"/>
      <c r="U474" s="42"/>
      <c r="V474" s="42"/>
      <c r="W474" s="42"/>
      <c r="X474" s="42"/>
      <c r="Y474" s="42"/>
      <c r="Z474" s="42"/>
      <c r="AA474" s="42"/>
      <c r="AB474" s="42"/>
      <c r="AC474" s="105">
        <f>IF(NFI_Expiration=1,IF($A474&lt;VLOOKUP(I$5,NFI,5,0),1,0)*Data_NFI_t[[#This Row],[Hygiene Kit]],0)</f>
        <v>0</v>
      </c>
      <c r="AD474" s="105">
        <f>IF(NFI_Expiration=1,IF($A474&lt;VLOOKUP(L$5,NFI,5,0),1,0)*Data_NFI_t[[#This Row],[NFI Core Kit]],0)</f>
        <v>0</v>
      </c>
      <c r="AE474" s="86">
        <f>IF(NFI_Expiration=1,IF($A474&lt;VLOOKUP(M$5,NFI,5,0),1,0)*Data_NFI_t[[#This Row],[Sanitary Kit]],0)</f>
        <v>0</v>
      </c>
      <c r="AF474" s="86">
        <f>IF(NFI_Expiration=1,IF($A474&lt;VLOOKUP(N$5,NFI,5,0),1,0)*Data_NFI_t[[#This Row],[Mosquito net]],0)</f>
        <v>0</v>
      </c>
      <c r="AG474" s="86">
        <f>IF(NFI_Expiration=1,IF($A474&lt;VLOOKUP(O$5,NFI,5,0),1,0)*Data_NFI_t[[#This Row],[Tarpaulin]],0)</f>
        <v>0</v>
      </c>
      <c r="AH474" s="86">
        <f>IF(NFI_Expiration=1,IF($A474&lt;VLOOKUP(P$5,NFI,5,0),1,0)*Data_NFI_t[[#This Row],[Blanket]],0)</f>
        <v>0</v>
      </c>
      <c r="AI474" s="86">
        <f>IF(NFI_Expiration=1,IF($A474&lt;VLOOKUP(Q$5,NFI,5,0),1,0)*Data_NFI_t[[#This Row],[Kitchen Set]],0)</f>
        <v>0</v>
      </c>
      <c r="AJ474" s="86">
        <f>IF(NFI_Expiration=1,IF($A474&lt;VLOOKUP(R$5,NFI,5,0),1,0)*Data_NFI_t[[#This Row],[Complementary Kit]],0)</f>
        <v>0</v>
      </c>
      <c r="AK474" s="86">
        <f>IF(NFI_Expiration=1,IF($A474&lt;VLOOKUP(S$5,NFI,5,0),1,0)*Data_NFI_t[[#This Row],[Plastic Bucket]],0)</f>
        <v>0</v>
      </c>
      <c r="AL474" s="86">
        <f>IF(NFI_Expiration=1,IF($A474&lt;VLOOKUP(T$5,NFI,5,0),1,0)*Data_NFI_t[[#This Row],[Jerry Can]],0)</f>
        <v>0</v>
      </c>
      <c r="AM474" s="105">
        <f>IF(NFI_Expiration=1,IF($A474&lt;VLOOKUP(U$5,NFI,5,0),1,0)*Data_NFI_t[[#This Row],[Plastic Mat]],0)*IF(Data_NFI_t[[#This Row],[Distribution Date]]&gt;"01-06-2015",1,2.5)</f>
        <v>0</v>
      </c>
      <c r="AN474" s="734">
        <f>IF(NFI_Expiration=1,IF($A474&lt;VLOOKUP(V$5,NFI,5,0),1,0)*Data_NFI_t[[#This Row],[Adult Clothes]],0)</f>
        <v>0</v>
      </c>
      <c r="AO474" s="105">
        <f>IF(NFI_Expiration=1,IF($A474&lt;VLOOKUP(W$5,NFI,5,0),1,0)*Data_NFI_t[[#This Row],[Children Clothes]],0)</f>
        <v>0</v>
      </c>
      <c r="AP474" s="105">
        <f>IF(NFI_Expiration=1,IF($A474&lt;VLOOKUP(X$5,NFI,5,0),1,0)*Data_NFI_t[[#This Row],[Sewing Kit]],0)</f>
        <v>0</v>
      </c>
      <c r="AQ474" s="734">
        <f>IF(NFI_Expiration=1,IF($A474&lt;VLOOKUP(X$5,NFI,5,0),1,0)*Data_NFI_t[[#This Row],[Solar Lantern]],0)</f>
        <v>0</v>
      </c>
      <c r="AR474" s="105" t="str">
        <f ca="1">IFERROR(OFFSET(Camp_List[P_Code],MATCH(Data_NFI_t[[#This Row],[Camp Name]],Camp_List[Camp Name],0)-1,0,1,1),"")</f>
        <v>MMR012CMP029</v>
      </c>
      <c r="AS474" s="421" t="str">
        <f ca="1">IFERROR(OFFSET(Camp_List[Status],MATCH(Data_NFI_t[[#This Row],[Camp Name]],Camp_List[Camp Name],0)-1,0,1,1),"")</f>
        <v>Returned</v>
      </c>
      <c r="AT474" s="105"/>
    </row>
    <row r="475" spans="1:46" s="78" customFormat="1" ht="19.5" customHeight="1" x14ac:dyDescent="0.25">
      <c r="A475" s="208">
        <f t="shared" si="7"/>
        <v>68.13333333333334</v>
      </c>
      <c r="B475" s="208">
        <f>YEAR(Data_NFI_t[[#This Row],[Distribution Date]])</f>
        <v>2012</v>
      </c>
      <c r="C475" s="744">
        <v>41146</v>
      </c>
      <c r="D475" s="402" t="s">
        <v>270</v>
      </c>
      <c r="E475" s="401"/>
      <c r="F475" s="402" t="s">
        <v>7</v>
      </c>
      <c r="G475" s="670" t="s">
        <v>14</v>
      </c>
      <c r="H475" s="670" t="s">
        <v>50</v>
      </c>
      <c r="I475" s="670"/>
      <c r="J475" s="670"/>
      <c r="K475" s="670"/>
      <c r="L475" s="42"/>
      <c r="M475" s="42"/>
      <c r="N475" s="42"/>
      <c r="O475" s="42">
        <v>107</v>
      </c>
      <c r="P475" s="42"/>
      <c r="Q475" s="42"/>
      <c r="R475" s="42"/>
      <c r="S475" s="42"/>
      <c r="T475" s="419"/>
      <c r="U475" s="42"/>
      <c r="V475" s="42"/>
      <c r="W475" s="42"/>
      <c r="X475" s="42"/>
      <c r="Y475" s="42"/>
      <c r="Z475" s="42"/>
      <c r="AA475" s="42"/>
      <c r="AB475" s="42"/>
      <c r="AC475" s="105">
        <f>IF(NFI_Expiration=1,IF($A475&lt;VLOOKUP(I$5,NFI,5,0),1,0)*Data_NFI_t[[#This Row],[Hygiene Kit]],0)</f>
        <v>0</v>
      </c>
      <c r="AD475" s="105">
        <f>IF(NFI_Expiration=1,IF($A475&lt;VLOOKUP(L$5,NFI,5,0),1,0)*Data_NFI_t[[#This Row],[NFI Core Kit]],0)</f>
        <v>0</v>
      </c>
      <c r="AE475" s="86">
        <f>IF(NFI_Expiration=1,IF($A475&lt;VLOOKUP(M$5,NFI,5,0),1,0)*Data_NFI_t[[#This Row],[Sanitary Kit]],0)</f>
        <v>0</v>
      </c>
      <c r="AF475" s="86">
        <f>IF(NFI_Expiration=1,IF($A475&lt;VLOOKUP(N$5,NFI,5,0),1,0)*Data_NFI_t[[#This Row],[Mosquito net]],0)</f>
        <v>0</v>
      </c>
      <c r="AG475" s="86">
        <f>IF(NFI_Expiration=1,IF($A475&lt;VLOOKUP(O$5,NFI,5,0),1,0)*Data_NFI_t[[#This Row],[Tarpaulin]],0)</f>
        <v>0</v>
      </c>
      <c r="AH475" s="86">
        <f>IF(NFI_Expiration=1,IF($A475&lt;VLOOKUP(P$5,NFI,5,0),1,0)*Data_NFI_t[[#This Row],[Blanket]],0)</f>
        <v>0</v>
      </c>
      <c r="AI475" s="86">
        <f>IF(NFI_Expiration=1,IF($A475&lt;VLOOKUP(Q$5,NFI,5,0),1,0)*Data_NFI_t[[#This Row],[Kitchen Set]],0)</f>
        <v>0</v>
      </c>
      <c r="AJ475" s="86">
        <f>IF(NFI_Expiration=1,IF($A475&lt;VLOOKUP(R$5,NFI,5,0),1,0)*Data_NFI_t[[#This Row],[Complementary Kit]],0)</f>
        <v>0</v>
      </c>
      <c r="AK475" s="86">
        <f>IF(NFI_Expiration=1,IF($A475&lt;VLOOKUP(S$5,NFI,5,0),1,0)*Data_NFI_t[[#This Row],[Plastic Bucket]],0)</f>
        <v>0</v>
      </c>
      <c r="AL475" s="86">
        <f>IF(NFI_Expiration=1,IF($A475&lt;VLOOKUP(T$5,NFI,5,0),1,0)*Data_NFI_t[[#This Row],[Jerry Can]],0)</f>
        <v>0</v>
      </c>
      <c r="AM475" s="105">
        <f>IF(NFI_Expiration=1,IF($A475&lt;VLOOKUP(U$5,NFI,5,0),1,0)*Data_NFI_t[[#This Row],[Plastic Mat]],0)*IF(Data_NFI_t[[#This Row],[Distribution Date]]&gt;"01-06-2015",1,2.5)</f>
        <v>0</v>
      </c>
      <c r="AN475" s="734">
        <f>IF(NFI_Expiration=1,IF($A475&lt;VLOOKUP(V$5,NFI,5,0),1,0)*Data_NFI_t[[#This Row],[Adult Clothes]],0)</f>
        <v>0</v>
      </c>
      <c r="AO475" s="105">
        <f>IF(NFI_Expiration=1,IF($A475&lt;VLOOKUP(W$5,NFI,5,0),1,0)*Data_NFI_t[[#This Row],[Children Clothes]],0)</f>
        <v>0</v>
      </c>
      <c r="AP475" s="105">
        <f>IF(NFI_Expiration=1,IF($A475&lt;VLOOKUP(X$5,NFI,5,0),1,0)*Data_NFI_t[[#This Row],[Sewing Kit]],0)</f>
        <v>0</v>
      </c>
      <c r="AQ475" s="734">
        <f>IF(NFI_Expiration=1,IF($A475&lt;VLOOKUP(X$5,NFI,5,0),1,0)*Data_NFI_t[[#This Row],[Solar Lantern]],0)</f>
        <v>0</v>
      </c>
      <c r="AR475" s="105" t="str">
        <f ca="1">IFERROR(OFFSET(Camp_List[P_Code],MATCH(Data_NFI_t[[#This Row],[Camp Name]],Camp_List[Camp Name],0)-1,0,1,1),"")</f>
        <v>MMR012CMP028</v>
      </c>
      <c r="AS475" s="421" t="str">
        <f ca="1">IFERROR(OFFSET(Camp_List[Status],MATCH(Data_NFI_t[[#This Row],[Camp Name]],Camp_List[Camp Name],0)-1,0,1,1),"")</f>
        <v>Returned</v>
      </c>
      <c r="AT475" s="105"/>
    </row>
    <row r="476" spans="1:46" s="78" customFormat="1" ht="19.5" customHeight="1" x14ac:dyDescent="0.25">
      <c r="A476" s="208">
        <f t="shared" si="7"/>
        <v>68.2</v>
      </c>
      <c r="B476" s="208">
        <f>YEAR(Data_NFI_t[[#This Row],[Distribution Date]])</f>
        <v>2012</v>
      </c>
      <c r="C476" s="744">
        <v>41144</v>
      </c>
      <c r="D476" s="402" t="s">
        <v>270</v>
      </c>
      <c r="E476" s="401"/>
      <c r="F476" s="402" t="s">
        <v>7</v>
      </c>
      <c r="G476" s="670" t="s">
        <v>17</v>
      </c>
      <c r="H476" s="670" t="s">
        <v>61</v>
      </c>
      <c r="I476" s="670"/>
      <c r="J476" s="670"/>
      <c r="K476" s="670"/>
      <c r="L476" s="42"/>
      <c r="M476" s="42"/>
      <c r="N476" s="42"/>
      <c r="O476" s="42">
        <v>805</v>
      </c>
      <c r="P476" s="42"/>
      <c r="Q476" s="42"/>
      <c r="R476" s="42"/>
      <c r="S476" s="42"/>
      <c r="T476" s="419"/>
      <c r="U476" s="42"/>
      <c r="V476" s="42"/>
      <c r="W476" s="42"/>
      <c r="X476" s="42"/>
      <c r="Y476" s="42"/>
      <c r="Z476" s="42"/>
      <c r="AA476" s="42"/>
      <c r="AB476" s="42"/>
      <c r="AC476" s="105">
        <f>IF(NFI_Expiration=1,IF($A476&lt;VLOOKUP(I$5,NFI,5,0),1,0)*Data_NFI_t[[#This Row],[Hygiene Kit]],0)</f>
        <v>0</v>
      </c>
      <c r="AD476" s="105">
        <f>IF(NFI_Expiration=1,IF($A476&lt;VLOOKUP(L$5,NFI,5,0),1,0)*Data_NFI_t[[#This Row],[NFI Core Kit]],0)</f>
        <v>0</v>
      </c>
      <c r="AE476" s="86">
        <f>IF(NFI_Expiration=1,IF($A476&lt;VLOOKUP(M$5,NFI,5,0),1,0)*Data_NFI_t[[#This Row],[Sanitary Kit]],0)</f>
        <v>0</v>
      </c>
      <c r="AF476" s="86">
        <f>IF(NFI_Expiration=1,IF($A476&lt;VLOOKUP(N$5,NFI,5,0),1,0)*Data_NFI_t[[#This Row],[Mosquito net]],0)</f>
        <v>0</v>
      </c>
      <c r="AG476" s="86">
        <f>IF(NFI_Expiration=1,IF($A476&lt;VLOOKUP(O$5,NFI,5,0),1,0)*Data_NFI_t[[#This Row],[Tarpaulin]],0)</f>
        <v>0</v>
      </c>
      <c r="AH476" s="86">
        <f>IF(NFI_Expiration=1,IF($A476&lt;VLOOKUP(P$5,NFI,5,0),1,0)*Data_NFI_t[[#This Row],[Blanket]],0)</f>
        <v>0</v>
      </c>
      <c r="AI476" s="86">
        <f>IF(NFI_Expiration=1,IF($A476&lt;VLOOKUP(Q$5,NFI,5,0),1,0)*Data_NFI_t[[#This Row],[Kitchen Set]],0)</f>
        <v>0</v>
      </c>
      <c r="AJ476" s="86">
        <f>IF(NFI_Expiration=1,IF($A476&lt;VLOOKUP(R$5,NFI,5,0),1,0)*Data_NFI_t[[#This Row],[Complementary Kit]],0)</f>
        <v>0</v>
      </c>
      <c r="AK476" s="86">
        <f>IF(NFI_Expiration=1,IF($A476&lt;VLOOKUP(S$5,NFI,5,0),1,0)*Data_NFI_t[[#This Row],[Plastic Bucket]],0)</f>
        <v>0</v>
      </c>
      <c r="AL476" s="86">
        <f>IF(NFI_Expiration=1,IF($A476&lt;VLOOKUP(T$5,NFI,5,0),1,0)*Data_NFI_t[[#This Row],[Jerry Can]],0)</f>
        <v>0</v>
      </c>
      <c r="AM476" s="105">
        <f>IF(NFI_Expiration=1,IF($A476&lt;VLOOKUP(U$5,NFI,5,0),1,0)*Data_NFI_t[[#This Row],[Plastic Mat]],0)*IF(Data_NFI_t[[#This Row],[Distribution Date]]&gt;"01-06-2015",1,2.5)</f>
        <v>0</v>
      </c>
      <c r="AN476" s="734">
        <f>IF(NFI_Expiration=1,IF($A476&lt;VLOOKUP(V$5,NFI,5,0),1,0)*Data_NFI_t[[#This Row],[Adult Clothes]],0)</f>
        <v>0</v>
      </c>
      <c r="AO476" s="105">
        <f>IF(NFI_Expiration=1,IF($A476&lt;VLOOKUP(W$5,NFI,5,0),1,0)*Data_NFI_t[[#This Row],[Children Clothes]],0)</f>
        <v>0</v>
      </c>
      <c r="AP476" s="105">
        <f>IF(NFI_Expiration=1,IF($A476&lt;VLOOKUP(X$5,NFI,5,0),1,0)*Data_NFI_t[[#This Row],[Sewing Kit]],0)</f>
        <v>0</v>
      </c>
      <c r="AQ476" s="734">
        <f>IF(NFI_Expiration=1,IF($A476&lt;VLOOKUP(X$5,NFI,5,0),1,0)*Data_NFI_t[[#This Row],[Solar Lantern]],0)</f>
        <v>0</v>
      </c>
      <c r="AR476" s="105" t="str">
        <f ca="1">IFERROR(OFFSET(Camp_List[P_Code],MATCH(Data_NFI_t[[#This Row],[Camp Name]],Camp_List[Camp Name],0)-1,0,1,1),"")</f>
        <v>MMR012CMP041</v>
      </c>
      <c r="AS476" s="421" t="str">
        <f ca="1">IFERROR(OFFSET(Camp_List[Status],MATCH(Data_NFI_t[[#This Row],[Camp Name]],Camp_List[Camp Name],0)-1,0,1,1),"")</f>
        <v>Open</v>
      </c>
      <c r="AT476" s="105"/>
    </row>
    <row r="477" spans="1:46" s="78" customFormat="1" ht="19.5" customHeight="1" x14ac:dyDescent="0.25">
      <c r="A477" s="208">
        <f t="shared" si="7"/>
        <v>68.8</v>
      </c>
      <c r="B477" s="208">
        <f>YEAR(Data_NFI_t[[#This Row],[Distribution Date]])</f>
        <v>2012</v>
      </c>
      <c r="C477" s="744">
        <v>41126</v>
      </c>
      <c r="D477" s="402" t="s">
        <v>270</v>
      </c>
      <c r="E477" s="401"/>
      <c r="F477" s="402" t="s">
        <v>7</v>
      </c>
      <c r="G477" s="670" t="s">
        <v>17</v>
      </c>
      <c r="H477" s="670" t="s">
        <v>68</v>
      </c>
      <c r="I477" s="670"/>
      <c r="J477" s="670"/>
      <c r="K477" s="670"/>
      <c r="L477" s="42"/>
      <c r="M477" s="42"/>
      <c r="N477" s="42"/>
      <c r="O477" s="42">
        <v>98</v>
      </c>
      <c r="P477" s="42"/>
      <c r="Q477" s="42"/>
      <c r="R477" s="42"/>
      <c r="S477" s="42"/>
      <c r="T477" s="419"/>
      <c r="U477" s="42"/>
      <c r="V477" s="42"/>
      <c r="W477" s="42"/>
      <c r="X477" s="42"/>
      <c r="Y477" s="42"/>
      <c r="Z477" s="42"/>
      <c r="AA477" s="42"/>
      <c r="AB477" s="42"/>
      <c r="AC477" s="105">
        <f>IF(NFI_Expiration=1,IF($A477&lt;VLOOKUP(I$5,NFI,5,0),1,0)*Data_NFI_t[[#This Row],[Hygiene Kit]],0)</f>
        <v>0</v>
      </c>
      <c r="AD477" s="105">
        <f>IF(NFI_Expiration=1,IF($A477&lt;VLOOKUP(L$5,NFI,5,0),1,0)*Data_NFI_t[[#This Row],[NFI Core Kit]],0)</f>
        <v>0</v>
      </c>
      <c r="AE477" s="86">
        <f>IF(NFI_Expiration=1,IF($A477&lt;VLOOKUP(M$5,NFI,5,0),1,0)*Data_NFI_t[[#This Row],[Sanitary Kit]],0)</f>
        <v>0</v>
      </c>
      <c r="AF477" s="86">
        <f>IF(NFI_Expiration=1,IF($A477&lt;VLOOKUP(N$5,NFI,5,0),1,0)*Data_NFI_t[[#This Row],[Mosquito net]],0)</f>
        <v>0</v>
      </c>
      <c r="AG477" s="86">
        <f>IF(NFI_Expiration=1,IF($A477&lt;VLOOKUP(O$5,NFI,5,0),1,0)*Data_NFI_t[[#This Row],[Tarpaulin]],0)</f>
        <v>0</v>
      </c>
      <c r="AH477" s="86">
        <f>IF(NFI_Expiration=1,IF($A477&lt;VLOOKUP(P$5,NFI,5,0),1,0)*Data_NFI_t[[#This Row],[Blanket]],0)</f>
        <v>0</v>
      </c>
      <c r="AI477" s="86">
        <f>IF(NFI_Expiration=1,IF($A477&lt;VLOOKUP(Q$5,NFI,5,0),1,0)*Data_NFI_t[[#This Row],[Kitchen Set]],0)</f>
        <v>0</v>
      </c>
      <c r="AJ477" s="86">
        <f>IF(NFI_Expiration=1,IF($A477&lt;VLOOKUP(R$5,NFI,5,0),1,0)*Data_NFI_t[[#This Row],[Complementary Kit]],0)</f>
        <v>0</v>
      </c>
      <c r="AK477" s="86">
        <f>IF(NFI_Expiration=1,IF($A477&lt;VLOOKUP(S$5,NFI,5,0),1,0)*Data_NFI_t[[#This Row],[Plastic Bucket]],0)</f>
        <v>0</v>
      </c>
      <c r="AL477" s="86">
        <f>IF(NFI_Expiration=1,IF($A477&lt;VLOOKUP(T$5,NFI,5,0),1,0)*Data_NFI_t[[#This Row],[Jerry Can]],0)</f>
        <v>0</v>
      </c>
      <c r="AM477" s="105">
        <f>IF(NFI_Expiration=1,IF($A477&lt;VLOOKUP(U$5,NFI,5,0),1,0)*Data_NFI_t[[#This Row],[Plastic Mat]],0)*IF(Data_NFI_t[[#This Row],[Distribution Date]]&gt;"01-06-2015",1,2.5)</f>
        <v>0</v>
      </c>
      <c r="AN477" s="734">
        <f>IF(NFI_Expiration=1,IF($A477&lt;VLOOKUP(V$5,NFI,5,0),1,0)*Data_NFI_t[[#This Row],[Adult Clothes]],0)</f>
        <v>0</v>
      </c>
      <c r="AO477" s="105">
        <f>IF(NFI_Expiration=1,IF($A477&lt;VLOOKUP(W$5,NFI,5,0),1,0)*Data_NFI_t[[#This Row],[Children Clothes]],0)</f>
        <v>0</v>
      </c>
      <c r="AP477" s="105">
        <f>IF(NFI_Expiration=1,IF($A477&lt;VLOOKUP(X$5,NFI,5,0),1,0)*Data_NFI_t[[#This Row],[Sewing Kit]],0)</f>
        <v>0</v>
      </c>
      <c r="AQ477" s="734">
        <f>IF(NFI_Expiration=1,IF($A477&lt;VLOOKUP(X$5,NFI,5,0),1,0)*Data_NFI_t[[#This Row],[Solar Lantern]],0)</f>
        <v>0</v>
      </c>
      <c r="AR477" s="105" t="str">
        <f ca="1">IFERROR(OFFSET(Camp_List[P_Code],MATCH(Data_NFI_t[[#This Row],[Camp Name]],Camp_List[Camp Name],0)-1,0,1,1),"")</f>
        <v>MMR012CMP048</v>
      </c>
      <c r="AS477" s="421" t="str">
        <f ca="1">IFERROR(OFFSET(Camp_List[Status],MATCH(Data_NFI_t[[#This Row],[Camp Name]],Camp_List[Camp Name],0)-1,0,1,1),"")</f>
        <v>Open</v>
      </c>
      <c r="AT477" s="105"/>
    </row>
    <row r="478" spans="1:46" s="78" customFormat="1" ht="19.5" customHeight="1" x14ac:dyDescent="0.25">
      <c r="A478" s="208">
        <f t="shared" si="7"/>
        <v>69</v>
      </c>
      <c r="B478" s="208">
        <f>YEAR(Data_NFI_t[[#This Row],[Distribution Date]])</f>
        <v>2012</v>
      </c>
      <c r="C478" s="744">
        <v>41120</v>
      </c>
      <c r="D478" s="402" t="s">
        <v>270</v>
      </c>
      <c r="E478" s="401"/>
      <c r="F478" s="402" t="s">
        <v>7</v>
      </c>
      <c r="G478" s="670" t="s">
        <v>17</v>
      </c>
      <c r="H478" s="670" t="s">
        <v>65</v>
      </c>
      <c r="I478" s="670"/>
      <c r="J478" s="670"/>
      <c r="K478" s="670"/>
      <c r="L478" s="42"/>
      <c r="M478" s="42"/>
      <c r="N478" s="42"/>
      <c r="O478" s="42">
        <v>461</v>
      </c>
      <c r="P478" s="42"/>
      <c r="Q478" s="42"/>
      <c r="R478" s="42"/>
      <c r="S478" s="42"/>
      <c r="T478" s="419"/>
      <c r="U478" s="42"/>
      <c r="V478" s="42"/>
      <c r="W478" s="42"/>
      <c r="X478" s="42"/>
      <c r="Y478" s="42"/>
      <c r="Z478" s="42"/>
      <c r="AA478" s="42"/>
      <c r="AB478" s="42"/>
      <c r="AC478" s="105">
        <f>IF(NFI_Expiration=1,IF($A478&lt;VLOOKUP(I$5,NFI,5,0),1,0)*Data_NFI_t[[#This Row],[Hygiene Kit]],0)</f>
        <v>0</v>
      </c>
      <c r="AD478" s="105">
        <f>IF(NFI_Expiration=1,IF($A478&lt;VLOOKUP(L$5,NFI,5,0),1,0)*Data_NFI_t[[#This Row],[NFI Core Kit]],0)</f>
        <v>0</v>
      </c>
      <c r="AE478" s="86">
        <f>IF(NFI_Expiration=1,IF($A478&lt;VLOOKUP(M$5,NFI,5,0),1,0)*Data_NFI_t[[#This Row],[Sanitary Kit]],0)</f>
        <v>0</v>
      </c>
      <c r="AF478" s="86">
        <f>IF(NFI_Expiration=1,IF($A478&lt;VLOOKUP(N$5,NFI,5,0),1,0)*Data_NFI_t[[#This Row],[Mosquito net]],0)</f>
        <v>0</v>
      </c>
      <c r="AG478" s="86">
        <f>IF(NFI_Expiration=1,IF($A478&lt;VLOOKUP(O$5,NFI,5,0),1,0)*Data_NFI_t[[#This Row],[Tarpaulin]],0)</f>
        <v>0</v>
      </c>
      <c r="AH478" s="86">
        <f>IF(NFI_Expiration=1,IF($A478&lt;VLOOKUP(P$5,NFI,5,0),1,0)*Data_NFI_t[[#This Row],[Blanket]],0)</f>
        <v>0</v>
      </c>
      <c r="AI478" s="86">
        <f>IF(NFI_Expiration=1,IF($A478&lt;VLOOKUP(Q$5,NFI,5,0),1,0)*Data_NFI_t[[#This Row],[Kitchen Set]],0)</f>
        <v>0</v>
      </c>
      <c r="AJ478" s="86">
        <f>IF(NFI_Expiration=1,IF($A478&lt;VLOOKUP(R$5,NFI,5,0),1,0)*Data_NFI_t[[#This Row],[Complementary Kit]],0)</f>
        <v>0</v>
      </c>
      <c r="AK478" s="86">
        <f>IF(NFI_Expiration=1,IF($A478&lt;VLOOKUP(S$5,NFI,5,0),1,0)*Data_NFI_t[[#This Row],[Plastic Bucket]],0)</f>
        <v>0</v>
      </c>
      <c r="AL478" s="86">
        <f>IF(NFI_Expiration=1,IF($A478&lt;VLOOKUP(T$5,NFI,5,0),1,0)*Data_NFI_t[[#This Row],[Jerry Can]],0)</f>
        <v>0</v>
      </c>
      <c r="AM478" s="105">
        <f>IF(NFI_Expiration=1,IF($A478&lt;VLOOKUP(U$5,NFI,5,0),1,0)*Data_NFI_t[[#This Row],[Plastic Mat]],0)*IF(Data_NFI_t[[#This Row],[Distribution Date]]&gt;"01-06-2015",1,2.5)</f>
        <v>0</v>
      </c>
      <c r="AN478" s="734">
        <f>IF(NFI_Expiration=1,IF($A478&lt;VLOOKUP(V$5,NFI,5,0),1,0)*Data_NFI_t[[#This Row],[Adult Clothes]],0)</f>
        <v>0</v>
      </c>
      <c r="AO478" s="105">
        <f>IF(NFI_Expiration=1,IF($A478&lt;VLOOKUP(W$5,NFI,5,0),1,0)*Data_NFI_t[[#This Row],[Children Clothes]],0)</f>
        <v>0</v>
      </c>
      <c r="AP478" s="105">
        <f>IF(NFI_Expiration=1,IF($A478&lt;VLOOKUP(X$5,NFI,5,0),1,0)*Data_NFI_t[[#This Row],[Sewing Kit]],0)</f>
        <v>0</v>
      </c>
      <c r="AQ478" s="734">
        <f>IF(NFI_Expiration=1,IF($A478&lt;VLOOKUP(X$5,NFI,5,0),1,0)*Data_NFI_t[[#This Row],[Solar Lantern]],0)</f>
        <v>0</v>
      </c>
      <c r="AR478" s="105" t="str">
        <f ca="1">IFERROR(OFFSET(Camp_List[P_Code],MATCH(Data_NFI_t[[#This Row],[Camp Name]],Camp_List[Camp Name],0)-1,0,1,1),"")</f>
        <v>MMR012CMP045</v>
      </c>
      <c r="AS478" s="421" t="str">
        <f ca="1">IFERROR(OFFSET(Camp_List[Status],MATCH(Data_NFI_t[[#This Row],[Camp Name]],Camp_List[Camp Name],0)-1,0,1,1),"")</f>
        <v>Open</v>
      </c>
      <c r="AT478" s="105"/>
    </row>
    <row r="479" spans="1:46" s="78" customFormat="1" ht="19.5" customHeight="1" x14ac:dyDescent="0.25">
      <c r="A479" s="208">
        <f t="shared" si="7"/>
        <v>69</v>
      </c>
      <c r="B479" s="208">
        <f>YEAR(Data_NFI_t[[#This Row],[Distribution Date]])</f>
        <v>2012</v>
      </c>
      <c r="C479" s="744">
        <v>41120</v>
      </c>
      <c r="D479" s="402" t="s">
        <v>270</v>
      </c>
      <c r="E479" s="401"/>
      <c r="F479" s="402" t="s">
        <v>7</v>
      </c>
      <c r="G479" s="670" t="s">
        <v>17</v>
      </c>
      <c r="H479" s="670" t="s">
        <v>68</v>
      </c>
      <c r="I479" s="670"/>
      <c r="J479" s="670"/>
      <c r="K479" s="670"/>
      <c r="L479" s="42"/>
      <c r="M479" s="42"/>
      <c r="N479" s="42"/>
      <c r="O479" s="42">
        <v>11</v>
      </c>
      <c r="P479" s="42"/>
      <c r="Q479" s="42"/>
      <c r="R479" s="42"/>
      <c r="S479" s="42"/>
      <c r="T479" s="419"/>
      <c r="U479" s="42"/>
      <c r="V479" s="42"/>
      <c r="W479" s="42"/>
      <c r="X479" s="42"/>
      <c r="Y479" s="42"/>
      <c r="Z479" s="42"/>
      <c r="AA479" s="42"/>
      <c r="AB479" s="42"/>
      <c r="AC479" s="105">
        <f>IF(NFI_Expiration=1,IF($A479&lt;VLOOKUP(I$5,NFI,5,0),1,0)*Data_NFI_t[[#This Row],[Hygiene Kit]],0)</f>
        <v>0</v>
      </c>
      <c r="AD479" s="105">
        <f>IF(NFI_Expiration=1,IF($A479&lt;VLOOKUP(L$5,NFI,5,0),1,0)*Data_NFI_t[[#This Row],[NFI Core Kit]],0)</f>
        <v>0</v>
      </c>
      <c r="AE479" s="86">
        <f>IF(NFI_Expiration=1,IF($A479&lt;VLOOKUP(M$5,NFI,5,0),1,0)*Data_NFI_t[[#This Row],[Sanitary Kit]],0)</f>
        <v>0</v>
      </c>
      <c r="AF479" s="86">
        <f>IF(NFI_Expiration=1,IF($A479&lt;VLOOKUP(N$5,NFI,5,0),1,0)*Data_NFI_t[[#This Row],[Mosquito net]],0)</f>
        <v>0</v>
      </c>
      <c r="AG479" s="86">
        <f>IF(NFI_Expiration=1,IF($A479&lt;VLOOKUP(O$5,NFI,5,0),1,0)*Data_NFI_t[[#This Row],[Tarpaulin]],0)</f>
        <v>0</v>
      </c>
      <c r="AH479" s="86">
        <f>IF(NFI_Expiration=1,IF($A479&lt;VLOOKUP(P$5,NFI,5,0),1,0)*Data_NFI_t[[#This Row],[Blanket]],0)</f>
        <v>0</v>
      </c>
      <c r="AI479" s="86">
        <f>IF(NFI_Expiration=1,IF($A479&lt;VLOOKUP(Q$5,NFI,5,0),1,0)*Data_NFI_t[[#This Row],[Kitchen Set]],0)</f>
        <v>0</v>
      </c>
      <c r="AJ479" s="86">
        <f>IF(NFI_Expiration=1,IF($A479&lt;VLOOKUP(R$5,NFI,5,0),1,0)*Data_NFI_t[[#This Row],[Complementary Kit]],0)</f>
        <v>0</v>
      </c>
      <c r="AK479" s="86">
        <f>IF(NFI_Expiration=1,IF($A479&lt;VLOOKUP(S$5,NFI,5,0),1,0)*Data_NFI_t[[#This Row],[Plastic Bucket]],0)</f>
        <v>0</v>
      </c>
      <c r="AL479" s="86">
        <f>IF(NFI_Expiration=1,IF($A479&lt;VLOOKUP(T$5,NFI,5,0),1,0)*Data_NFI_t[[#This Row],[Jerry Can]],0)</f>
        <v>0</v>
      </c>
      <c r="AM479" s="105">
        <f>IF(NFI_Expiration=1,IF($A479&lt;VLOOKUP(U$5,NFI,5,0),1,0)*Data_NFI_t[[#This Row],[Plastic Mat]],0)*IF(Data_NFI_t[[#This Row],[Distribution Date]]&gt;"01-06-2015",1,2.5)</f>
        <v>0</v>
      </c>
      <c r="AN479" s="734">
        <f>IF(NFI_Expiration=1,IF($A479&lt;VLOOKUP(V$5,NFI,5,0),1,0)*Data_NFI_t[[#This Row],[Adult Clothes]],0)</f>
        <v>0</v>
      </c>
      <c r="AO479" s="105">
        <f>IF(NFI_Expiration=1,IF($A479&lt;VLOOKUP(W$5,NFI,5,0),1,0)*Data_NFI_t[[#This Row],[Children Clothes]],0)</f>
        <v>0</v>
      </c>
      <c r="AP479" s="105">
        <f>IF(NFI_Expiration=1,IF($A479&lt;VLOOKUP(X$5,NFI,5,0),1,0)*Data_NFI_t[[#This Row],[Sewing Kit]],0)</f>
        <v>0</v>
      </c>
      <c r="AQ479" s="734">
        <f>IF(NFI_Expiration=1,IF($A479&lt;VLOOKUP(X$5,NFI,5,0),1,0)*Data_NFI_t[[#This Row],[Solar Lantern]],0)</f>
        <v>0</v>
      </c>
      <c r="AR479" s="105" t="str">
        <f ca="1">IFERROR(OFFSET(Camp_List[P_Code],MATCH(Data_NFI_t[[#This Row],[Camp Name]],Camp_List[Camp Name],0)-1,0,1,1),"")</f>
        <v>MMR012CMP048</v>
      </c>
      <c r="AS479" s="421" t="str">
        <f ca="1">IFERROR(OFFSET(Camp_List[Status],MATCH(Data_NFI_t[[#This Row],[Camp Name]],Camp_List[Camp Name],0)-1,0,1,1),"")</f>
        <v>Open</v>
      </c>
      <c r="AT479" s="105"/>
    </row>
    <row r="480" spans="1:46" s="78" customFormat="1" ht="19.5" customHeight="1" x14ac:dyDescent="0.25">
      <c r="A480" s="208">
        <f t="shared" si="7"/>
        <v>69.033333333333331</v>
      </c>
      <c r="B480" s="208">
        <f>YEAR(Data_NFI_t[[#This Row],[Distribution Date]])</f>
        <v>2012</v>
      </c>
      <c r="C480" s="744">
        <v>41119</v>
      </c>
      <c r="D480" s="402" t="s">
        <v>270</v>
      </c>
      <c r="E480" s="401"/>
      <c r="F480" s="402" t="s">
        <v>7</v>
      </c>
      <c r="G480" s="670" t="s">
        <v>17</v>
      </c>
      <c r="H480" s="670" t="s">
        <v>62</v>
      </c>
      <c r="I480" s="670"/>
      <c r="J480" s="670"/>
      <c r="K480" s="670"/>
      <c r="L480" s="42"/>
      <c r="M480" s="42"/>
      <c r="N480" s="42"/>
      <c r="O480" s="42">
        <v>22</v>
      </c>
      <c r="P480" s="42"/>
      <c r="Q480" s="42"/>
      <c r="R480" s="42"/>
      <c r="S480" s="42"/>
      <c r="T480" s="419"/>
      <c r="U480" s="42"/>
      <c r="V480" s="42"/>
      <c r="W480" s="42"/>
      <c r="X480" s="42"/>
      <c r="Y480" s="42"/>
      <c r="Z480" s="42"/>
      <c r="AA480" s="42"/>
      <c r="AB480" s="42"/>
      <c r="AC480" s="105">
        <f>IF(NFI_Expiration=1,IF($A480&lt;VLOOKUP(I$5,NFI,5,0),1,0)*Data_NFI_t[[#This Row],[Hygiene Kit]],0)</f>
        <v>0</v>
      </c>
      <c r="AD480" s="105">
        <f>IF(NFI_Expiration=1,IF($A480&lt;VLOOKUP(L$5,NFI,5,0),1,0)*Data_NFI_t[[#This Row],[NFI Core Kit]],0)</f>
        <v>0</v>
      </c>
      <c r="AE480" s="86">
        <f>IF(NFI_Expiration=1,IF($A480&lt;VLOOKUP(M$5,NFI,5,0),1,0)*Data_NFI_t[[#This Row],[Sanitary Kit]],0)</f>
        <v>0</v>
      </c>
      <c r="AF480" s="86">
        <f>IF(NFI_Expiration=1,IF($A480&lt;VLOOKUP(N$5,NFI,5,0),1,0)*Data_NFI_t[[#This Row],[Mosquito net]],0)</f>
        <v>0</v>
      </c>
      <c r="AG480" s="86">
        <f>IF(NFI_Expiration=1,IF($A480&lt;VLOOKUP(O$5,NFI,5,0),1,0)*Data_NFI_t[[#This Row],[Tarpaulin]],0)</f>
        <v>0</v>
      </c>
      <c r="AH480" s="86">
        <f>IF(NFI_Expiration=1,IF($A480&lt;VLOOKUP(P$5,NFI,5,0),1,0)*Data_NFI_t[[#This Row],[Blanket]],0)</f>
        <v>0</v>
      </c>
      <c r="AI480" s="86">
        <f>IF(NFI_Expiration=1,IF($A480&lt;VLOOKUP(Q$5,NFI,5,0),1,0)*Data_NFI_t[[#This Row],[Kitchen Set]],0)</f>
        <v>0</v>
      </c>
      <c r="AJ480" s="86">
        <f>IF(NFI_Expiration=1,IF($A480&lt;VLOOKUP(R$5,NFI,5,0),1,0)*Data_NFI_t[[#This Row],[Complementary Kit]],0)</f>
        <v>0</v>
      </c>
      <c r="AK480" s="86">
        <f>IF(NFI_Expiration=1,IF($A480&lt;VLOOKUP(S$5,NFI,5,0),1,0)*Data_NFI_t[[#This Row],[Plastic Bucket]],0)</f>
        <v>0</v>
      </c>
      <c r="AL480" s="86">
        <f>IF(NFI_Expiration=1,IF($A480&lt;VLOOKUP(T$5,NFI,5,0),1,0)*Data_NFI_t[[#This Row],[Jerry Can]],0)</f>
        <v>0</v>
      </c>
      <c r="AM480" s="105">
        <f>IF(NFI_Expiration=1,IF($A480&lt;VLOOKUP(U$5,NFI,5,0),1,0)*Data_NFI_t[[#This Row],[Plastic Mat]],0)*IF(Data_NFI_t[[#This Row],[Distribution Date]]&gt;"01-06-2015",1,2.5)</f>
        <v>0</v>
      </c>
      <c r="AN480" s="734">
        <f>IF(NFI_Expiration=1,IF($A480&lt;VLOOKUP(V$5,NFI,5,0),1,0)*Data_NFI_t[[#This Row],[Adult Clothes]],0)</f>
        <v>0</v>
      </c>
      <c r="AO480" s="105">
        <f>IF(NFI_Expiration=1,IF($A480&lt;VLOOKUP(W$5,NFI,5,0),1,0)*Data_NFI_t[[#This Row],[Children Clothes]],0)</f>
        <v>0</v>
      </c>
      <c r="AP480" s="105">
        <f>IF(NFI_Expiration=1,IF($A480&lt;VLOOKUP(X$5,NFI,5,0),1,0)*Data_NFI_t[[#This Row],[Sewing Kit]],0)</f>
        <v>0</v>
      </c>
      <c r="AQ480" s="734">
        <f>IF(NFI_Expiration=1,IF($A480&lt;VLOOKUP(X$5,NFI,5,0),1,0)*Data_NFI_t[[#This Row],[Solar Lantern]],0)</f>
        <v>0</v>
      </c>
      <c r="AR480" s="105" t="str">
        <f ca="1">IFERROR(OFFSET(Camp_List[P_Code],MATCH(Data_NFI_t[[#This Row],[Camp Name]],Camp_List[Camp Name],0)-1,0,1,1),"")</f>
        <v>MMR012CMP042</v>
      </c>
      <c r="AS480" s="421" t="str">
        <f ca="1">IFERROR(OFFSET(Camp_List[Status],MATCH(Data_NFI_t[[#This Row],[Camp Name]],Camp_List[Camp Name],0)-1,0,1,1),"")</f>
        <v>Open</v>
      </c>
      <c r="AT480" s="105"/>
    </row>
    <row r="481" spans="1:49" s="78" customFormat="1" ht="19.5" customHeight="1" x14ac:dyDescent="0.25">
      <c r="A481" s="208">
        <f t="shared" si="7"/>
        <v>69.033333333333331</v>
      </c>
      <c r="B481" s="208">
        <f>YEAR(Data_NFI_t[[#This Row],[Distribution Date]])</f>
        <v>2012</v>
      </c>
      <c r="C481" s="744">
        <v>41119</v>
      </c>
      <c r="D481" s="402" t="s">
        <v>270</v>
      </c>
      <c r="E481" s="401"/>
      <c r="F481" s="402" t="s">
        <v>7</v>
      </c>
      <c r="G481" s="670" t="s">
        <v>17</v>
      </c>
      <c r="H481" s="670" t="s">
        <v>65</v>
      </c>
      <c r="I481" s="670"/>
      <c r="J481" s="670"/>
      <c r="K481" s="670"/>
      <c r="L481" s="42"/>
      <c r="M481" s="42"/>
      <c r="N481" s="42"/>
      <c r="O481" s="42">
        <v>456</v>
      </c>
      <c r="P481" s="42"/>
      <c r="Q481" s="42"/>
      <c r="R481" s="42"/>
      <c r="S481" s="42"/>
      <c r="T481" s="419"/>
      <c r="U481" s="42"/>
      <c r="V481" s="42"/>
      <c r="W481" s="42"/>
      <c r="X481" s="42"/>
      <c r="Y481" s="42"/>
      <c r="Z481" s="42"/>
      <c r="AA481" s="42"/>
      <c r="AB481" s="42"/>
      <c r="AC481" s="105">
        <f>IF(NFI_Expiration=1,IF($A481&lt;VLOOKUP(I$5,NFI,5,0),1,0)*Data_NFI_t[[#This Row],[Hygiene Kit]],0)</f>
        <v>0</v>
      </c>
      <c r="AD481" s="105">
        <f>IF(NFI_Expiration=1,IF($A481&lt;VLOOKUP(L$5,NFI,5,0),1,0)*Data_NFI_t[[#This Row],[NFI Core Kit]],0)</f>
        <v>0</v>
      </c>
      <c r="AE481" s="86">
        <f>IF(NFI_Expiration=1,IF($A481&lt;VLOOKUP(M$5,NFI,5,0),1,0)*Data_NFI_t[[#This Row],[Sanitary Kit]],0)</f>
        <v>0</v>
      </c>
      <c r="AF481" s="86">
        <f>IF(NFI_Expiration=1,IF($A481&lt;VLOOKUP(N$5,NFI,5,0),1,0)*Data_NFI_t[[#This Row],[Mosquito net]],0)</f>
        <v>0</v>
      </c>
      <c r="AG481" s="86">
        <f>IF(NFI_Expiration=1,IF($A481&lt;VLOOKUP(O$5,NFI,5,0),1,0)*Data_NFI_t[[#This Row],[Tarpaulin]],0)</f>
        <v>0</v>
      </c>
      <c r="AH481" s="86">
        <f>IF(NFI_Expiration=1,IF($A481&lt;VLOOKUP(P$5,NFI,5,0),1,0)*Data_NFI_t[[#This Row],[Blanket]],0)</f>
        <v>0</v>
      </c>
      <c r="AI481" s="86">
        <f>IF(NFI_Expiration=1,IF($A481&lt;VLOOKUP(Q$5,NFI,5,0),1,0)*Data_NFI_t[[#This Row],[Kitchen Set]],0)</f>
        <v>0</v>
      </c>
      <c r="AJ481" s="86">
        <f>IF(NFI_Expiration=1,IF($A481&lt;VLOOKUP(R$5,NFI,5,0),1,0)*Data_NFI_t[[#This Row],[Complementary Kit]],0)</f>
        <v>0</v>
      </c>
      <c r="AK481" s="86">
        <f>IF(NFI_Expiration=1,IF($A481&lt;VLOOKUP(S$5,NFI,5,0),1,0)*Data_NFI_t[[#This Row],[Plastic Bucket]],0)</f>
        <v>0</v>
      </c>
      <c r="AL481" s="86">
        <f>IF(NFI_Expiration=1,IF($A481&lt;VLOOKUP(T$5,NFI,5,0),1,0)*Data_NFI_t[[#This Row],[Jerry Can]],0)</f>
        <v>0</v>
      </c>
      <c r="AM481" s="105">
        <f>IF(NFI_Expiration=1,IF($A481&lt;VLOOKUP(U$5,NFI,5,0),1,0)*Data_NFI_t[[#This Row],[Plastic Mat]],0)*IF(Data_NFI_t[[#This Row],[Distribution Date]]&gt;"01-06-2015",1,2.5)</f>
        <v>0</v>
      </c>
      <c r="AN481" s="734">
        <f>IF(NFI_Expiration=1,IF($A481&lt;VLOOKUP(V$5,NFI,5,0),1,0)*Data_NFI_t[[#This Row],[Adult Clothes]],0)</f>
        <v>0</v>
      </c>
      <c r="AO481" s="105">
        <f>IF(NFI_Expiration=1,IF($A481&lt;VLOOKUP(W$5,NFI,5,0),1,0)*Data_NFI_t[[#This Row],[Children Clothes]],0)</f>
        <v>0</v>
      </c>
      <c r="AP481" s="105">
        <f>IF(NFI_Expiration=1,IF($A481&lt;VLOOKUP(X$5,NFI,5,0),1,0)*Data_NFI_t[[#This Row],[Sewing Kit]],0)</f>
        <v>0</v>
      </c>
      <c r="AQ481" s="734">
        <f>IF(NFI_Expiration=1,IF($A481&lt;VLOOKUP(X$5,NFI,5,0),1,0)*Data_NFI_t[[#This Row],[Solar Lantern]],0)</f>
        <v>0</v>
      </c>
      <c r="AR481" s="105" t="str">
        <f ca="1">IFERROR(OFFSET(Camp_List[P_Code],MATCH(Data_NFI_t[[#This Row],[Camp Name]],Camp_List[Camp Name],0)-1,0,1,1),"")</f>
        <v>MMR012CMP045</v>
      </c>
      <c r="AS481" s="421" t="str">
        <f ca="1">IFERROR(OFFSET(Camp_List[Status],MATCH(Data_NFI_t[[#This Row],[Camp Name]],Camp_List[Camp Name],0)-1,0,1,1),"")</f>
        <v>Open</v>
      </c>
      <c r="AT481" s="105"/>
      <c r="AW481" s="78" t="s">
        <v>840</v>
      </c>
    </row>
    <row r="482" spans="1:49" s="78" customFormat="1" ht="19.5" customHeight="1" x14ac:dyDescent="0.25">
      <c r="A482" s="208">
        <f t="shared" si="7"/>
        <v>69.3</v>
      </c>
      <c r="B482" s="208">
        <f>YEAR(Data_NFI_t[[#This Row],[Distribution Date]])</f>
        <v>2012</v>
      </c>
      <c r="C482" s="744">
        <v>41111</v>
      </c>
      <c r="D482" s="402" t="s">
        <v>270</v>
      </c>
      <c r="E482" s="401"/>
      <c r="F482" s="402" t="s">
        <v>7</v>
      </c>
      <c r="G482" s="670" t="s">
        <v>17</v>
      </c>
      <c r="H482" s="670" t="s">
        <v>65</v>
      </c>
      <c r="I482" s="670"/>
      <c r="J482" s="670"/>
      <c r="K482" s="670"/>
      <c r="L482" s="42"/>
      <c r="M482" s="42"/>
      <c r="N482" s="42"/>
      <c r="O482" s="42">
        <v>117</v>
      </c>
      <c r="P482" s="42"/>
      <c r="Q482" s="42"/>
      <c r="R482" s="42"/>
      <c r="S482" s="42"/>
      <c r="T482" s="419"/>
      <c r="U482" s="42"/>
      <c r="V482" s="42"/>
      <c r="W482" s="42"/>
      <c r="X482" s="42"/>
      <c r="Y482" s="42"/>
      <c r="Z482" s="42"/>
      <c r="AA482" s="42"/>
      <c r="AB482" s="42"/>
      <c r="AC482" s="105">
        <f>IF(NFI_Expiration=1,IF($A482&lt;VLOOKUP(I$5,NFI,5,0),1,0)*Data_NFI_t[[#This Row],[Hygiene Kit]],0)</f>
        <v>0</v>
      </c>
      <c r="AD482" s="105">
        <f>IF(NFI_Expiration=1,IF($A482&lt;VLOOKUP(L$5,NFI,5,0),1,0)*Data_NFI_t[[#This Row],[NFI Core Kit]],0)</f>
        <v>0</v>
      </c>
      <c r="AE482" s="86">
        <f>IF(NFI_Expiration=1,IF($A482&lt;VLOOKUP(M$5,NFI,5,0),1,0)*Data_NFI_t[[#This Row],[Sanitary Kit]],0)</f>
        <v>0</v>
      </c>
      <c r="AF482" s="86">
        <f>IF(NFI_Expiration=1,IF($A482&lt;VLOOKUP(N$5,NFI,5,0),1,0)*Data_NFI_t[[#This Row],[Mosquito net]],0)</f>
        <v>0</v>
      </c>
      <c r="AG482" s="86">
        <f>IF(NFI_Expiration=1,IF($A482&lt;VLOOKUP(O$5,NFI,5,0),1,0)*Data_NFI_t[[#This Row],[Tarpaulin]],0)</f>
        <v>0</v>
      </c>
      <c r="AH482" s="86">
        <f>IF(NFI_Expiration=1,IF($A482&lt;VLOOKUP(P$5,NFI,5,0),1,0)*Data_NFI_t[[#This Row],[Blanket]],0)</f>
        <v>0</v>
      </c>
      <c r="AI482" s="86">
        <f>IF(NFI_Expiration=1,IF($A482&lt;VLOOKUP(Q$5,NFI,5,0),1,0)*Data_NFI_t[[#This Row],[Kitchen Set]],0)</f>
        <v>0</v>
      </c>
      <c r="AJ482" s="86">
        <f>IF(NFI_Expiration=1,IF($A482&lt;VLOOKUP(R$5,NFI,5,0),1,0)*Data_NFI_t[[#This Row],[Complementary Kit]],0)</f>
        <v>0</v>
      </c>
      <c r="AK482" s="86">
        <f>IF(NFI_Expiration=1,IF($A482&lt;VLOOKUP(S$5,NFI,5,0),1,0)*Data_NFI_t[[#This Row],[Plastic Bucket]],0)</f>
        <v>0</v>
      </c>
      <c r="AL482" s="86">
        <f>IF(NFI_Expiration=1,IF($A482&lt;VLOOKUP(T$5,NFI,5,0),1,0)*Data_NFI_t[[#This Row],[Jerry Can]],0)</f>
        <v>0</v>
      </c>
      <c r="AM482" s="105">
        <f>IF(NFI_Expiration=1,IF($A482&lt;VLOOKUP(U$5,NFI,5,0),1,0)*Data_NFI_t[[#This Row],[Plastic Mat]],0)*IF(Data_NFI_t[[#This Row],[Distribution Date]]&gt;"01-06-2015",1,2.5)</f>
        <v>0</v>
      </c>
      <c r="AN482" s="734">
        <f>IF(NFI_Expiration=1,IF($A482&lt;VLOOKUP(V$5,NFI,5,0),1,0)*Data_NFI_t[[#This Row],[Adult Clothes]],0)</f>
        <v>0</v>
      </c>
      <c r="AO482" s="105">
        <f>IF(NFI_Expiration=1,IF($A482&lt;VLOOKUP(W$5,NFI,5,0),1,0)*Data_NFI_t[[#This Row],[Children Clothes]],0)</f>
        <v>0</v>
      </c>
      <c r="AP482" s="105">
        <f>IF(NFI_Expiration=1,IF($A482&lt;VLOOKUP(X$5,NFI,5,0),1,0)*Data_NFI_t[[#This Row],[Sewing Kit]],0)</f>
        <v>0</v>
      </c>
      <c r="AQ482" s="734">
        <f>IF(NFI_Expiration=1,IF($A482&lt;VLOOKUP(X$5,NFI,5,0),1,0)*Data_NFI_t[[#This Row],[Solar Lantern]],0)</f>
        <v>0</v>
      </c>
      <c r="AR482" s="105" t="str">
        <f ca="1">IFERROR(OFFSET(Camp_List[P_Code],MATCH(Data_NFI_t[[#This Row],[Camp Name]],Camp_List[Camp Name],0)-1,0,1,1),"")</f>
        <v>MMR012CMP045</v>
      </c>
      <c r="AS482" s="421" t="str">
        <f ca="1">IFERROR(OFFSET(Camp_List[Status],MATCH(Data_NFI_t[[#This Row],[Camp Name]],Camp_List[Camp Name],0)-1,0,1,1),"")</f>
        <v>Open</v>
      </c>
      <c r="AT482" s="105"/>
      <c r="AW482" s="78" t="s">
        <v>840</v>
      </c>
    </row>
    <row r="483" spans="1:49" s="78" customFormat="1" ht="19.5" customHeight="1" x14ac:dyDescent="0.25">
      <c r="A483" s="208">
        <f t="shared" si="7"/>
        <v>69.333333333333329</v>
      </c>
      <c r="B483" s="208">
        <f>YEAR(Data_NFI_t[[#This Row],[Distribution Date]])</f>
        <v>2012</v>
      </c>
      <c r="C483" s="744">
        <v>41110</v>
      </c>
      <c r="D483" s="402" t="s">
        <v>270</v>
      </c>
      <c r="E483" s="401"/>
      <c r="F483" s="402" t="s">
        <v>7</v>
      </c>
      <c r="G483" s="670" t="s">
        <v>17</v>
      </c>
      <c r="H483" s="670" t="s">
        <v>59</v>
      </c>
      <c r="I483" s="670"/>
      <c r="J483" s="670"/>
      <c r="K483" s="670"/>
      <c r="L483" s="42"/>
      <c r="M483" s="42"/>
      <c r="N483" s="42"/>
      <c r="O483" s="42">
        <v>383</v>
      </c>
      <c r="P483" s="42"/>
      <c r="Q483" s="42"/>
      <c r="R483" s="42"/>
      <c r="S483" s="42"/>
      <c r="T483" s="419"/>
      <c r="U483" s="42"/>
      <c r="V483" s="42"/>
      <c r="W483" s="42"/>
      <c r="X483" s="42"/>
      <c r="Y483" s="42"/>
      <c r="Z483" s="42"/>
      <c r="AA483" s="42"/>
      <c r="AB483" s="42"/>
      <c r="AC483" s="105">
        <f>IF(NFI_Expiration=1,IF($A483&lt;VLOOKUP(I$5,NFI,5,0),1,0)*Data_NFI_t[[#This Row],[Hygiene Kit]],0)</f>
        <v>0</v>
      </c>
      <c r="AD483" s="105">
        <f>IF(NFI_Expiration=1,IF($A483&lt;VLOOKUP(L$5,NFI,5,0),1,0)*Data_NFI_t[[#This Row],[NFI Core Kit]],0)</f>
        <v>0</v>
      </c>
      <c r="AE483" s="86">
        <f>IF(NFI_Expiration=1,IF($A483&lt;VLOOKUP(M$5,NFI,5,0),1,0)*Data_NFI_t[[#This Row],[Sanitary Kit]],0)</f>
        <v>0</v>
      </c>
      <c r="AF483" s="86">
        <f>IF(NFI_Expiration=1,IF($A483&lt;VLOOKUP(N$5,NFI,5,0),1,0)*Data_NFI_t[[#This Row],[Mosquito net]],0)</f>
        <v>0</v>
      </c>
      <c r="AG483" s="86">
        <f>IF(NFI_Expiration=1,IF($A483&lt;VLOOKUP(O$5,NFI,5,0),1,0)*Data_NFI_t[[#This Row],[Tarpaulin]],0)</f>
        <v>0</v>
      </c>
      <c r="AH483" s="86">
        <f>IF(NFI_Expiration=1,IF($A483&lt;VLOOKUP(P$5,NFI,5,0),1,0)*Data_NFI_t[[#This Row],[Blanket]],0)</f>
        <v>0</v>
      </c>
      <c r="AI483" s="86">
        <f>IF(NFI_Expiration=1,IF($A483&lt;VLOOKUP(Q$5,NFI,5,0),1,0)*Data_NFI_t[[#This Row],[Kitchen Set]],0)</f>
        <v>0</v>
      </c>
      <c r="AJ483" s="86">
        <f>IF(NFI_Expiration=1,IF($A483&lt;VLOOKUP(R$5,NFI,5,0),1,0)*Data_NFI_t[[#This Row],[Complementary Kit]],0)</f>
        <v>0</v>
      </c>
      <c r="AK483" s="86">
        <f>IF(NFI_Expiration=1,IF($A483&lt;VLOOKUP(S$5,NFI,5,0),1,0)*Data_NFI_t[[#This Row],[Plastic Bucket]],0)</f>
        <v>0</v>
      </c>
      <c r="AL483" s="86">
        <f>IF(NFI_Expiration=1,IF($A483&lt;VLOOKUP(T$5,NFI,5,0),1,0)*Data_NFI_t[[#This Row],[Jerry Can]],0)</f>
        <v>0</v>
      </c>
      <c r="AM483" s="105">
        <f>IF(NFI_Expiration=1,IF($A483&lt;VLOOKUP(U$5,NFI,5,0),1,0)*Data_NFI_t[[#This Row],[Plastic Mat]],0)*IF(Data_NFI_t[[#This Row],[Distribution Date]]&gt;"01-06-2015",1,2.5)</f>
        <v>0</v>
      </c>
      <c r="AN483" s="734">
        <f>IF(NFI_Expiration=1,IF($A483&lt;VLOOKUP(V$5,NFI,5,0),1,0)*Data_NFI_t[[#This Row],[Adult Clothes]],0)</f>
        <v>0</v>
      </c>
      <c r="AO483" s="105">
        <f>IF(NFI_Expiration=1,IF($A483&lt;VLOOKUP(W$5,NFI,5,0),1,0)*Data_NFI_t[[#This Row],[Children Clothes]],0)</f>
        <v>0</v>
      </c>
      <c r="AP483" s="105">
        <f>IF(NFI_Expiration=1,IF($A483&lt;VLOOKUP(X$5,NFI,5,0),1,0)*Data_NFI_t[[#This Row],[Sewing Kit]],0)</f>
        <v>0</v>
      </c>
      <c r="AQ483" s="734">
        <f>IF(NFI_Expiration=1,IF($A483&lt;VLOOKUP(X$5,NFI,5,0),1,0)*Data_NFI_t[[#This Row],[Solar Lantern]],0)</f>
        <v>0</v>
      </c>
      <c r="AR483" s="105" t="str">
        <f ca="1">IFERROR(OFFSET(Camp_List[P_Code],MATCH(Data_NFI_t[[#This Row],[Camp Name]],Camp_List[Camp Name],0)-1,0,1,1),"")</f>
        <v>MMR012CMP039</v>
      </c>
      <c r="AS483" s="421" t="str">
        <f ca="1">IFERROR(OFFSET(Camp_List[Status],MATCH(Data_NFI_t[[#This Row],[Camp Name]],Camp_List[Camp Name],0)-1,0,1,1),"")</f>
        <v>Open</v>
      </c>
      <c r="AT483" s="105"/>
      <c r="AW483" s="78" t="s">
        <v>840</v>
      </c>
    </row>
    <row r="484" spans="1:49" s="78" customFormat="1" ht="19.5" customHeight="1" x14ac:dyDescent="0.25">
      <c r="A484" s="208">
        <f t="shared" si="7"/>
        <v>69.36666666666666</v>
      </c>
      <c r="B484" s="208">
        <f>YEAR(Data_NFI_t[[#This Row],[Distribution Date]])</f>
        <v>2012</v>
      </c>
      <c r="C484" s="744">
        <v>41109</v>
      </c>
      <c r="D484" s="402" t="s">
        <v>270</v>
      </c>
      <c r="E484" s="401"/>
      <c r="F484" s="402" t="s">
        <v>7</v>
      </c>
      <c r="G484" s="670" t="s">
        <v>17</v>
      </c>
      <c r="H484" s="670" t="s">
        <v>68</v>
      </c>
      <c r="I484" s="670"/>
      <c r="J484" s="670"/>
      <c r="K484" s="670"/>
      <c r="L484" s="42"/>
      <c r="M484" s="42"/>
      <c r="N484" s="42"/>
      <c r="O484" s="42">
        <v>572</v>
      </c>
      <c r="P484" s="42"/>
      <c r="Q484" s="42"/>
      <c r="R484" s="42"/>
      <c r="S484" s="42"/>
      <c r="T484" s="419"/>
      <c r="U484" s="42"/>
      <c r="V484" s="42"/>
      <c r="W484" s="42"/>
      <c r="X484" s="42"/>
      <c r="Y484" s="42"/>
      <c r="Z484" s="42"/>
      <c r="AA484" s="42"/>
      <c r="AB484" s="42"/>
      <c r="AC484" s="105">
        <f>IF(NFI_Expiration=1,IF($A484&lt;VLOOKUP(I$5,NFI,5,0),1,0)*Data_NFI_t[[#This Row],[Hygiene Kit]],0)</f>
        <v>0</v>
      </c>
      <c r="AD484" s="105">
        <f>IF(NFI_Expiration=1,IF($A484&lt;VLOOKUP(L$5,NFI,5,0),1,0)*Data_NFI_t[[#This Row],[NFI Core Kit]],0)</f>
        <v>0</v>
      </c>
      <c r="AE484" s="86">
        <f>IF(NFI_Expiration=1,IF($A484&lt;VLOOKUP(M$5,NFI,5,0),1,0)*Data_NFI_t[[#This Row],[Sanitary Kit]],0)</f>
        <v>0</v>
      </c>
      <c r="AF484" s="86">
        <f>IF(NFI_Expiration=1,IF($A484&lt;VLOOKUP(N$5,NFI,5,0),1,0)*Data_NFI_t[[#This Row],[Mosquito net]],0)</f>
        <v>0</v>
      </c>
      <c r="AG484" s="86">
        <f>IF(NFI_Expiration=1,IF($A484&lt;VLOOKUP(O$5,NFI,5,0),1,0)*Data_NFI_t[[#This Row],[Tarpaulin]],0)</f>
        <v>0</v>
      </c>
      <c r="AH484" s="86">
        <f>IF(NFI_Expiration=1,IF($A484&lt;VLOOKUP(P$5,NFI,5,0),1,0)*Data_NFI_t[[#This Row],[Blanket]],0)</f>
        <v>0</v>
      </c>
      <c r="AI484" s="86">
        <f>IF(NFI_Expiration=1,IF($A484&lt;VLOOKUP(Q$5,NFI,5,0),1,0)*Data_NFI_t[[#This Row],[Kitchen Set]],0)</f>
        <v>0</v>
      </c>
      <c r="AJ484" s="86">
        <f>IF(NFI_Expiration=1,IF($A484&lt;VLOOKUP(R$5,NFI,5,0),1,0)*Data_NFI_t[[#This Row],[Complementary Kit]],0)</f>
        <v>0</v>
      </c>
      <c r="AK484" s="86">
        <f>IF(NFI_Expiration=1,IF($A484&lt;VLOOKUP(S$5,NFI,5,0),1,0)*Data_NFI_t[[#This Row],[Plastic Bucket]],0)</f>
        <v>0</v>
      </c>
      <c r="AL484" s="86">
        <f>IF(NFI_Expiration=1,IF($A484&lt;VLOOKUP(T$5,NFI,5,0),1,0)*Data_NFI_t[[#This Row],[Jerry Can]],0)</f>
        <v>0</v>
      </c>
      <c r="AM484" s="105">
        <f>IF(NFI_Expiration=1,IF($A484&lt;VLOOKUP(U$5,NFI,5,0),1,0)*Data_NFI_t[[#This Row],[Plastic Mat]],0)*IF(Data_NFI_t[[#This Row],[Distribution Date]]&gt;"01-06-2015",1,2.5)</f>
        <v>0</v>
      </c>
      <c r="AN484" s="734">
        <f>IF(NFI_Expiration=1,IF($A484&lt;VLOOKUP(V$5,NFI,5,0),1,0)*Data_NFI_t[[#This Row],[Adult Clothes]],0)</f>
        <v>0</v>
      </c>
      <c r="AO484" s="105">
        <f>IF(NFI_Expiration=1,IF($A484&lt;VLOOKUP(W$5,NFI,5,0),1,0)*Data_NFI_t[[#This Row],[Children Clothes]],0)</f>
        <v>0</v>
      </c>
      <c r="AP484" s="105">
        <f>IF(NFI_Expiration=1,IF($A484&lt;VLOOKUP(X$5,NFI,5,0),1,0)*Data_NFI_t[[#This Row],[Sewing Kit]],0)</f>
        <v>0</v>
      </c>
      <c r="AQ484" s="734">
        <f>IF(NFI_Expiration=1,IF($A484&lt;VLOOKUP(X$5,NFI,5,0),1,0)*Data_NFI_t[[#This Row],[Solar Lantern]],0)</f>
        <v>0</v>
      </c>
      <c r="AR484" s="105" t="str">
        <f ca="1">IFERROR(OFFSET(Camp_List[P_Code],MATCH(Data_NFI_t[[#This Row],[Camp Name]],Camp_List[Camp Name],0)-1,0,1,1),"")</f>
        <v>MMR012CMP048</v>
      </c>
      <c r="AS484" s="421" t="str">
        <f ca="1">IFERROR(OFFSET(Camp_List[Status],MATCH(Data_NFI_t[[#This Row],[Camp Name]],Camp_List[Camp Name],0)-1,0,1,1),"")</f>
        <v>Open</v>
      </c>
      <c r="AT484" s="105"/>
      <c r="AW484" s="78" t="s">
        <v>840</v>
      </c>
    </row>
    <row r="485" spans="1:49" s="78" customFormat="1" ht="19.5" customHeight="1" x14ac:dyDescent="0.25">
      <c r="A485" s="208">
        <f t="shared" si="7"/>
        <v>69.400000000000006</v>
      </c>
      <c r="B485" s="208">
        <f>YEAR(Data_NFI_t[[#This Row],[Distribution Date]])</f>
        <v>2012</v>
      </c>
      <c r="C485" s="744">
        <v>41108</v>
      </c>
      <c r="D485" s="402" t="s">
        <v>270</v>
      </c>
      <c r="E485" s="401"/>
      <c r="F485" s="402" t="s">
        <v>7</v>
      </c>
      <c r="G485" s="670" t="s">
        <v>17</v>
      </c>
      <c r="H485" s="670" t="s">
        <v>60</v>
      </c>
      <c r="I485" s="670"/>
      <c r="J485" s="670"/>
      <c r="K485" s="670"/>
      <c r="L485" s="42"/>
      <c r="M485" s="42"/>
      <c r="N485" s="42"/>
      <c r="O485" s="42">
        <v>248</v>
      </c>
      <c r="P485" s="42"/>
      <c r="Q485" s="42"/>
      <c r="R485" s="42"/>
      <c r="S485" s="42"/>
      <c r="T485" s="419"/>
      <c r="U485" s="42"/>
      <c r="V485" s="42"/>
      <c r="W485" s="42"/>
      <c r="X485" s="42"/>
      <c r="Y485" s="42"/>
      <c r="Z485" s="42"/>
      <c r="AA485" s="42"/>
      <c r="AB485" s="42"/>
      <c r="AC485" s="105">
        <f>IF(NFI_Expiration=1,IF($A485&lt;VLOOKUP(I$5,NFI,5,0),1,0)*Data_NFI_t[[#This Row],[Hygiene Kit]],0)</f>
        <v>0</v>
      </c>
      <c r="AD485" s="105">
        <f>IF(NFI_Expiration=1,IF($A485&lt;VLOOKUP(L$5,NFI,5,0),1,0)*Data_NFI_t[[#This Row],[NFI Core Kit]],0)</f>
        <v>0</v>
      </c>
      <c r="AE485" s="86">
        <f>IF(NFI_Expiration=1,IF($A485&lt;VLOOKUP(M$5,NFI,5,0),1,0)*Data_NFI_t[[#This Row],[Sanitary Kit]],0)</f>
        <v>0</v>
      </c>
      <c r="AF485" s="86">
        <f>IF(NFI_Expiration=1,IF($A485&lt;VLOOKUP(N$5,NFI,5,0),1,0)*Data_NFI_t[[#This Row],[Mosquito net]],0)</f>
        <v>0</v>
      </c>
      <c r="AG485" s="86">
        <f>IF(NFI_Expiration=1,IF($A485&lt;VLOOKUP(O$5,NFI,5,0),1,0)*Data_NFI_t[[#This Row],[Tarpaulin]],0)</f>
        <v>0</v>
      </c>
      <c r="AH485" s="86">
        <f>IF(NFI_Expiration=1,IF($A485&lt;VLOOKUP(P$5,NFI,5,0),1,0)*Data_NFI_t[[#This Row],[Blanket]],0)</f>
        <v>0</v>
      </c>
      <c r="AI485" s="86">
        <f>IF(NFI_Expiration=1,IF($A485&lt;VLOOKUP(Q$5,NFI,5,0),1,0)*Data_NFI_t[[#This Row],[Kitchen Set]],0)</f>
        <v>0</v>
      </c>
      <c r="AJ485" s="86">
        <f>IF(NFI_Expiration=1,IF($A485&lt;VLOOKUP(R$5,NFI,5,0),1,0)*Data_NFI_t[[#This Row],[Complementary Kit]],0)</f>
        <v>0</v>
      </c>
      <c r="AK485" s="86">
        <f>IF(NFI_Expiration=1,IF($A485&lt;VLOOKUP(S$5,NFI,5,0),1,0)*Data_NFI_t[[#This Row],[Plastic Bucket]],0)</f>
        <v>0</v>
      </c>
      <c r="AL485" s="86">
        <f>IF(NFI_Expiration=1,IF($A485&lt;VLOOKUP(T$5,NFI,5,0),1,0)*Data_NFI_t[[#This Row],[Jerry Can]],0)</f>
        <v>0</v>
      </c>
      <c r="AM485" s="105">
        <f>IF(NFI_Expiration=1,IF($A485&lt;VLOOKUP(U$5,NFI,5,0),1,0)*Data_NFI_t[[#This Row],[Plastic Mat]],0)*IF(Data_NFI_t[[#This Row],[Distribution Date]]&gt;"01-06-2015",1,2.5)</f>
        <v>0</v>
      </c>
      <c r="AN485" s="734">
        <f>IF(NFI_Expiration=1,IF($A485&lt;VLOOKUP(V$5,NFI,5,0),1,0)*Data_NFI_t[[#This Row],[Adult Clothes]],0)</f>
        <v>0</v>
      </c>
      <c r="AO485" s="105">
        <f>IF(NFI_Expiration=1,IF($A485&lt;VLOOKUP(W$5,NFI,5,0),1,0)*Data_NFI_t[[#This Row],[Children Clothes]],0)</f>
        <v>0</v>
      </c>
      <c r="AP485" s="105">
        <f>IF(NFI_Expiration=1,IF($A485&lt;VLOOKUP(X$5,NFI,5,0),1,0)*Data_NFI_t[[#This Row],[Sewing Kit]],0)</f>
        <v>0</v>
      </c>
      <c r="AQ485" s="734">
        <f>IF(NFI_Expiration=1,IF($A485&lt;VLOOKUP(X$5,NFI,5,0),1,0)*Data_NFI_t[[#This Row],[Solar Lantern]],0)</f>
        <v>0</v>
      </c>
      <c r="AR485" s="105" t="str">
        <f ca="1">IFERROR(OFFSET(Camp_List[P_Code],MATCH(Data_NFI_t[[#This Row],[Camp Name]],Camp_List[Camp Name],0)-1,0,1,1),"")</f>
        <v>MMR012CMP040</v>
      </c>
      <c r="AS485" s="421" t="str">
        <f ca="1">IFERROR(OFFSET(Camp_List[Status],MATCH(Data_NFI_t[[#This Row],[Camp Name]],Camp_List[Camp Name],0)-1,0,1,1),"")</f>
        <v>Close</v>
      </c>
      <c r="AT485" s="105"/>
      <c r="AW485" s="78" t="s">
        <v>840</v>
      </c>
    </row>
    <row r="486" spans="1:49" s="78" customFormat="1" ht="19.5" customHeight="1" x14ac:dyDescent="0.25">
      <c r="A486" s="208">
        <f t="shared" si="7"/>
        <v>69.400000000000006</v>
      </c>
      <c r="B486" s="208">
        <f>YEAR(Data_NFI_t[[#This Row],[Distribution Date]])</f>
        <v>2012</v>
      </c>
      <c r="C486" s="744">
        <v>41108</v>
      </c>
      <c r="D486" s="402" t="s">
        <v>270</v>
      </c>
      <c r="E486" s="401"/>
      <c r="F486" s="402" t="s">
        <v>7</v>
      </c>
      <c r="G486" s="670" t="s">
        <v>17</v>
      </c>
      <c r="H486" s="670" t="s">
        <v>62</v>
      </c>
      <c r="I486" s="670"/>
      <c r="J486" s="670"/>
      <c r="K486" s="670"/>
      <c r="L486" s="42"/>
      <c r="M486" s="42"/>
      <c r="N486" s="42"/>
      <c r="O486" s="42">
        <v>121</v>
      </c>
      <c r="P486" s="42"/>
      <c r="Q486" s="42"/>
      <c r="R486" s="42"/>
      <c r="S486" s="42"/>
      <c r="T486" s="419"/>
      <c r="U486" s="42"/>
      <c r="V486" s="42"/>
      <c r="W486" s="42"/>
      <c r="X486" s="42"/>
      <c r="Y486" s="42"/>
      <c r="Z486" s="42"/>
      <c r="AA486" s="42"/>
      <c r="AB486" s="42"/>
      <c r="AC486" s="105">
        <f>IF(NFI_Expiration=1,IF($A486&lt;VLOOKUP(I$5,NFI,5,0),1,0)*Data_NFI_t[[#This Row],[Hygiene Kit]],0)</f>
        <v>0</v>
      </c>
      <c r="AD486" s="105">
        <f>IF(NFI_Expiration=1,IF($A486&lt;VLOOKUP(L$5,NFI,5,0),1,0)*Data_NFI_t[[#This Row],[NFI Core Kit]],0)</f>
        <v>0</v>
      </c>
      <c r="AE486" s="86">
        <f>IF(NFI_Expiration=1,IF($A486&lt;VLOOKUP(M$5,NFI,5,0),1,0)*Data_NFI_t[[#This Row],[Sanitary Kit]],0)</f>
        <v>0</v>
      </c>
      <c r="AF486" s="86">
        <f>IF(NFI_Expiration=1,IF($A486&lt;VLOOKUP(N$5,NFI,5,0),1,0)*Data_NFI_t[[#This Row],[Mosquito net]],0)</f>
        <v>0</v>
      </c>
      <c r="AG486" s="86">
        <f>IF(NFI_Expiration=1,IF($A486&lt;VLOOKUP(O$5,NFI,5,0),1,0)*Data_NFI_t[[#This Row],[Tarpaulin]],0)</f>
        <v>0</v>
      </c>
      <c r="AH486" s="86">
        <f>IF(NFI_Expiration=1,IF($A486&lt;VLOOKUP(P$5,NFI,5,0),1,0)*Data_NFI_t[[#This Row],[Blanket]],0)</f>
        <v>0</v>
      </c>
      <c r="AI486" s="86">
        <f>IF(NFI_Expiration=1,IF($A486&lt;VLOOKUP(Q$5,NFI,5,0),1,0)*Data_NFI_t[[#This Row],[Kitchen Set]],0)</f>
        <v>0</v>
      </c>
      <c r="AJ486" s="86">
        <f>IF(NFI_Expiration=1,IF($A486&lt;VLOOKUP(R$5,NFI,5,0),1,0)*Data_NFI_t[[#This Row],[Complementary Kit]],0)</f>
        <v>0</v>
      </c>
      <c r="AK486" s="86">
        <f>IF(NFI_Expiration=1,IF($A486&lt;VLOOKUP(S$5,NFI,5,0),1,0)*Data_NFI_t[[#This Row],[Plastic Bucket]],0)</f>
        <v>0</v>
      </c>
      <c r="AL486" s="86">
        <f>IF(NFI_Expiration=1,IF($A486&lt;VLOOKUP(T$5,NFI,5,0),1,0)*Data_NFI_t[[#This Row],[Jerry Can]],0)</f>
        <v>0</v>
      </c>
      <c r="AM486" s="105">
        <f>IF(NFI_Expiration=1,IF($A486&lt;VLOOKUP(U$5,NFI,5,0),1,0)*Data_NFI_t[[#This Row],[Plastic Mat]],0)*IF(Data_NFI_t[[#This Row],[Distribution Date]]&gt;"01-06-2015",1,2.5)</f>
        <v>0</v>
      </c>
      <c r="AN486" s="734">
        <f>IF(NFI_Expiration=1,IF($A486&lt;VLOOKUP(V$5,NFI,5,0),1,0)*Data_NFI_t[[#This Row],[Adult Clothes]],0)</f>
        <v>0</v>
      </c>
      <c r="AO486" s="105">
        <f>IF(NFI_Expiration=1,IF($A486&lt;VLOOKUP(W$5,NFI,5,0),1,0)*Data_NFI_t[[#This Row],[Children Clothes]],0)</f>
        <v>0</v>
      </c>
      <c r="AP486" s="105">
        <f>IF(NFI_Expiration=1,IF($A486&lt;VLOOKUP(X$5,NFI,5,0),1,0)*Data_NFI_t[[#This Row],[Sewing Kit]],0)</f>
        <v>0</v>
      </c>
      <c r="AQ486" s="734">
        <f>IF(NFI_Expiration=1,IF($A486&lt;VLOOKUP(X$5,NFI,5,0),1,0)*Data_NFI_t[[#This Row],[Solar Lantern]],0)</f>
        <v>0</v>
      </c>
      <c r="AR486" s="105" t="str">
        <f ca="1">IFERROR(OFFSET(Camp_List[P_Code],MATCH(Data_NFI_t[[#This Row],[Camp Name]],Camp_List[Camp Name],0)-1,0,1,1),"")</f>
        <v>MMR012CMP042</v>
      </c>
      <c r="AS486" s="421" t="str">
        <f ca="1">IFERROR(OFFSET(Camp_List[Status],MATCH(Data_NFI_t[[#This Row],[Camp Name]],Camp_List[Camp Name],0)-1,0,1,1),"")</f>
        <v>Open</v>
      </c>
      <c r="AT486" s="105"/>
      <c r="AW486" s="78" t="s">
        <v>840</v>
      </c>
    </row>
    <row r="487" spans="1:49" s="78" customFormat="1" ht="19.5" customHeight="1" x14ac:dyDescent="0.25">
      <c r="A487" s="208">
        <f t="shared" si="7"/>
        <v>69.433333333333337</v>
      </c>
      <c r="B487" s="208">
        <f>YEAR(Data_NFI_t[[#This Row],[Distribution Date]])</f>
        <v>2012</v>
      </c>
      <c r="C487" s="744">
        <v>41107</v>
      </c>
      <c r="D487" s="402" t="s">
        <v>270</v>
      </c>
      <c r="E487" s="401"/>
      <c r="F487" s="402" t="s">
        <v>7</v>
      </c>
      <c r="G487" s="670" t="s">
        <v>17</v>
      </c>
      <c r="H487" s="670" t="s">
        <v>60</v>
      </c>
      <c r="I487" s="670"/>
      <c r="J487" s="670"/>
      <c r="K487" s="670"/>
      <c r="L487" s="42"/>
      <c r="M487" s="42"/>
      <c r="N487" s="42"/>
      <c r="O487" s="42">
        <v>630</v>
      </c>
      <c r="P487" s="42"/>
      <c r="Q487" s="42"/>
      <c r="R487" s="42"/>
      <c r="S487" s="42"/>
      <c r="T487" s="419"/>
      <c r="U487" s="42"/>
      <c r="V487" s="42"/>
      <c r="W487" s="42"/>
      <c r="X487" s="42"/>
      <c r="Y487" s="42"/>
      <c r="Z487" s="42"/>
      <c r="AA487" s="42"/>
      <c r="AB487" s="42"/>
      <c r="AC487" s="105">
        <f>IF(NFI_Expiration=1,IF($A487&lt;VLOOKUP(I$5,NFI,5,0),1,0)*Data_NFI_t[[#This Row],[Hygiene Kit]],0)</f>
        <v>0</v>
      </c>
      <c r="AD487" s="105">
        <f>IF(NFI_Expiration=1,IF($A487&lt;VLOOKUP(L$5,NFI,5,0),1,0)*Data_NFI_t[[#This Row],[NFI Core Kit]],0)</f>
        <v>0</v>
      </c>
      <c r="AE487" s="86">
        <f>IF(NFI_Expiration=1,IF($A487&lt;VLOOKUP(M$5,NFI,5,0),1,0)*Data_NFI_t[[#This Row],[Sanitary Kit]],0)</f>
        <v>0</v>
      </c>
      <c r="AF487" s="86">
        <f>IF(NFI_Expiration=1,IF($A487&lt;VLOOKUP(N$5,NFI,5,0),1,0)*Data_NFI_t[[#This Row],[Mosquito net]],0)</f>
        <v>0</v>
      </c>
      <c r="AG487" s="86">
        <f>IF(NFI_Expiration=1,IF($A487&lt;VLOOKUP(O$5,NFI,5,0),1,0)*Data_NFI_t[[#This Row],[Tarpaulin]],0)</f>
        <v>0</v>
      </c>
      <c r="AH487" s="86">
        <f>IF(NFI_Expiration=1,IF($A487&lt;VLOOKUP(P$5,NFI,5,0),1,0)*Data_NFI_t[[#This Row],[Blanket]],0)</f>
        <v>0</v>
      </c>
      <c r="AI487" s="86">
        <f>IF(NFI_Expiration=1,IF($A487&lt;VLOOKUP(Q$5,NFI,5,0),1,0)*Data_NFI_t[[#This Row],[Kitchen Set]],0)</f>
        <v>0</v>
      </c>
      <c r="AJ487" s="86">
        <f>IF(NFI_Expiration=1,IF($A487&lt;VLOOKUP(R$5,NFI,5,0),1,0)*Data_NFI_t[[#This Row],[Complementary Kit]],0)</f>
        <v>0</v>
      </c>
      <c r="AK487" s="86">
        <f>IF(NFI_Expiration=1,IF($A487&lt;VLOOKUP(S$5,NFI,5,0),1,0)*Data_NFI_t[[#This Row],[Plastic Bucket]],0)</f>
        <v>0</v>
      </c>
      <c r="AL487" s="86">
        <f>IF(NFI_Expiration=1,IF($A487&lt;VLOOKUP(T$5,NFI,5,0),1,0)*Data_NFI_t[[#This Row],[Jerry Can]],0)</f>
        <v>0</v>
      </c>
      <c r="AM487" s="105">
        <f>IF(NFI_Expiration=1,IF($A487&lt;VLOOKUP(U$5,NFI,5,0),1,0)*Data_NFI_t[[#This Row],[Plastic Mat]],0)*IF(Data_NFI_t[[#This Row],[Distribution Date]]&gt;"01-06-2015",1,2.5)</f>
        <v>0</v>
      </c>
      <c r="AN487" s="734">
        <f>IF(NFI_Expiration=1,IF($A487&lt;VLOOKUP(V$5,NFI,5,0),1,0)*Data_NFI_t[[#This Row],[Adult Clothes]],0)</f>
        <v>0</v>
      </c>
      <c r="AO487" s="105">
        <f>IF(NFI_Expiration=1,IF($A487&lt;VLOOKUP(W$5,NFI,5,0),1,0)*Data_NFI_t[[#This Row],[Children Clothes]],0)</f>
        <v>0</v>
      </c>
      <c r="AP487" s="105">
        <f>IF(NFI_Expiration=1,IF($A487&lt;VLOOKUP(X$5,NFI,5,0),1,0)*Data_NFI_t[[#This Row],[Sewing Kit]],0)</f>
        <v>0</v>
      </c>
      <c r="AQ487" s="734">
        <f>IF(NFI_Expiration=1,IF($A487&lt;VLOOKUP(X$5,NFI,5,0),1,0)*Data_NFI_t[[#This Row],[Solar Lantern]],0)</f>
        <v>0</v>
      </c>
      <c r="AR487" s="105" t="str">
        <f ca="1">IFERROR(OFFSET(Camp_List[P_Code],MATCH(Data_NFI_t[[#This Row],[Camp Name]],Camp_List[Camp Name],0)-1,0,1,1),"")</f>
        <v>MMR012CMP040</v>
      </c>
      <c r="AS487" s="421" t="str">
        <f ca="1">IFERROR(OFFSET(Camp_List[Status],MATCH(Data_NFI_t[[#This Row],[Camp Name]],Camp_List[Camp Name],0)-1,0,1,1),"")</f>
        <v>Close</v>
      </c>
      <c r="AT487" s="105"/>
    </row>
    <row r="488" spans="1:49" s="78" customFormat="1" ht="19.5" customHeight="1" x14ac:dyDescent="0.25">
      <c r="A488" s="208">
        <f t="shared" si="7"/>
        <v>69.466666666666669</v>
      </c>
      <c r="B488" s="208">
        <f>YEAR(Data_NFI_t[[#This Row],[Distribution Date]])</f>
        <v>2012</v>
      </c>
      <c r="C488" s="744">
        <v>41106</v>
      </c>
      <c r="D488" s="402" t="s">
        <v>270</v>
      </c>
      <c r="E488" s="401"/>
      <c r="F488" s="402" t="s">
        <v>7</v>
      </c>
      <c r="G488" s="670" t="s">
        <v>17</v>
      </c>
      <c r="H488" s="670" t="s">
        <v>60</v>
      </c>
      <c r="I488" s="670"/>
      <c r="J488" s="670"/>
      <c r="K488" s="670"/>
      <c r="L488" s="42"/>
      <c r="M488" s="42"/>
      <c r="N488" s="42"/>
      <c r="O488" s="42">
        <v>120</v>
      </c>
      <c r="P488" s="42"/>
      <c r="Q488" s="42"/>
      <c r="R488" s="42"/>
      <c r="S488" s="42"/>
      <c r="T488" s="419"/>
      <c r="U488" s="42"/>
      <c r="V488" s="42"/>
      <c r="W488" s="42"/>
      <c r="X488" s="42"/>
      <c r="Y488" s="42"/>
      <c r="Z488" s="42"/>
      <c r="AA488" s="42"/>
      <c r="AB488" s="42"/>
      <c r="AC488" s="105">
        <f>IF(NFI_Expiration=1,IF($A488&lt;VLOOKUP(I$5,NFI,5,0),1,0)*Data_NFI_t[[#This Row],[Hygiene Kit]],0)</f>
        <v>0</v>
      </c>
      <c r="AD488" s="105">
        <f>IF(NFI_Expiration=1,IF($A488&lt;VLOOKUP(L$5,NFI,5,0),1,0)*Data_NFI_t[[#This Row],[NFI Core Kit]],0)</f>
        <v>0</v>
      </c>
      <c r="AE488" s="86">
        <f>IF(NFI_Expiration=1,IF($A488&lt;VLOOKUP(M$5,NFI,5,0),1,0)*Data_NFI_t[[#This Row],[Sanitary Kit]],0)</f>
        <v>0</v>
      </c>
      <c r="AF488" s="86">
        <f>IF(NFI_Expiration=1,IF($A488&lt;VLOOKUP(N$5,NFI,5,0),1,0)*Data_NFI_t[[#This Row],[Mosquito net]],0)</f>
        <v>0</v>
      </c>
      <c r="AG488" s="86">
        <f>IF(NFI_Expiration=1,IF($A488&lt;VLOOKUP(O$5,NFI,5,0),1,0)*Data_NFI_t[[#This Row],[Tarpaulin]],0)</f>
        <v>0</v>
      </c>
      <c r="AH488" s="86">
        <f>IF(NFI_Expiration=1,IF($A488&lt;VLOOKUP(P$5,NFI,5,0),1,0)*Data_NFI_t[[#This Row],[Blanket]],0)</f>
        <v>0</v>
      </c>
      <c r="AI488" s="86">
        <f>IF(NFI_Expiration=1,IF($A488&lt;VLOOKUP(Q$5,NFI,5,0),1,0)*Data_NFI_t[[#This Row],[Kitchen Set]],0)</f>
        <v>0</v>
      </c>
      <c r="AJ488" s="86">
        <f>IF(NFI_Expiration=1,IF($A488&lt;VLOOKUP(R$5,NFI,5,0),1,0)*Data_NFI_t[[#This Row],[Complementary Kit]],0)</f>
        <v>0</v>
      </c>
      <c r="AK488" s="86">
        <f>IF(NFI_Expiration=1,IF($A488&lt;VLOOKUP(S$5,NFI,5,0),1,0)*Data_NFI_t[[#This Row],[Plastic Bucket]],0)</f>
        <v>0</v>
      </c>
      <c r="AL488" s="86">
        <f>IF(NFI_Expiration=1,IF($A488&lt;VLOOKUP(T$5,NFI,5,0),1,0)*Data_NFI_t[[#This Row],[Jerry Can]],0)</f>
        <v>0</v>
      </c>
      <c r="AM488" s="105">
        <f>IF(NFI_Expiration=1,IF($A488&lt;VLOOKUP(U$5,NFI,5,0),1,0)*Data_NFI_t[[#This Row],[Plastic Mat]],0)*IF(Data_NFI_t[[#This Row],[Distribution Date]]&gt;"01-06-2015",1,2.5)</f>
        <v>0</v>
      </c>
      <c r="AN488" s="734">
        <f>IF(NFI_Expiration=1,IF($A488&lt;VLOOKUP(V$5,NFI,5,0),1,0)*Data_NFI_t[[#This Row],[Adult Clothes]],0)</f>
        <v>0</v>
      </c>
      <c r="AO488" s="105">
        <f>IF(NFI_Expiration=1,IF($A488&lt;VLOOKUP(W$5,NFI,5,0),1,0)*Data_NFI_t[[#This Row],[Children Clothes]],0)</f>
        <v>0</v>
      </c>
      <c r="AP488" s="105">
        <f>IF(NFI_Expiration=1,IF($A488&lt;VLOOKUP(X$5,NFI,5,0),1,0)*Data_NFI_t[[#This Row],[Sewing Kit]],0)</f>
        <v>0</v>
      </c>
      <c r="AQ488" s="734">
        <f>IF(NFI_Expiration=1,IF($A488&lt;VLOOKUP(X$5,NFI,5,0),1,0)*Data_NFI_t[[#This Row],[Solar Lantern]],0)</f>
        <v>0</v>
      </c>
      <c r="AR488" s="105" t="str">
        <f ca="1">IFERROR(OFFSET(Camp_List[P_Code],MATCH(Data_NFI_t[[#This Row],[Camp Name]],Camp_List[Camp Name],0)-1,0,1,1),"")</f>
        <v>MMR012CMP040</v>
      </c>
      <c r="AS488" s="421" t="str">
        <f ca="1">IFERROR(OFFSET(Camp_List[Status],MATCH(Data_NFI_t[[#This Row],[Camp Name]],Camp_List[Camp Name],0)-1,0,1,1),"")</f>
        <v>Close</v>
      </c>
      <c r="AT488" s="105"/>
    </row>
    <row r="489" spans="1:49" s="78" customFormat="1" ht="19.5" customHeight="1" x14ac:dyDescent="0.25">
      <c r="A489" s="208">
        <f t="shared" si="7"/>
        <v>69.5</v>
      </c>
      <c r="B489" s="208">
        <f>YEAR(Data_NFI_t[[#This Row],[Distribution Date]])</f>
        <v>2012</v>
      </c>
      <c r="C489" s="744">
        <v>41105</v>
      </c>
      <c r="D489" s="402" t="s">
        <v>270</v>
      </c>
      <c r="E489" s="401"/>
      <c r="F489" s="402" t="s">
        <v>7</v>
      </c>
      <c r="G489" s="670" t="s">
        <v>17</v>
      </c>
      <c r="H489" s="670" t="s">
        <v>60</v>
      </c>
      <c r="I489" s="670"/>
      <c r="J489" s="670"/>
      <c r="K489" s="670"/>
      <c r="L489" s="42"/>
      <c r="M489" s="42"/>
      <c r="N489" s="42"/>
      <c r="O489" s="42">
        <v>150</v>
      </c>
      <c r="P489" s="42"/>
      <c r="Q489" s="42"/>
      <c r="R489" s="42"/>
      <c r="S489" s="42"/>
      <c r="T489" s="419"/>
      <c r="U489" s="42"/>
      <c r="V489" s="42"/>
      <c r="W489" s="42"/>
      <c r="X489" s="42"/>
      <c r="Y489" s="42"/>
      <c r="Z489" s="42"/>
      <c r="AA489" s="42"/>
      <c r="AB489" s="42"/>
      <c r="AC489" s="105">
        <f>IF(NFI_Expiration=1,IF($A489&lt;VLOOKUP(I$5,NFI,5,0),1,0)*Data_NFI_t[[#This Row],[Hygiene Kit]],0)</f>
        <v>0</v>
      </c>
      <c r="AD489" s="105">
        <f>IF(NFI_Expiration=1,IF($A489&lt;VLOOKUP(L$5,NFI,5,0),1,0)*Data_NFI_t[[#This Row],[NFI Core Kit]],0)</f>
        <v>0</v>
      </c>
      <c r="AE489" s="86">
        <f>IF(NFI_Expiration=1,IF($A489&lt;VLOOKUP(M$5,NFI,5,0),1,0)*Data_NFI_t[[#This Row],[Sanitary Kit]],0)</f>
        <v>0</v>
      </c>
      <c r="AF489" s="86">
        <f>IF(NFI_Expiration=1,IF($A489&lt;VLOOKUP(N$5,NFI,5,0),1,0)*Data_NFI_t[[#This Row],[Mosquito net]],0)</f>
        <v>0</v>
      </c>
      <c r="AG489" s="86">
        <f>IF(NFI_Expiration=1,IF($A489&lt;VLOOKUP(O$5,NFI,5,0),1,0)*Data_NFI_t[[#This Row],[Tarpaulin]],0)</f>
        <v>0</v>
      </c>
      <c r="AH489" s="86">
        <f>IF(NFI_Expiration=1,IF($A489&lt;VLOOKUP(P$5,NFI,5,0),1,0)*Data_NFI_t[[#This Row],[Blanket]],0)</f>
        <v>0</v>
      </c>
      <c r="AI489" s="86">
        <f>IF(NFI_Expiration=1,IF($A489&lt;VLOOKUP(Q$5,NFI,5,0),1,0)*Data_NFI_t[[#This Row],[Kitchen Set]],0)</f>
        <v>0</v>
      </c>
      <c r="AJ489" s="86">
        <f>IF(NFI_Expiration=1,IF($A489&lt;VLOOKUP(R$5,NFI,5,0),1,0)*Data_NFI_t[[#This Row],[Complementary Kit]],0)</f>
        <v>0</v>
      </c>
      <c r="AK489" s="86">
        <f>IF(NFI_Expiration=1,IF($A489&lt;VLOOKUP(S$5,NFI,5,0),1,0)*Data_NFI_t[[#This Row],[Plastic Bucket]],0)</f>
        <v>0</v>
      </c>
      <c r="AL489" s="86">
        <f>IF(NFI_Expiration=1,IF($A489&lt;VLOOKUP(T$5,NFI,5,0),1,0)*Data_NFI_t[[#This Row],[Jerry Can]],0)</f>
        <v>0</v>
      </c>
      <c r="AM489" s="105">
        <f>IF(NFI_Expiration=1,IF($A489&lt;VLOOKUP(U$5,NFI,5,0),1,0)*Data_NFI_t[[#This Row],[Plastic Mat]],0)*IF(Data_NFI_t[[#This Row],[Distribution Date]]&gt;"01-06-2015",1,2.5)</f>
        <v>0</v>
      </c>
      <c r="AN489" s="734">
        <f>IF(NFI_Expiration=1,IF($A489&lt;VLOOKUP(V$5,NFI,5,0),1,0)*Data_NFI_t[[#This Row],[Adult Clothes]],0)</f>
        <v>0</v>
      </c>
      <c r="AO489" s="105">
        <f>IF(NFI_Expiration=1,IF($A489&lt;VLOOKUP(W$5,NFI,5,0),1,0)*Data_NFI_t[[#This Row],[Children Clothes]],0)</f>
        <v>0</v>
      </c>
      <c r="AP489" s="105">
        <f>IF(NFI_Expiration=1,IF($A489&lt;VLOOKUP(X$5,NFI,5,0),1,0)*Data_NFI_t[[#This Row],[Sewing Kit]],0)</f>
        <v>0</v>
      </c>
      <c r="AQ489" s="734">
        <f>IF(NFI_Expiration=1,IF($A489&lt;VLOOKUP(X$5,NFI,5,0),1,0)*Data_NFI_t[[#This Row],[Solar Lantern]],0)</f>
        <v>0</v>
      </c>
      <c r="AR489" s="105" t="str">
        <f ca="1">IFERROR(OFFSET(Camp_List[P_Code],MATCH(Data_NFI_t[[#This Row],[Camp Name]],Camp_List[Camp Name],0)-1,0,1,1),"")</f>
        <v>MMR012CMP040</v>
      </c>
      <c r="AS489" s="421" t="str">
        <f ca="1">IFERROR(OFFSET(Camp_List[Status],MATCH(Data_NFI_t[[#This Row],[Camp Name]],Camp_List[Camp Name],0)-1,0,1,1),"")</f>
        <v>Close</v>
      </c>
      <c r="AT489" s="105"/>
    </row>
    <row r="490" spans="1:49" s="78" customFormat="1" ht="19.5" customHeight="1" x14ac:dyDescent="0.25">
      <c r="A490" s="208">
        <f t="shared" si="7"/>
        <v>69.5</v>
      </c>
      <c r="B490" s="208">
        <f>YEAR(Data_NFI_t[[#This Row],[Distribution Date]])</f>
        <v>2012</v>
      </c>
      <c r="C490" s="744">
        <v>41105</v>
      </c>
      <c r="D490" s="402" t="s">
        <v>270</v>
      </c>
      <c r="E490" s="401"/>
      <c r="F490" s="402" t="s">
        <v>7</v>
      </c>
      <c r="G490" s="670" t="s">
        <v>17</v>
      </c>
      <c r="H490" s="670" t="s">
        <v>68</v>
      </c>
      <c r="I490" s="670"/>
      <c r="J490" s="670"/>
      <c r="K490" s="670"/>
      <c r="L490" s="42"/>
      <c r="M490" s="42"/>
      <c r="N490" s="42"/>
      <c r="O490" s="42">
        <v>200</v>
      </c>
      <c r="P490" s="42"/>
      <c r="Q490" s="42"/>
      <c r="R490" s="42"/>
      <c r="S490" s="42"/>
      <c r="T490" s="419"/>
      <c r="U490" s="42"/>
      <c r="V490" s="42"/>
      <c r="W490" s="42"/>
      <c r="X490" s="42"/>
      <c r="Y490" s="42"/>
      <c r="Z490" s="42"/>
      <c r="AA490" s="42"/>
      <c r="AB490" s="42"/>
      <c r="AC490" s="105">
        <f>IF(NFI_Expiration=1,IF($A490&lt;VLOOKUP(I$5,NFI,5,0),1,0)*Data_NFI_t[[#This Row],[Hygiene Kit]],0)</f>
        <v>0</v>
      </c>
      <c r="AD490" s="105">
        <f>IF(NFI_Expiration=1,IF($A490&lt;VLOOKUP(L$5,NFI,5,0),1,0)*Data_NFI_t[[#This Row],[NFI Core Kit]],0)</f>
        <v>0</v>
      </c>
      <c r="AE490" s="86">
        <f>IF(NFI_Expiration=1,IF($A490&lt;VLOOKUP(M$5,NFI,5,0),1,0)*Data_NFI_t[[#This Row],[Sanitary Kit]],0)</f>
        <v>0</v>
      </c>
      <c r="AF490" s="86">
        <f>IF(NFI_Expiration=1,IF($A490&lt;VLOOKUP(N$5,NFI,5,0),1,0)*Data_NFI_t[[#This Row],[Mosquito net]],0)</f>
        <v>0</v>
      </c>
      <c r="AG490" s="86">
        <f>IF(NFI_Expiration=1,IF($A490&lt;VLOOKUP(O$5,NFI,5,0),1,0)*Data_NFI_t[[#This Row],[Tarpaulin]],0)</f>
        <v>0</v>
      </c>
      <c r="AH490" s="86">
        <f>IF(NFI_Expiration=1,IF($A490&lt;VLOOKUP(P$5,NFI,5,0),1,0)*Data_NFI_t[[#This Row],[Blanket]],0)</f>
        <v>0</v>
      </c>
      <c r="AI490" s="86">
        <f>IF(NFI_Expiration=1,IF($A490&lt;VLOOKUP(Q$5,NFI,5,0),1,0)*Data_NFI_t[[#This Row],[Kitchen Set]],0)</f>
        <v>0</v>
      </c>
      <c r="AJ490" s="86">
        <f>IF(NFI_Expiration=1,IF($A490&lt;VLOOKUP(R$5,NFI,5,0),1,0)*Data_NFI_t[[#This Row],[Complementary Kit]],0)</f>
        <v>0</v>
      </c>
      <c r="AK490" s="86">
        <f>IF(NFI_Expiration=1,IF($A490&lt;VLOOKUP(S$5,NFI,5,0),1,0)*Data_NFI_t[[#This Row],[Plastic Bucket]],0)</f>
        <v>0</v>
      </c>
      <c r="AL490" s="86">
        <f>IF(NFI_Expiration=1,IF($A490&lt;VLOOKUP(T$5,NFI,5,0),1,0)*Data_NFI_t[[#This Row],[Jerry Can]],0)</f>
        <v>0</v>
      </c>
      <c r="AM490" s="105">
        <f>IF(NFI_Expiration=1,IF($A490&lt;VLOOKUP(U$5,NFI,5,0),1,0)*Data_NFI_t[[#This Row],[Plastic Mat]],0)*IF(Data_NFI_t[[#This Row],[Distribution Date]]&gt;"01-06-2015",1,2.5)</f>
        <v>0</v>
      </c>
      <c r="AN490" s="734">
        <f>IF(NFI_Expiration=1,IF($A490&lt;VLOOKUP(V$5,NFI,5,0),1,0)*Data_NFI_t[[#This Row],[Adult Clothes]],0)</f>
        <v>0</v>
      </c>
      <c r="AO490" s="105">
        <f>IF(NFI_Expiration=1,IF($A490&lt;VLOOKUP(W$5,NFI,5,0),1,0)*Data_NFI_t[[#This Row],[Children Clothes]],0)</f>
        <v>0</v>
      </c>
      <c r="AP490" s="105">
        <f>IF(NFI_Expiration=1,IF($A490&lt;VLOOKUP(X$5,NFI,5,0),1,0)*Data_NFI_t[[#This Row],[Sewing Kit]],0)</f>
        <v>0</v>
      </c>
      <c r="AQ490" s="734">
        <f>IF(NFI_Expiration=1,IF($A490&lt;VLOOKUP(X$5,NFI,5,0),1,0)*Data_NFI_t[[#This Row],[Solar Lantern]],0)</f>
        <v>0</v>
      </c>
      <c r="AR490" s="105" t="str">
        <f ca="1">IFERROR(OFFSET(Camp_List[P_Code],MATCH(Data_NFI_t[[#This Row],[Camp Name]],Camp_List[Camp Name],0)-1,0,1,1),"")</f>
        <v>MMR012CMP048</v>
      </c>
      <c r="AS490" s="421" t="str">
        <f ca="1">IFERROR(OFFSET(Camp_List[Status],MATCH(Data_NFI_t[[#This Row],[Camp Name]],Camp_List[Camp Name],0)-1,0,1,1),"")</f>
        <v>Open</v>
      </c>
      <c r="AT490" s="105"/>
    </row>
    <row r="491" spans="1:49" s="78" customFormat="1" ht="19.5" customHeight="1" x14ac:dyDescent="0.25">
      <c r="A491" s="208">
        <f t="shared" si="7"/>
        <v>69.599999999999994</v>
      </c>
      <c r="B491" s="208">
        <f>YEAR(Data_NFI_t[[#This Row],[Distribution Date]])</f>
        <v>2012</v>
      </c>
      <c r="C491" s="744">
        <v>41102</v>
      </c>
      <c r="D491" s="402" t="s">
        <v>270</v>
      </c>
      <c r="E491" s="401"/>
      <c r="F491" s="402" t="s">
        <v>7</v>
      </c>
      <c r="G491" s="670" t="s">
        <v>17</v>
      </c>
      <c r="H491" s="670" t="s">
        <v>260</v>
      </c>
      <c r="I491" s="670"/>
      <c r="J491" s="670"/>
      <c r="K491" s="670"/>
      <c r="L491" s="42"/>
      <c r="M491" s="42"/>
      <c r="N491" s="42"/>
      <c r="O491" s="42">
        <v>4</v>
      </c>
      <c r="P491" s="42"/>
      <c r="Q491" s="42"/>
      <c r="R491" s="42"/>
      <c r="S491" s="42"/>
      <c r="T491" s="419"/>
      <c r="U491" s="42"/>
      <c r="V491" s="42"/>
      <c r="W491" s="42"/>
      <c r="X491" s="42"/>
      <c r="Y491" s="42"/>
      <c r="Z491" s="42"/>
      <c r="AA491" s="42"/>
      <c r="AB491" s="42"/>
      <c r="AC491" s="105">
        <f>IF(NFI_Expiration=1,IF($A491&lt;VLOOKUP(I$5,NFI,5,0),1,0)*Data_NFI_t[[#This Row],[Hygiene Kit]],0)</f>
        <v>0</v>
      </c>
      <c r="AD491" s="105">
        <f>IF(NFI_Expiration=1,IF($A491&lt;VLOOKUP(L$5,NFI,5,0),1,0)*Data_NFI_t[[#This Row],[NFI Core Kit]],0)</f>
        <v>0</v>
      </c>
      <c r="AE491" s="86">
        <f>IF(NFI_Expiration=1,IF($A491&lt;VLOOKUP(M$5,NFI,5,0),1,0)*Data_NFI_t[[#This Row],[Sanitary Kit]],0)</f>
        <v>0</v>
      </c>
      <c r="AF491" s="86">
        <f>IF(NFI_Expiration=1,IF($A491&lt;VLOOKUP(N$5,NFI,5,0),1,0)*Data_NFI_t[[#This Row],[Mosquito net]],0)</f>
        <v>0</v>
      </c>
      <c r="AG491" s="86">
        <f>IF(NFI_Expiration=1,IF($A491&lt;VLOOKUP(O$5,NFI,5,0),1,0)*Data_NFI_t[[#This Row],[Tarpaulin]],0)</f>
        <v>0</v>
      </c>
      <c r="AH491" s="86">
        <f>IF(NFI_Expiration=1,IF($A491&lt;VLOOKUP(P$5,NFI,5,0),1,0)*Data_NFI_t[[#This Row],[Blanket]],0)</f>
        <v>0</v>
      </c>
      <c r="AI491" s="86">
        <f>IF(NFI_Expiration=1,IF($A491&lt;VLOOKUP(Q$5,NFI,5,0),1,0)*Data_NFI_t[[#This Row],[Kitchen Set]],0)</f>
        <v>0</v>
      </c>
      <c r="AJ491" s="86">
        <f>IF(NFI_Expiration=1,IF($A491&lt;VLOOKUP(R$5,NFI,5,0),1,0)*Data_NFI_t[[#This Row],[Complementary Kit]],0)</f>
        <v>0</v>
      </c>
      <c r="AK491" s="86">
        <f>IF(NFI_Expiration=1,IF($A491&lt;VLOOKUP(S$5,NFI,5,0),1,0)*Data_NFI_t[[#This Row],[Plastic Bucket]],0)</f>
        <v>0</v>
      </c>
      <c r="AL491" s="86">
        <f>IF(NFI_Expiration=1,IF($A491&lt;VLOOKUP(T$5,NFI,5,0),1,0)*Data_NFI_t[[#This Row],[Jerry Can]],0)</f>
        <v>0</v>
      </c>
      <c r="AM491" s="105">
        <f>IF(NFI_Expiration=1,IF($A491&lt;VLOOKUP(U$5,NFI,5,0),1,0)*Data_NFI_t[[#This Row],[Plastic Mat]],0)*IF(Data_NFI_t[[#This Row],[Distribution Date]]&gt;"01-06-2015",1,2.5)</f>
        <v>0</v>
      </c>
      <c r="AN491" s="734">
        <f>IF(NFI_Expiration=1,IF($A491&lt;VLOOKUP(V$5,NFI,5,0),1,0)*Data_NFI_t[[#This Row],[Adult Clothes]],0)</f>
        <v>0</v>
      </c>
      <c r="AO491" s="105">
        <f>IF(NFI_Expiration=1,IF($A491&lt;VLOOKUP(W$5,NFI,5,0),1,0)*Data_NFI_t[[#This Row],[Children Clothes]],0)</f>
        <v>0</v>
      </c>
      <c r="AP491" s="105">
        <f>IF(NFI_Expiration=1,IF($A491&lt;VLOOKUP(X$5,NFI,5,0),1,0)*Data_NFI_t[[#This Row],[Sewing Kit]],0)</f>
        <v>0</v>
      </c>
      <c r="AQ491" s="734">
        <f>IF(NFI_Expiration=1,IF($A491&lt;VLOOKUP(X$5,NFI,5,0),1,0)*Data_NFI_t[[#This Row],[Solar Lantern]],0)</f>
        <v>0</v>
      </c>
      <c r="AR491" s="105" t="str">
        <f ca="1">IFERROR(OFFSET(Camp_List[P_Code],MATCH(Data_NFI_t[[#This Row],[Camp Name]],Camp_List[Camp Name],0)-1,0,1,1),"")</f>
        <v/>
      </c>
      <c r="AS491" s="421" t="str">
        <f ca="1">IFERROR(OFFSET(Camp_List[Status],MATCH(Data_NFI_t[[#This Row],[Camp Name]],Camp_List[Camp Name],0)-1,0,1,1),"")</f>
        <v/>
      </c>
      <c r="AT491" s="105"/>
    </row>
    <row r="492" spans="1:49" s="78" customFormat="1" ht="19.5" customHeight="1" x14ac:dyDescent="0.25">
      <c r="A492" s="208">
        <f t="shared" si="7"/>
        <v>69.63333333333334</v>
      </c>
      <c r="B492" s="208">
        <f>YEAR(Data_NFI_t[[#This Row],[Distribution Date]])</f>
        <v>2012</v>
      </c>
      <c r="C492" s="744">
        <v>41101</v>
      </c>
      <c r="D492" s="402" t="s">
        <v>270</v>
      </c>
      <c r="E492" s="401"/>
      <c r="F492" s="402" t="s">
        <v>7</v>
      </c>
      <c r="G492" s="670" t="s">
        <v>17</v>
      </c>
      <c r="H492" s="670" t="s">
        <v>259</v>
      </c>
      <c r="I492" s="670"/>
      <c r="J492" s="670"/>
      <c r="K492" s="670"/>
      <c r="L492" s="42"/>
      <c r="M492" s="42"/>
      <c r="N492" s="42"/>
      <c r="O492" s="42">
        <v>492</v>
      </c>
      <c r="P492" s="42"/>
      <c r="Q492" s="42"/>
      <c r="R492" s="42"/>
      <c r="S492" s="42"/>
      <c r="T492" s="419"/>
      <c r="U492" s="42"/>
      <c r="V492" s="42"/>
      <c r="W492" s="42"/>
      <c r="X492" s="42"/>
      <c r="Y492" s="42"/>
      <c r="Z492" s="42"/>
      <c r="AA492" s="42"/>
      <c r="AB492" s="42"/>
      <c r="AC492" s="105">
        <f>IF(NFI_Expiration=1,IF($A492&lt;VLOOKUP(I$5,NFI,5,0),1,0)*Data_NFI_t[[#This Row],[Hygiene Kit]],0)</f>
        <v>0</v>
      </c>
      <c r="AD492" s="105">
        <f>IF(NFI_Expiration=1,IF($A492&lt;VLOOKUP(L$5,NFI,5,0),1,0)*Data_NFI_t[[#This Row],[NFI Core Kit]],0)</f>
        <v>0</v>
      </c>
      <c r="AE492" s="86">
        <f>IF(NFI_Expiration=1,IF($A492&lt;VLOOKUP(M$5,NFI,5,0),1,0)*Data_NFI_t[[#This Row],[Sanitary Kit]],0)</f>
        <v>0</v>
      </c>
      <c r="AF492" s="86">
        <f>IF(NFI_Expiration=1,IF($A492&lt;VLOOKUP(N$5,NFI,5,0),1,0)*Data_NFI_t[[#This Row],[Mosquito net]],0)</f>
        <v>0</v>
      </c>
      <c r="AG492" s="86">
        <f>IF(NFI_Expiration=1,IF($A492&lt;VLOOKUP(O$5,NFI,5,0),1,0)*Data_NFI_t[[#This Row],[Tarpaulin]],0)</f>
        <v>0</v>
      </c>
      <c r="AH492" s="86">
        <f>IF(NFI_Expiration=1,IF($A492&lt;VLOOKUP(P$5,NFI,5,0),1,0)*Data_NFI_t[[#This Row],[Blanket]],0)</f>
        <v>0</v>
      </c>
      <c r="AI492" s="86">
        <f>IF(NFI_Expiration=1,IF($A492&lt;VLOOKUP(Q$5,NFI,5,0),1,0)*Data_NFI_t[[#This Row],[Kitchen Set]],0)</f>
        <v>0</v>
      </c>
      <c r="AJ492" s="86">
        <f>IF(NFI_Expiration=1,IF($A492&lt;VLOOKUP(R$5,NFI,5,0),1,0)*Data_NFI_t[[#This Row],[Complementary Kit]],0)</f>
        <v>0</v>
      </c>
      <c r="AK492" s="86">
        <f>IF(NFI_Expiration=1,IF($A492&lt;VLOOKUP(S$5,NFI,5,0),1,0)*Data_NFI_t[[#This Row],[Plastic Bucket]],0)</f>
        <v>0</v>
      </c>
      <c r="AL492" s="86">
        <f>IF(NFI_Expiration=1,IF($A492&lt;VLOOKUP(T$5,NFI,5,0),1,0)*Data_NFI_t[[#This Row],[Jerry Can]],0)</f>
        <v>0</v>
      </c>
      <c r="AM492" s="105">
        <f>IF(NFI_Expiration=1,IF($A492&lt;VLOOKUP(U$5,NFI,5,0),1,0)*Data_NFI_t[[#This Row],[Plastic Mat]],0)*IF(Data_NFI_t[[#This Row],[Distribution Date]]&gt;"01-06-2015",1,2.5)</f>
        <v>0</v>
      </c>
      <c r="AN492" s="734">
        <f>IF(NFI_Expiration=1,IF($A492&lt;VLOOKUP(V$5,NFI,5,0),1,0)*Data_NFI_t[[#This Row],[Adult Clothes]],0)</f>
        <v>0</v>
      </c>
      <c r="AO492" s="105">
        <f>IF(NFI_Expiration=1,IF($A492&lt;VLOOKUP(W$5,NFI,5,0),1,0)*Data_NFI_t[[#This Row],[Children Clothes]],0)</f>
        <v>0</v>
      </c>
      <c r="AP492" s="105">
        <f>IF(NFI_Expiration=1,IF($A492&lt;VLOOKUP(X$5,NFI,5,0),1,0)*Data_NFI_t[[#This Row],[Sewing Kit]],0)</f>
        <v>0</v>
      </c>
      <c r="AQ492" s="734">
        <f>IF(NFI_Expiration=1,IF($A492&lt;VLOOKUP(X$5,NFI,5,0),1,0)*Data_NFI_t[[#This Row],[Solar Lantern]],0)</f>
        <v>0</v>
      </c>
      <c r="AR492" s="105" t="str">
        <f ca="1">IFERROR(OFFSET(Camp_List[P_Code],MATCH(Data_NFI_t[[#This Row],[Camp Name]],Camp_List[Camp Name],0)-1,0,1,1),"")</f>
        <v/>
      </c>
      <c r="AS492" s="421" t="str">
        <f ca="1">IFERROR(OFFSET(Camp_List[Status],MATCH(Data_NFI_t[[#This Row],[Camp Name]],Camp_List[Camp Name],0)-1,0,1,1),"")</f>
        <v/>
      </c>
      <c r="AT492" s="105"/>
    </row>
    <row r="493" spans="1:49" s="78" customFormat="1" ht="19.5" customHeight="1" x14ac:dyDescent="0.25">
      <c r="A493" s="208">
        <f t="shared" si="7"/>
        <v>69.666666666666671</v>
      </c>
      <c r="B493" s="208">
        <f>YEAR(Data_NFI_t[[#This Row],[Distribution Date]])</f>
        <v>2012</v>
      </c>
      <c r="C493" s="744">
        <v>41100</v>
      </c>
      <c r="D493" s="402" t="s">
        <v>270</v>
      </c>
      <c r="E493" s="401"/>
      <c r="F493" s="402" t="s">
        <v>7</v>
      </c>
      <c r="G493" s="670" t="s">
        <v>17</v>
      </c>
      <c r="H493" s="670" t="s">
        <v>254</v>
      </c>
      <c r="I493" s="670"/>
      <c r="J493" s="670"/>
      <c r="K493" s="670"/>
      <c r="L493" s="42"/>
      <c r="M493" s="42"/>
      <c r="N493" s="42"/>
      <c r="O493" s="42">
        <v>32</v>
      </c>
      <c r="P493" s="42"/>
      <c r="Q493" s="42"/>
      <c r="R493" s="42"/>
      <c r="S493" s="42"/>
      <c r="T493" s="419"/>
      <c r="U493" s="42"/>
      <c r="V493" s="42"/>
      <c r="W493" s="42"/>
      <c r="X493" s="42"/>
      <c r="Y493" s="42"/>
      <c r="Z493" s="42"/>
      <c r="AA493" s="42"/>
      <c r="AB493" s="42"/>
      <c r="AC493" s="105">
        <f>IF(NFI_Expiration=1,IF($A493&lt;VLOOKUP(I$5,NFI,5,0),1,0)*Data_NFI_t[[#This Row],[Hygiene Kit]],0)</f>
        <v>0</v>
      </c>
      <c r="AD493" s="105">
        <f>IF(NFI_Expiration=1,IF($A493&lt;VLOOKUP(L$5,NFI,5,0),1,0)*Data_NFI_t[[#This Row],[NFI Core Kit]],0)</f>
        <v>0</v>
      </c>
      <c r="AE493" s="86">
        <f>IF(NFI_Expiration=1,IF($A493&lt;VLOOKUP(M$5,NFI,5,0),1,0)*Data_NFI_t[[#This Row],[Sanitary Kit]],0)</f>
        <v>0</v>
      </c>
      <c r="AF493" s="86">
        <f>IF(NFI_Expiration=1,IF($A493&lt;VLOOKUP(N$5,NFI,5,0),1,0)*Data_NFI_t[[#This Row],[Mosquito net]],0)</f>
        <v>0</v>
      </c>
      <c r="AG493" s="86">
        <f>IF(NFI_Expiration=1,IF($A493&lt;VLOOKUP(O$5,NFI,5,0),1,0)*Data_NFI_t[[#This Row],[Tarpaulin]],0)</f>
        <v>0</v>
      </c>
      <c r="AH493" s="86">
        <f>IF(NFI_Expiration=1,IF($A493&lt;VLOOKUP(P$5,NFI,5,0),1,0)*Data_NFI_t[[#This Row],[Blanket]],0)</f>
        <v>0</v>
      </c>
      <c r="AI493" s="86">
        <f>IF(NFI_Expiration=1,IF($A493&lt;VLOOKUP(Q$5,NFI,5,0),1,0)*Data_NFI_t[[#This Row],[Kitchen Set]],0)</f>
        <v>0</v>
      </c>
      <c r="AJ493" s="86">
        <f>IF(NFI_Expiration=1,IF($A493&lt;VLOOKUP(R$5,NFI,5,0),1,0)*Data_NFI_t[[#This Row],[Complementary Kit]],0)</f>
        <v>0</v>
      </c>
      <c r="AK493" s="86">
        <f>IF(NFI_Expiration=1,IF($A493&lt;VLOOKUP(S$5,NFI,5,0),1,0)*Data_NFI_t[[#This Row],[Plastic Bucket]],0)</f>
        <v>0</v>
      </c>
      <c r="AL493" s="86">
        <f>IF(NFI_Expiration=1,IF($A493&lt;VLOOKUP(T$5,NFI,5,0),1,0)*Data_NFI_t[[#This Row],[Jerry Can]],0)</f>
        <v>0</v>
      </c>
      <c r="AM493" s="105">
        <f>IF(NFI_Expiration=1,IF($A493&lt;VLOOKUP(U$5,NFI,5,0),1,0)*Data_NFI_t[[#This Row],[Plastic Mat]],0)*IF(Data_NFI_t[[#This Row],[Distribution Date]]&gt;"01-06-2015",1,2.5)</f>
        <v>0</v>
      </c>
      <c r="AN493" s="734">
        <f>IF(NFI_Expiration=1,IF($A493&lt;VLOOKUP(V$5,NFI,5,0),1,0)*Data_NFI_t[[#This Row],[Adult Clothes]],0)</f>
        <v>0</v>
      </c>
      <c r="AO493" s="105">
        <f>IF(NFI_Expiration=1,IF($A493&lt;VLOOKUP(W$5,NFI,5,0),1,0)*Data_NFI_t[[#This Row],[Children Clothes]],0)</f>
        <v>0</v>
      </c>
      <c r="AP493" s="105">
        <f>IF(NFI_Expiration=1,IF($A493&lt;VLOOKUP(X$5,NFI,5,0),1,0)*Data_NFI_t[[#This Row],[Sewing Kit]],0)</f>
        <v>0</v>
      </c>
      <c r="AQ493" s="734">
        <f>IF(NFI_Expiration=1,IF($A493&lt;VLOOKUP(X$5,NFI,5,0),1,0)*Data_NFI_t[[#This Row],[Solar Lantern]],0)</f>
        <v>0</v>
      </c>
      <c r="AR493" s="105" t="str">
        <f ca="1">IFERROR(OFFSET(Camp_List[P_Code],MATCH(Data_NFI_t[[#This Row],[Camp Name]],Camp_List[Camp Name],0)-1,0,1,1),"")</f>
        <v/>
      </c>
      <c r="AS493" s="421" t="str">
        <f ca="1">IFERROR(OFFSET(Camp_List[Status],MATCH(Data_NFI_t[[#This Row],[Camp Name]],Camp_List[Camp Name],0)-1,0,1,1),"")</f>
        <v/>
      </c>
      <c r="AT493" s="105"/>
    </row>
    <row r="494" spans="1:49" s="78" customFormat="1" ht="19.5" customHeight="1" x14ac:dyDescent="0.25">
      <c r="A494" s="208">
        <f t="shared" si="7"/>
        <v>69.666666666666671</v>
      </c>
      <c r="B494" s="208">
        <f>YEAR(Data_NFI_t[[#This Row],[Distribution Date]])</f>
        <v>2012</v>
      </c>
      <c r="C494" s="744">
        <v>41100</v>
      </c>
      <c r="D494" s="402" t="s">
        <v>270</v>
      </c>
      <c r="E494" s="401"/>
      <c r="F494" s="402" t="s">
        <v>7</v>
      </c>
      <c r="G494" s="670" t="s">
        <v>17</v>
      </c>
      <c r="H494" s="670" t="s">
        <v>257</v>
      </c>
      <c r="I494" s="670"/>
      <c r="J494" s="670"/>
      <c r="K494" s="670"/>
      <c r="L494" s="42"/>
      <c r="M494" s="42"/>
      <c r="N494" s="42"/>
      <c r="O494" s="42">
        <v>5</v>
      </c>
      <c r="P494" s="42"/>
      <c r="Q494" s="42"/>
      <c r="R494" s="42"/>
      <c r="S494" s="42"/>
      <c r="T494" s="419"/>
      <c r="U494" s="42"/>
      <c r="V494" s="42"/>
      <c r="W494" s="42"/>
      <c r="X494" s="42"/>
      <c r="Y494" s="42"/>
      <c r="Z494" s="42"/>
      <c r="AA494" s="42"/>
      <c r="AB494" s="42"/>
      <c r="AC494" s="105">
        <f>IF(NFI_Expiration=1,IF($A494&lt;VLOOKUP(I$5,NFI,5,0),1,0)*Data_NFI_t[[#This Row],[Hygiene Kit]],0)</f>
        <v>0</v>
      </c>
      <c r="AD494" s="105">
        <f>IF(NFI_Expiration=1,IF($A494&lt;VLOOKUP(L$5,NFI,5,0),1,0)*Data_NFI_t[[#This Row],[NFI Core Kit]],0)</f>
        <v>0</v>
      </c>
      <c r="AE494" s="86">
        <f>IF(NFI_Expiration=1,IF($A494&lt;VLOOKUP(M$5,NFI,5,0),1,0)*Data_NFI_t[[#This Row],[Sanitary Kit]],0)</f>
        <v>0</v>
      </c>
      <c r="AF494" s="86">
        <f>IF(NFI_Expiration=1,IF($A494&lt;VLOOKUP(N$5,NFI,5,0),1,0)*Data_NFI_t[[#This Row],[Mosquito net]],0)</f>
        <v>0</v>
      </c>
      <c r="AG494" s="86">
        <f>IF(NFI_Expiration=1,IF($A494&lt;VLOOKUP(O$5,NFI,5,0),1,0)*Data_NFI_t[[#This Row],[Tarpaulin]],0)</f>
        <v>0</v>
      </c>
      <c r="AH494" s="86">
        <f>IF(NFI_Expiration=1,IF($A494&lt;VLOOKUP(P$5,NFI,5,0),1,0)*Data_NFI_t[[#This Row],[Blanket]],0)</f>
        <v>0</v>
      </c>
      <c r="AI494" s="86">
        <f>IF(NFI_Expiration=1,IF($A494&lt;VLOOKUP(Q$5,NFI,5,0),1,0)*Data_NFI_t[[#This Row],[Kitchen Set]],0)</f>
        <v>0</v>
      </c>
      <c r="AJ494" s="86">
        <f>IF(NFI_Expiration=1,IF($A494&lt;VLOOKUP(R$5,NFI,5,0),1,0)*Data_NFI_t[[#This Row],[Complementary Kit]],0)</f>
        <v>0</v>
      </c>
      <c r="AK494" s="86">
        <f>IF(NFI_Expiration=1,IF($A494&lt;VLOOKUP(S$5,NFI,5,0),1,0)*Data_NFI_t[[#This Row],[Plastic Bucket]],0)</f>
        <v>0</v>
      </c>
      <c r="AL494" s="86">
        <f>IF(NFI_Expiration=1,IF($A494&lt;VLOOKUP(T$5,NFI,5,0),1,0)*Data_NFI_t[[#This Row],[Jerry Can]],0)</f>
        <v>0</v>
      </c>
      <c r="AM494" s="105">
        <f>IF(NFI_Expiration=1,IF($A494&lt;VLOOKUP(U$5,NFI,5,0),1,0)*Data_NFI_t[[#This Row],[Plastic Mat]],0)*IF(Data_NFI_t[[#This Row],[Distribution Date]]&gt;"01-06-2015",1,2.5)</f>
        <v>0</v>
      </c>
      <c r="AN494" s="734">
        <f>IF(NFI_Expiration=1,IF($A494&lt;VLOOKUP(V$5,NFI,5,0),1,0)*Data_NFI_t[[#This Row],[Adult Clothes]],0)</f>
        <v>0</v>
      </c>
      <c r="AO494" s="105">
        <f>IF(NFI_Expiration=1,IF($A494&lt;VLOOKUP(W$5,NFI,5,0),1,0)*Data_NFI_t[[#This Row],[Children Clothes]],0)</f>
        <v>0</v>
      </c>
      <c r="AP494" s="105">
        <f>IF(NFI_Expiration=1,IF($A494&lt;VLOOKUP(X$5,NFI,5,0),1,0)*Data_NFI_t[[#This Row],[Sewing Kit]],0)</f>
        <v>0</v>
      </c>
      <c r="AQ494" s="734">
        <f>IF(NFI_Expiration=1,IF($A494&lt;VLOOKUP(X$5,NFI,5,0),1,0)*Data_NFI_t[[#This Row],[Solar Lantern]],0)</f>
        <v>0</v>
      </c>
      <c r="AR494" s="105" t="str">
        <f ca="1">IFERROR(OFFSET(Camp_List[P_Code],MATCH(Data_NFI_t[[#This Row],[Camp Name]],Camp_List[Camp Name],0)-1,0,1,1),"")</f>
        <v/>
      </c>
      <c r="AS494" s="421" t="str">
        <f ca="1">IFERROR(OFFSET(Camp_List[Status],MATCH(Data_NFI_t[[#This Row],[Camp Name]],Camp_List[Camp Name],0)-1,0,1,1),"")</f>
        <v/>
      </c>
      <c r="AT494" s="105"/>
    </row>
    <row r="495" spans="1:49" s="78" customFormat="1" ht="19.5" customHeight="1" x14ac:dyDescent="0.25">
      <c r="A495" s="208">
        <f t="shared" si="7"/>
        <v>69.666666666666671</v>
      </c>
      <c r="B495" s="208">
        <f>YEAR(Data_NFI_t[[#This Row],[Distribution Date]])</f>
        <v>2012</v>
      </c>
      <c r="C495" s="744">
        <v>41100</v>
      </c>
      <c r="D495" s="402" t="s">
        <v>270</v>
      </c>
      <c r="E495" s="401"/>
      <c r="F495" s="402" t="s">
        <v>7</v>
      </c>
      <c r="G495" s="670" t="s">
        <v>17</v>
      </c>
      <c r="H495" s="670" t="s">
        <v>256</v>
      </c>
      <c r="I495" s="670"/>
      <c r="J495" s="670"/>
      <c r="K495" s="670"/>
      <c r="L495" s="42"/>
      <c r="M495" s="42"/>
      <c r="N495" s="42"/>
      <c r="O495" s="42">
        <v>16</v>
      </c>
      <c r="P495" s="42"/>
      <c r="Q495" s="42"/>
      <c r="R495" s="42"/>
      <c r="S495" s="42"/>
      <c r="T495" s="419"/>
      <c r="U495" s="42"/>
      <c r="V495" s="42"/>
      <c r="W495" s="42"/>
      <c r="X495" s="42"/>
      <c r="Y495" s="42"/>
      <c r="Z495" s="42"/>
      <c r="AA495" s="42"/>
      <c r="AB495" s="42"/>
      <c r="AC495" s="105">
        <f>IF(NFI_Expiration=1,IF($A495&lt;VLOOKUP(I$5,NFI,5,0),1,0)*Data_NFI_t[[#This Row],[Hygiene Kit]],0)</f>
        <v>0</v>
      </c>
      <c r="AD495" s="105">
        <f>IF(NFI_Expiration=1,IF($A495&lt;VLOOKUP(L$5,NFI,5,0),1,0)*Data_NFI_t[[#This Row],[NFI Core Kit]],0)</f>
        <v>0</v>
      </c>
      <c r="AE495" s="86">
        <f>IF(NFI_Expiration=1,IF($A495&lt;VLOOKUP(M$5,NFI,5,0),1,0)*Data_NFI_t[[#This Row],[Sanitary Kit]],0)</f>
        <v>0</v>
      </c>
      <c r="AF495" s="86">
        <f>IF(NFI_Expiration=1,IF($A495&lt;VLOOKUP(N$5,NFI,5,0),1,0)*Data_NFI_t[[#This Row],[Mosquito net]],0)</f>
        <v>0</v>
      </c>
      <c r="AG495" s="86">
        <f>IF(NFI_Expiration=1,IF($A495&lt;VLOOKUP(O$5,NFI,5,0),1,0)*Data_NFI_t[[#This Row],[Tarpaulin]],0)</f>
        <v>0</v>
      </c>
      <c r="AH495" s="86">
        <f>IF(NFI_Expiration=1,IF($A495&lt;VLOOKUP(P$5,NFI,5,0),1,0)*Data_NFI_t[[#This Row],[Blanket]],0)</f>
        <v>0</v>
      </c>
      <c r="AI495" s="86">
        <f>IF(NFI_Expiration=1,IF($A495&lt;VLOOKUP(Q$5,NFI,5,0),1,0)*Data_NFI_t[[#This Row],[Kitchen Set]],0)</f>
        <v>0</v>
      </c>
      <c r="AJ495" s="86">
        <f>IF(NFI_Expiration=1,IF($A495&lt;VLOOKUP(R$5,NFI,5,0),1,0)*Data_NFI_t[[#This Row],[Complementary Kit]],0)</f>
        <v>0</v>
      </c>
      <c r="AK495" s="86">
        <f>IF(NFI_Expiration=1,IF($A495&lt;VLOOKUP(S$5,NFI,5,0),1,0)*Data_NFI_t[[#This Row],[Plastic Bucket]],0)</f>
        <v>0</v>
      </c>
      <c r="AL495" s="86">
        <f>IF(NFI_Expiration=1,IF($A495&lt;VLOOKUP(T$5,NFI,5,0),1,0)*Data_NFI_t[[#This Row],[Jerry Can]],0)</f>
        <v>0</v>
      </c>
      <c r="AM495" s="105">
        <f>IF(NFI_Expiration=1,IF($A495&lt;VLOOKUP(U$5,NFI,5,0),1,0)*Data_NFI_t[[#This Row],[Plastic Mat]],0)*IF(Data_NFI_t[[#This Row],[Distribution Date]]&gt;"01-06-2015",1,2.5)</f>
        <v>0</v>
      </c>
      <c r="AN495" s="734">
        <f>IF(NFI_Expiration=1,IF($A495&lt;VLOOKUP(V$5,NFI,5,0),1,0)*Data_NFI_t[[#This Row],[Adult Clothes]],0)</f>
        <v>0</v>
      </c>
      <c r="AO495" s="105">
        <f>IF(NFI_Expiration=1,IF($A495&lt;VLOOKUP(W$5,NFI,5,0),1,0)*Data_NFI_t[[#This Row],[Children Clothes]],0)</f>
        <v>0</v>
      </c>
      <c r="AP495" s="105">
        <f>IF(NFI_Expiration=1,IF($A495&lt;VLOOKUP(X$5,NFI,5,0),1,0)*Data_NFI_t[[#This Row],[Sewing Kit]],0)</f>
        <v>0</v>
      </c>
      <c r="AQ495" s="734">
        <f>IF(NFI_Expiration=1,IF($A495&lt;VLOOKUP(X$5,NFI,5,0),1,0)*Data_NFI_t[[#This Row],[Solar Lantern]],0)</f>
        <v>0</v>
      </c>
      <c r="AR495" s="105" t="str">
        <f ca="1">IFERROR(OFFSET(Camp_List[P_Code],MATCH(Data_NFI_t[[#This Row],[Camp Name]],Camp_List[Camp Name],0)-1,0,1,1),"")</f>
        <v/>
      </c>
      <c r="AS495" s="421" t="str">
        <f ca="1">IFERROR(OFFSET(Camp_List[Status],MATCH(Data_NFI_t[[#This Row],[Camp Name]],Camp_List[Camp Name],0)-1,0,1,1),"")</f>
        <v/>
      </c>
      <c r="AT495" s="105"/>
    </row>
    <row r="496" spans="1:49" s="78" customFormat="1" ht="19.5" customHeight="1" x14ac:dyDescent="0.25">
      <c r="A496" s="208">
        <f t="shared" si="7"/>
        <v>69.666666666666671</v>
      </c>
      <c r="B496" s="208">
        <f>YEAR(Data_NFI_t[[#This Row],[Distribution Date]])</f>
        <v>2012</v>
      </c>
      <c r="C496" s="744">
        <v>41100</v>
      </c>
      <c r="D496" s="402" t="s">
        <v>270</v>
      </c>
      <c r="E496" s="401"/>
      <c r="F496" s="402" t="s">
        <v>7</v>
      </c>
      <c r="G496" s="670" t="s">
        <v>17</v>
      </c>
      <c r="H496" s="670" t="s">
        <v>255</v>
      </c>
      <c r="I496" s="670"/>
      <c r="J496" s="670"/>
      <c r="K496" s="670"/>
      <c r="L496" s="42"/>
      <c r="M496" s="42"/>
      <c r="N496" s="42"/>
      <c r="O496" s="42">
        <v>11</v>
      </c>
      <c r="P496" s="42"/>
      <c r="Q496" s="42"/>
      <c r="R496" s="42"/>
      <c r="S496" s="42"/>
      <c r="T496" s="419"/>
      <c r="U496" s="42"/>
      <c r="V496" s="42"/>
      <c r="W496" s="42"/>
      <c r="X496" s="42"/>
      <c r="Y496" s="42"/>
      <c r="Z496" s="42"/>
      <c r="AA496" s="42"/>
      <c r="AB496" s="42"/>
      <c r="AC496" s="105">
        <f>IF(NFI_Expiration=1,IF($A496&lt;VLOOKUP(I$5,NFI,5,0),1,0)*Data_NFI_t[[#This Row],[Hygiene Kit]],0)</f>
        <v>0</v>
      </c>
      <c r="AD496" s="105">
        <f>IF(NFI_Expiration=1,IF($A496&lt;VLOOKUP(L$5,NFI,5,0),1,0)*Data_NFI_t[[#This Row],[NFI Core Kit]],0)</f>
        <v>0</v>
      </c>
      <c r="AE496" s="86">
        <f>IF(NFI_Expiration=1,IF($A496&lt;VLOOKUP(M$5,NFI,5,0),1,0)*Data_NFI_t[[#This Row],[Sanitary Kit]],0)</f>
        <v>0</v>
      </c>
      <c r="AF496" s="86">
        <f>IF(NFI_Expiration=1,IF($A496&lt;VLOOKUP(N$5,NFI,5,0),1,0)*Data_NFI_t[[#This Row],[Mosquito net]],0)</f>
        <v>0</v>
      </c>
      <c r="AG496" s="86">
        <f>IF(NFI_Expiration=1,IF($A496&lt;VLOOKUP(O$5,NFI,5,0),1,0)*Data_NFI_t[[#This Row],[Tarpaulin]],0)</f>
        <v>0</v>
      </c>
      <c r="AH496" s="86">
        <f>IF(NFI_Expiration=1,IF($A496&lt;VLOOKUP(P$5,NFI,5,0),1,0)*Data_NFI_t[[#This Row],[Blanket]],0)</f>
        <v>0</v>
      </c>
      <c r="AI496" s="86">
        <f>IF(NFI_Expiration=1,IF($A496&lt;VLOOKUP(Q$5,NFI,5,0),1,0)*Data_NFI_t[[#This Row],[Kitchen Set]],0)</f>
        <v>0</v>
      </c>
      <c r="AJ496" s="86">
        <f>IF(NFI_Expiration=1,IF($A496&lt;VLOOKUP(R$5,NFI,5,0),1,0)*Data_NFI_t[[#This Row],[Complementary Kit]],0)</f>
        <v>0</v>
      </c>
      <c r="AK496" s="86">
        <f>IF(NFI_Expiration=1,IF($A496&lt;VLOOKUP(S$5,NFI,5,0),1,0)*Data_NFI_t[[#This Row],[Plastic Bucket]],0)</f>
        <v>0</v>
      </c>
      <c r="AL496" s="86">
        <f>IF(NFI_Expiration=1,IF($A496&lt;VLOOKUP(T$5,NFI,5,0),1,0)*Data_NFI_t[[#This Row],[Jerry Can]],0)</f>
        <v>0</v>
      </c>
      <c r="AM496" s="105">
        <f>IF(NFI_Expiration=1,IF($A496&lt;VLOOKUP(U$5,NFI,5,0),1,0)*Data_NFI_t[[#This Row],[Plastic Mat]],0)*IF(Data_NFI_t[[#This Row],[Distribution Date]]&gt;"01-06-2015",1,2.5)</f>
        <v>0</v>
      </c>
      <c r="AN496" s="734">
        <f>IF(NFI_Expiration=1,IF($A496&lt;VLOOKUP(V$5,NFI,5,0),1,0)*Data_NFI_t[[#This Row],[Adult Clothes]],0)</f>
        <v>0</v>
      </c>
      <c r="AO496" s="105">
        <f>IF(NFI_Expiration=1,IF($A496&lt;VLOOKUP(W$5,NFI,5,0),1,0)*Data_NFI_t[[#This Row],[Children Clothes]],0)</f>
        <v>0</v>
      </c>
      <c r="AP496" s="105">
        <f>IF(NFI_Expiration=1,IF($A496&lt;VLOOKUP(X$5,NFI,5,0),1,0)*Data_NFI_t[[#This Row],[Sewing Kit]],0)</f>
        <v>0</v>
      </c>
      <c r="AQ496" s="734">
        <f>IF(NFI_Expiration=1,IF($A496&lt;VLOOKUP(X$5,NFI,5,0),1,0)*Data_NFI_t[[#This Row],[Solar Lantern]],0)</f>
        <v>0</v>
      </c>
      <c r="AR496" s="105" t="str">
        <f ca="1">IFERROR(OFFSET(Camp_List[P_Code],MATCH(Data_NFI_t[[#This Row],[Camp Name]],Camp_List[Camp Name],0)-1,0,1,1),"")</f>
        <v/>
      </c>
      <c r="AS496" s="421" t="str">
        <f ca="1">IFERROR(OFFSET(Camp_List[Status],MATCH(Data_NFI_t[[#This Row],[Camp Name]],Camp_List[Camp Name],0)-1,0,1,1),"")</f>
        <v/>
      </c>
      <c r="AT496" s="105"/>
    </row>
    <row r="497" spans="1:46" s="78" customFormat="1" ht="19.5" customHeight="1" x14ac:dyDescent="0.25">
      <c r="A497" s="208">
        <f t="shared" si="7"/>
        <v>69.666666666666671</v>
      </c>
      <c r="B497" s="208">
        <f>YEAR(Data_NFI_t[[#This Row],[Distribution Date]])</f>
        <v>2012</v>
      </c>
      <c r="C497" s="744">
        <v>41100</v>
      </c>
      <c r="D497" s="402" t="s">
        <v>270</v>
      </c>
      <c r="E497" s="401"/>
      <c r="F497" s="402" t="s">
        <v>7</v>
      </c>
      <c r="G497" s="670" t="s">
        <v>17</v>
      </c>
      <c r="H497" s="670" t="s">
        <v>94</v>
      </c>
      <c r="I497" s="670"/>
      <c r="J497" s="670"/>
      <c r="K497" s="670"/>
      <c r="L497" s="42"/>
      <c r="M497" s="42"/>
      <c r="N497" s="42"/>
      <c r="O497" s="42">
        <v>20</v>
      </c>
      <c r="P497" s="42"/>
      <c r="Q497" s="42"/>
      <c r="R497" s="42"/>
      <c r="S497" s="42"/>
      <c r="T497" s="419"/>
      <c r="U497" s="42"/>
      <c r="V497" s="42"/>
      <c r="W497" s="42"/>
      <c r="X497" s="42"/>
      <c r="Y497" s="42"/>
      <c r="Z497" s="42"/>
      <c r="AA497" s="42"/>
      <c r="AB497" s="42"/>
      <c r="AC497" s="105">
        <f>IF(NFI_Expiration=1,IF($A497&lt;VLOOKUP(I$5,NFI,5,0),1,0)*Data_NFI_t[[#This Row],[Hygiene Kit]],0)</f>
        <v>0</v>
      </c>
      <c r="AD497" s="105">
        <f>IF(NFI_Expiration=1,IF($A497&lt;VLOOKUP(L$5,NFI,5,0),1,0)*Data_NFI_t[[#This Row],[NFI Core Kit]],0)</f>
        <v>0</v>
      </c>
      <c r="AE497" s="86">
        <f>IF(NFI_Expiration=1,IF($A497&lt;VLOOKUP(M$5,NFI,5,0),1,0)*Data_NFI_t[[#This Row],[Sanitary Kit]],0)</f>
        <v>0</v>
      </c>
      <c r="AF497" s="86">
        <f>IF(NFI_Expiration=1,IF($A497&lt;VLOOKUP(N$5,NFI,5,0),1,0)*Data_NFI_t[[#This Row],[Mosquito net]],0)</f>
        <v>0</v>
      </c>
      <c r="AG497" s="86">
        <f>IF(NFI_Expiration=1,IF($A497&lt;VLOOKUP(O$5,NFI,5,0),1,0)*Data_NFI_t[[#This Row],[Tarpaulin]],0)</f>
        <v>0</v>
      </c>
      <c r="AH497" s="86">
        <f>IF(NFI_Expiration=1,IF($A497&lt;VLOOKUP(P$5,NFI,5,0),1,0)*Data_NFI_t[[#This Row],[Blanket]],0)</f>
        <v>0</v>
      </c>
      <c r="AI497" s="86">
        <f>IF(NFI_Expiration=1,IF($A497&lt;VLOOKUP(Q$5,NFI,5,0),1,0)*Data_NFI_t[[#This Row],[Kitchen Set]],0)</f>
        <v>0</v>
      </c>
      <c r="AJ497" s="86">
        <f>IF(NFI_Expiration=1,IF($A497&lt;VLOOKUP(R$5,NFI,5,0),1,0)*Data_NFI_t[[#This Row],[Complementary Kit]],0)</f>
        <v>0</v>
      </c>
      <c r="AK497" s="86">
        <f>IF(NFI_Expiration=1,IF($A497&lt;VLOOKUP(S$5,NFI,5,0),1,0)*Data_NFI_t[[#This Row],[Plastic Bucket]],0)</f>
        <v>0</v>
      </c>
      <c r="AL497" s="86">
        <f>IF(NFI_Expiration=1,IF($A497&lt;VLOOKUP(T$5,NFI,5,0),1,0)*Data_NFI_t[[#This Row],[Jerry Can]],0)</f>
        <v>0</v>
      </c>
      <c r="AM497" s="105">
        <f>IF(NFI_Expiration=1,IF($A497&lt;VLOOKUP(U$5,NFI,5,0),1,0)*Data_NFI_t[[#This Row],[Plastic Mat]],0)*IF(Data_NFI_t[[#This Row],[Distribution Date]]&gt;"01-06-2015",1,2.5)</f>
        <v>0</v>
      </c>
      <c r="AN497" s="734">
        <f>IF(NFI_Expiration=1,IF($A497&lt;VLOOKUP(V$5,NFI,5,0),1,0)*Data_NFI_t[[#This Row],[Adult Clothes]],0)</f>
        <v>0</v>
      </c>
      <c r="AO497" s="105">
        <f>IF(NFI_Expiration=1,IF($A497&lt;VLOOKUP(W$5,NFI,5,0),1,0)*Data_NFI_t[[#This Row],[Children Clothes]],0)</f>
        <v>0</v>
      </c>
      <c r="AP497" s="105">
        <f>IF(NFI_Expiration=1,IF($A497&lt;VLOOKUP(X$5,NFI,5,0),1,0)*Data_NFI_t[[#This Row],[Sewing Kit]],0)</f>
        <v>0</v>
      </c>
      <c r="AQ497" s="734">
        <f>IF(NFI_Expiration=1,IF($A497&lt;VLOOKUP(X$5,NFI,5,0),1,0)*Data_NFI_t[[#This Row],[Solar Lantern]],0)</f>
        <v>0</v>
      </c>
      <c r="AR497" s="105" t="str">
        <f ca="1">IFERROR(OFFSET(Camp_List[P_Code],MATCH(Data_NFI_t[[#This Row],[Camp Name]],Camp_List[Camp Name],0)-1,0,1,1),"")</f>
        <v>MMR012CMP075</v>
      </c>
      <c r="AS497" s="421" t="str">
        <f ca="1">IFERROR(OFFSET(Camp_List[Status],MATCH(Data_NFI_t[[#This Row],[Camp Name]],Camp_List[Camp Name],0)-1,0,1,1),"")</f>
        <v>Close</v>
      </c>
      <c r="AT497" s="105"/>
    </row>
    <row r="498" spans="1:46" s="78" customFormat="1" ht="19.5" customHeight="1" x14ac:dyDescent="0.25">
      <c r="A498" s="208">
        <f t="shared" si="7"/>
        <v>69.666666666666671</v>
      </c>
      <c r="B498" s="208">
        <f>YEAR(Data_NFI_t[[#This Row],[Distribution Date]])</f>
        <v>2012</v>
      </c>
      <c r="C498" s="744">
        <v>41100</v>
      </c>
      <c r="D498" s="402" t="s">
        <v>270</v>
      </c>
      <c r="E498" s="401"/>
      <c r="F498" s="402" t="s">
        <v>7</v>
      </c>
      <c r="G498" s="670" t="s">
        <v>17</v>
      </c>
      <c r="H498" s="670" t="s">
        <v>258</v>
      </c>
      <c r="I498" s="670"/>
      <c r="J498" s="670"/>
      <c r="K498" s="670"/>
      <c r="L498" s="42"/>
      <c r="M498" s="42"/>
      <c r="N498" s="42"/>
      <c r="O498" s="42">
        <v>2</v>
      </c>
      <c r="P498" s="42"/>
      <c r="Q498" s="42"/>
      <c r="R498" s="42"/>
      <c r="S498" s="42"/>
      <c r="T498" s="419"/>
      <c r="U498" s="42"/>
      <c r="V498" s="42"/>
      <c r="W498" s="42"/>
      <c r="X498" s="42"/>
      <c r="Y498" s="42"/>
      <c r="Z498" s="42"/>
      <c r="AA498" s="42"/>
      <c r="AB498" s="42"/>
      <c r="AC498" s="105">
        <f>IF(NFI_Expiration=1,IF($A498&lt;VLOOKUP(I$5,NFI,5,0),1,0)*Data_NFI_t[[#This Row],[Hygiene Kit]],0)</f>
        <v>0</v>
      </c>
      <c r="AD498" s="105">
        <f>IF(NFI_Expiration=1,IF($A498&lt;VLOOKUP(L$5,NFI,5,0),1,0)*Data_NFI_t[[#This Row],[NFI Core Kit]],0)</f>
        <v>0</v>
      </c>
      <c r="AE498" s="86">
        <f>IF(NFI_Expiration=1,IF($A498&lt;VLOOKUP(M$5,NFI,5,0),1,0)*Data_NFI_t[[#This Row],[Sanitary Kit]],0)</f>
        <v>0</v>
      </c>
      <c r="AF498" s="86">
        <f>IF(NFI_Expiration=1,IF($A498&lt;VLOOKUP(N$5,NFI,5,0),1,0)*Data_NFI_t[[#This Row],[Mosquito net]],0)</f>
        <v>0</v>
      </c>
      <c r="AG498" s="86">
        <f>IF(NFI_Expiration=1,IF($A498&lt;VLOOKUP(O$5,NFI,5,0),1,0)*Data_NFI_t[[#This Row],[Tarpaulin]],0)</f>
        <v>0</v>
      </c>
      <c r="AH498" s="86">
        <f>IF(NFI_Expiration=1,IF($A498&lt;VLOOKUP(P$5,NFI,5,0),1,0)*Data_NFI_t[[#This Row],[Blanket]],0)</f>
        <v>0</v>
      </c>
      <c r="AI498" s="86">
        <f>IF(NFI_Expiration=1,IF($A498&lt;VLOOKUP(Q$5,NFI,5,0),1,0)*Data_NFI_t[[#This Row],[Kitchen Set]],0)</f>
        <v>0</v>
      </c>
      <c r="AJ498" s="86">
        <f>IF(NFI_Expiration=1,IF($A498&lt;VLOOKUP(R$5,NFI,5,0),1,0)*Data_NFI_t[[#This Row],[Complementary Kit]],0)</f>
        <v>0</v>
      </c>
      <c r="AK498" s="86">
        <f>IF(NFI_Expiration=1,IF($A498&lt;VLOOKUP(S$5,NFI,5,0),1,0)*Data_NFI_t[[#This Row],[Plastic Bucket]],0)</f>
        <v>0</v>
      </c>
      <c r="AL498" s="86">
        <f>IF(NFI_Expiration=1,IF($A498&lt;VLOOKUP(T$5,NFI,5,0),1,0)*Data_NFI_t[[#This Row],[Jerry Can]],0)</f>
        <v>0</v>
      </c>
      <c r="AM498" s="105">
        <f>IF(NFI_Expiration=1,IF($A498&lt;VLOOKUP(U$5,NFI,5,0),1,0)*Data_NFI_t[[#This Row],[Plastic Mat]],0)*IF(Data_NFI_t[[#This Row],[Distribution Date]]&gt;"01-06-2015",1,2.5)</f>
        <v>0</v>
      </c>
      <c r="AN498" s="734">
        <f>IF(NFI_Expiration=1,IF($A498&lt;VLOOKUP(V$5,NFI,5,0),1,0)*Data_NFI_t[[#This Row],[Adult Clothes]],0)</f>
        <v>0</v>
      </c>
      <c r="AO498" s="105">
        <f>IF(NFI_Expiration=1,IF($A498&lt;VLOOKUP(W$5,NFI,5,0),1,0)*Data_NFI_t[[#This Row],[Children Clothes]],0)</f>
        <v>0</v>
      </c>
      <c r="AP498" s="105">
        <f>IF(NFI_Expiration=1,IF($A498&lt;VLOOKUP(X$5,NFI,5,0),1,0)*Data_NFI_t[[#This Row],[Sewing Kit]],0)</f>
        <v>0</v>
      </c>
      <c r="AQ498" s="734">
        <f>IF(NFI_Expiration=1,IF($A498&lt;VLOOKUP(X$5,NFI,5,0),1,0)*Data_NFI_t[[#This Row],[Solar Lantern]],0)</f>
        <v>0</v>
      </c>
      <c r="AR498" s="105" t="str">
        <f ca="1">IFERROR(OFFSET(Camp_List[P_Code],MATCH(Data_NFI_t[[#This Row],[Camp Name]],Camp_List[Camp Name],0)-1,0,1,1),"")</f>
        <v/>
      </c>
      <c r="AS498" s="421" t="str">
        <f ca="1">IFERROR(OFFSET(Camp_List[Status],MATCH(Data_NFI_t[[#This Row],[Camp Name]],Camp_List[Camp Name],0)-1,0,1,1),"")</f>
        <v/>
      </c>
      <c r="AT498" s="105"/>
    </row>
    <row r="499" spans="1:46" s="78" customFormat="1" ht="19.5" customHeight="1" x14ac:dyDescent="0.25">
      <c r="A499" s="208">
        <f t="shared" si="7"/>
        <v>69.7</v>
      </c>
      <c r="B499" s="208">
        <f>YEAR(Data_NFI_t[[#This Row],[Distribution Date]])</f>
        <v>2012</v>
      </c>
      <c r="C499" s="744">
        <v>41099</v>
      </c>
      <c r="D499" s="402" t="s">
        <v>270</v>
      </c>
      <c r="E499" s="401"/>
      <c r="F499" s="402" t="s">
        <v>7</v>
      </c>
      <c r="G499" s="670" t="s">
        <v>17</v>
      </c>
      <c r="H499" s="670" t="s">
        <v>253</v>
      </c>
      <c r="I499" s="670"/>
      <c r="J499" s="670"/>
      <c r="K499" s="670"/>
      <c r="L499" s="42"/>
      <c r="M499" s="42"/>
      <c r="N499" s="42"/>
      <c r="O499" s="42">
        <v>5</v>
      </c>
      <c r="P499" s="42"/>
      <c r="Q499" s="42"/>
      <c r="R499" s="42"/>
      <c r="S499" s="42"/>
      <c r="T499" s="419"/>
      <c r="U499" s="42"/>
      <c r="V499" s="42"/>
      <c r="W499" s="42"/>
      <c r="X499" s="42"/>
      <c r="Y499" s="42"/>
      <c r="Z499" s="42"/>
      <c r="AA499" s="42"/>
      <c r="AB499" s="42"/>
      <c r="AC499" s="105">
        <f>IF(NFI_Expiration=1,IF($A499&lt;VLOOKUP(I$5,NFI,5,0),1,0)*Data_NFI_t[[#This Row],[Hygiene Kit]],0)</f>
        <v>0</v>
      </c>
      <c r="AD499" s="105">
        <f>IF(NFI_Expiration=1,IF($A499&lt;VLOOKUP(L$5,NFI,5,0),1,0)*Data_NFI_t[[#This Row],[NFI Core Kit]],0)</f>
        <v>0</v>
      </c>
      <c r="AE499" s="86">
        <f>IF(NFI_Expiration=1,IF($A499&lt;VLOOKUP(M$5,NFI,5,0),1,0)*Data_NFI_t[[#This Row],[Sanitary Kit]],0)</f>
        <v>0</v>
      </c>
      <c r="AF499" s="86">
        <f>IF(NFI_Expiration=1,IF($A499&lt;VLOOKUP(N$5,NFI,5,0),1,0)*Data_NFI_t[[#This Row],[Mosquito net]],0)</f>
        <v>0</v>
      </c>
      <c r="AG499" s="86">
        <f>IF(NFI_Expiration=1,IF($A499&lt;VLOOKUP(O$5,NFI,5,0),1,0)*Data_NFI_t[[#This Row],[Tarpaulin]],0)</f>
        <v>0</v>
      </c>
      <c r="AH499" s="86">
        <f>IF(NFI_Expiration=1,IF($A499&lt;VLOOKUP(P$5,NFI,5,0),1,0)*Data_NFI_t[[#This Row],[Blanket]],0)</f>
        <v>0</v>
      </c>
      <c r="AI499" s="86">
        <f>IF(NFI_Expiration=1,IF($A499&lt;VLOOKUP(Q$5,NFI,5,0),1,0)*Data_NFI_t[[#This Row],[Kitchen Set]],0)</f>
        <v>0</v>
      </c>
      <c r="AJ499" s="86">
        <f>IF(NFI_Expiration=1,IF($A499&lt;VLOOKUP(R$5,NFI,5,0),1,0)*Data_NFI_t[[#This Row],[Complementary Kit]],0)</f>
        <v>0</v>
      </c>
      <c r="AK499" s="86">
        <f>IF(NFI_Expiration=1,IF($A499&lt;VLOOKUP(S$5,NFI,5,0),1,0)*Data_NFI_t[[#This Row],[Plastic Bucket]],0)</f>
        <v>0</v>
      </c>
      <c r="AL499" s="86">
        <f>IF(NFI_Expiration=1,IF($A499&lt;VLOOKUP(T$5,NFI,5,0),1,0)*Data_NFI_t[[#This Row],[Jerry Can]],0)</f>
        <v>0</v>
      </c>
      <c r="AM499" s="105">
        <f>IF(NFI_Expiration=1,IF($A499&lt;VLOOKUP(U$5,NFI,5,0),1,0)*Data_NFI_t[[#This Row],[Plastic Mat]],0)*IF(Data_NFI_t[[#This Row],[Distribution Date]]&gt;"01-06-2015",1,2.5)</f>
        <v>0</v>
      </c>
      <c r="AN499" s="734">
        <f>IF(NFI_Expiration=1,IF($A499&lt;VLOOKUP(V$5,NFI,5,0),1,0)*Data_NFI_t[[#This Row],[Adult Clothes]],0)</f>
        <v>0</v>
      </c>
      <c r="AO499" s="105">
        <f>IF(NFI_Expiration=1,IF($A499&lt;VLOOKUP(W$5,NFI,5,0),1,0)*Data_NFI_t[[#This Row],[Children Clothes]],0)</f>
        <v>0</v>
      </c>
      <c r="AP499" s="105">
        <f>IF(NFI_Expiration=1,IF($A499&lt;VLOOKUP(X$5,NFI,5,0),1,0)*Data_NFI_t[[#This Row],[Sewing Kit]],0)</f>
        <v>0</v>
      </c>
      <c r="AQ499" s="734">
        <f>IF(NFI_Expiration=1,IF($A499&lt;VLOOKUP(X$5,NFI,5,0),1,0)*Data_NFI_t[[#This Row],[Solar Lantern]],0)</f>
        <v>0</v>
      </c>
      <c r="AR499" s="105" t="str">
        <f ca="1">IFERROR(OFFSET(Camp_List[P_Code],MATCH(Data_NFI_t[[#This Row],[Camp Name]],Camp_List[Camp Name],0)-1,0,1,1),"")</f>
        <v/>
      </c>
      <c r="AS499" s="421" t="str">
        <f ca="1">IFERROR(OFFSET(Camp_List[Status],MATCH(Data_NFI_t[[#This Row],[Camp Name]],Camp_List[Camp Name],0)-1,0,1,1),"")</f>
        <v/>
      </c>
      <c r="AT499" s="105"/>
    </row>
    <row r="500" spans="1:46" s="78" customFormat="1" ht="19.5" customHeight="1" x14ac:dyDescent="0.25">
      <c r="A500" s="208">
        <f t="shared" si="7"/>
        <v>69.7</v>
      </c>
      <c r="B500" s="208">
        <f>YEAR(Data_NFI_t[[#This Row],[Distribution Date]])</f>
        <v>2012</v>
      </c>
      <c r="C500" s="744">
        <v>41099</v>
      </c>
      <c r="D500" s="402" t="s">
        <v>270</v>
      </c>
      <c r="E500" s="401"/>
      <c r="F500" s="402" t="s">
        <v>7</v>
      </c>
      <c r="G500" s="670" t="s">
        <v>17</v>
      </c>
      <c r="H500" s="670" t="s">
        <v>245</v>
      </c>
      <c r="I500" s="670"/>
      <c r="J500" s="670"/>
      <c r="K500" s="670"/>
      <c r="L500" s="42"/>
      <c r="M500" s="42"/>
      <c r="N500" s="42"/>
      <c r="O500" s="42">
        <v>10</v>
      </c>
      <c r="P500" s="42"/>
      <c r="Q500" s="42"/>
      <c r="R500" s="42"/>
      <c r="S500" s="42"/>
      <c r="T500" s="419"/>
      <c r="U500" s="42"/>
      <c r="V500" s="42"/>
      <c r="W500" s="42"/>
      <c r="X500" s="42"/>
      <c r="Y500" s="42"/>
      <c r="Z500" s="42"/>
      <c r="AA500" s="42"/>
      <c r="AB500" s="42"/>
      <c r="AC500" s="105">
        <f>IF(NFI_Expiration=1,IF($A500&lt;VLOOKUP(I$5,NFI,5,0),1,0)*Data_NFI_t[[#This Row],[Hygiene Kit]],0)</f>
        <v>0</v>
      </c>
      <c r="AD500" s="105">
        <f>IF(NFI_Expiration=1,IF($A500&lt;VLOOKUP(L$5,NFI,5,0),1,0)*Data_NFI_t[[#This Row],[NFI Core Kit]],0)</f>
        <v>0</v>
      </c>
      <c r="AE500" s="86">
        <f>IF(NFI_Expiration=1,IF($A500&lt;VLOOKUP(M$5,NFI,5,0),1,0)*Data_NFI_t[[#This Row],[Sanitary Kit]],0)</f>
        <v>0</v>
      </c>
      <c r="AF500" s="86">
        <f>IF(NFI_Expiration=1,IF($A500&lt;VLOOKUP(N$5,NFI,5,0),1,0)*Data_NFI_t[[#This Row],[Mosquito net]],0)</f>
        <v>0</v>
      </c>
      <c r="AG500" s="86">
        <f>IF(NFI_Expiration=1,IF($A500&lt;VLOOKUP(O$5,NFI,5,0),1,0)*Data_NFI_t[[#This Row],[Tarpaulin]],0)</f>
        <v>0</v>
      </c>
      <c r="AH500" s="86">
        <f>IF(NFI_Expiration=1,IF($A500&lt;VLOOKUP(P$5,NFI,5,0),1,0)*Data_NFI_t[[#This Row],[Blanket]],0)</f>
        <v>0</v>
      </c>
      <c r="AI500" s="86">
        <f>IF(NFI_Expiration=1,IF($A500&lt;VLOOKUP(Q$5,NFI,5,0),1,0)*Data_NFI_t[[#This Row],[Kitchen Set]],0)</f>
        <v>0</v>
      </c>
      <c r="AJ500" s="86">
        <f>IF(NFI_Expiration=1,IF($A500&lt;VLOOKUP(R$5,NFI,5,0),1,0)*Data_NFI_t[[#This Row],[Complementary Kit]],0)</f>
        <v>0</v>
      </c>
      <c r="AK500" s="86">
        <f>IF(NFI_Expiration=1,IF($A500&lt;VLOOKUP(S$5,NFI,5,0),1,0)*Data_NFI_t[[#This Row],[Plastic Bucket]],0)</f>
        <v>0</v>
      </c>
      <c r="AL500" s="86">
        <f>IF(NFI_Expiration=1,IF($A500&lt;VLOOKUP(T$5,NFI,5,0),1,0)*Data_NFI_t[[#This Row],[Jerry Can]],0)</f>
        <v>0</v>
      </c>
      <c r="AM500" s="105">
        <f>IF(NFI_Expiration=1,IF($A500&lt;VLOOKUP(U$5,NFI,5,0),1,0)*Data_NFI_t[[#This Row],[Plastic Mat]],0)*IF(Data_NFI_t[[#This Row],[Distribution Date]]&gt;"01-06-2015",1,2.5)</f>
        <v>0</v>
      </c>
      <c r="AN500" s="734">
        <f>IF(NFI_Expiration=1,IF($A500&lt;VLOOKUP(V$5,NFI,5,0),1,0)*Data_NFI_t[[#This Row],[Adult Clothes]],0)</f>
        <v>0</v>
      </c>
      <c r="AO500" s="105">
        <f>IF(NFI_Expiration=1,IF($A500&lt;VLOOKUP(W$5,NFI,5,0),1,0)*Data_NFI_t[[#This Row],[Children Clothes]],0)</f>
        <v>0</v>
      </c>
      <c r="AP500" s="105">
        <f>IF(NFI_Expiration=1,IF($A500&lt;VLOOKUP(X$5,NFI,5,0),1,0)*Data_NFI_t[[#This Row],[Sewing Kit]],0)</f>
        <v>0</v>
      </c>
      <c r="AQ500" s="734">
        <f>IF(NFI_Expiration=1,IF($A500&lt;VLOOKUP(X$5,NFI,5,0),1,0)*Data_NFI_t[[#This Row],[Solar Lantern]],0)</f>
        <v>0</v>
      </c>
      <c r="AR500" s="105" t="str">
        <f ca="1">IFERROR(OFFSET(Camp_List[P_Code],MATCH(Data_NFI_t[[#This Row],[Camp Name]],Camp_List[Camp Name],0)-1,0,1,1),"")</f>
        <v/>
      </c>
      <c r="AS500" s="421" t="str">
        <f ca="1">IFERROR(OFFSET(Camp_List[Status],MATCH(Data_NFI_t[[#This Row],[Camp Name]],Camp_List[Camp Name],0)-1,0,1,1),"")</f>
        <v/>
      </c>
      <c r="AT500" s="105"/>
    </row>
    <row r="501" spans="1:46" s="78" customFormat="1" ht="19.5" customHeight="1" x14ac:dyDescent="0.25">
      <c r="A501" s="208">
        <f t="shared" si="7"/>
        <v>69.7</v>
      </c>
      <c r="B501" s="208">
        <f>YEAR(Data_NFI_t[[#This Row],[Distribution Date]])</f>
        <v>2012</v>
      </c>
      <c r="C501" s="744">
        <v>41099</v>
      </c>
      <c r="D501" s="402" t="s">
        <v>270</v>
      </c>
      <c r="E501" s="401"/>
      <c r="F501" s="402" t="s">
        <v>7</v>
      </c>
      <c r="G501" s="670" t="s">
        <v>17</v>
      </c>
      <c r="H501" s="670" t="s">
        <v>250</v>
      </c>
      <c r="I501" s="670"/>
      <c r="J501" s="670"/>
      <c r="K501" s="670"/>
      <c r="L501" s="42"/>
      <c r="M501" s="42"/>
      <c r="N501" s="42"/>
      <c r="O501" s="42">
        <v>26</v>
      </c>
      <c r="P501" s="42"/>
      <c r="Q501" s="42"/>
      <c r="R501" s="42"/>
      <c r="S501" s="42"/>
      <c r="T501" s="419"/>
      <c r="U501" s="42"/>
      <c r="V501" s="42"/>
      <c r="W501" s="42"/>
      <c r="X501" s="42"/>
      <c r="Y501" s="42"/>
      <c r="Z501" s="42"/>
      <c r="AA501" s="42"/>
      <c r="AB501" s="42"/>
      <c r="AC501" s="105">
        <f>IF(NFI_Expiration=1,IF($A501&lt;VLOOKUP(I$5,NFI,5,0),1,0)*Data_NFI_t[[#This Row],[Hygiene Kit]],0)</f>
        <v>0</v>
      </c>
      <c r="AD501" s="105">
        <f>IF(NFI_Expiration=1,IF($A501&lt;VLOOKUP(L$5,NFI,5,0),1,0)*Data_NFI_t[[#This Row],[NFI Core Kit]],0)</f>
        <v>0</v>
      </c>
      <c r="AE501" s="86">
        <f>IF(NFI_Expiration=1,IF($A501&lt;VLOOKUP(M$5,NFI,5,0),1,0)*Data_NFI_t[[#This Row],[Sanitary Kit]],0)</f>
        <v>0</v>
      </c>
      <c r="AF501" s="86">
        <f>IF(NFI_Expiration=1,IF($A501&lt;VLOOKUP(N$5,NFI,5,0),1,0)*Data_NFI_t[[#This Row],[Mosquito net]],0)</f>
        <v>0</v>
      </c>
      <c r="AG501" s="86">
        <f>IF(NFI_Expiration=1,IF($A501&lt;VLOOKUP(O$5,NFI,5,0),1,0)*Data_NFI_t[[#This Row],[Tarpaulin]],0)</f>
        <v>0</v>
      </c>
      <c r="AH501" s="86">
        <f>IF(NFI_Expiration=1,IF($A501&lt;VLOOKUP(P$5,NFI,5,0),1,0)*Data_NFI_t[[#This Row],[Blanket]],0)</f>
        <v>0</v>
      </c>
      <c r="AI501" s="86">
        <f>IF(NFI_Expiration=1,IF($A501&lt;VLOOKUP(Q$5,NFI,5,0),1,0)*Data_NFI_t[[#This Row],[Kitchen Set]],0)</f>
        <v>0</v>
      </c>
      <c r="AJ501" s="86">
        <f>IF(NFI_Expiration=1,IF($A501&lt;VLOOKUP(R$5,NFI,5,0),1,0)*Data_NFI_t[[#This Row],[Complementary Kit]],0)</f>
        <v>0</v>
      </c>
      <c r="AK501" s="86">
        <f>IF(NFI_Expiration=1,IF($A501&lt;VLOOKUP(S$5,NFI,5,0),1,0)*Data_NFI_t[[#This Row],[Plastic Bucket]],0)</f>
        <v>0</v>
      </c>
      <c r="AL501" s="86">
        <f>IF(NFI_Expiration=1,IF($A501&lt;VLOOKUP(T$5,NFI,5,0),1,0)*Data_NFI_t[[#This Row],[Jerry Can]],0)</f>
        <v>0</v>
      </c>
      <c r="AM501" s="105">
        <f>IF(NFI_Expiration=1,IF($A501&lt;VLOOKUP(U$5,NFI,5,0),1,0)*Data_NFI_t[[#This Row],[Plastic Mat]],0)*IF(Data_NFI_t[[#This Row],[Distribution Date]]&gt;"01-06-2015",1,2.5)</f>
        <v>0</v>
      </c>
      <c r="AN501" s="734">
        <f>IF(NFI_Expiration=1,IF($A501&lt;VLOOKUP(V$5,NFI,5,0),1,0)*Data_NFI_t[[#This Row],[Adult Clothes]],0)</f>
        <v>0</v>
      </c>
      <c r="AO501" s="105">
        <f>IF(NFI_Expiration=1,IF($A501&lt;VLOOKUP(W$5,NFI,5,0),1,0)*Data_NFI_t[[#This Row],[Children Clothes]],0)</f>
        <v>0</v>
      </c>
      <c r="AP501" s="105">
        <f>IF(NFI_Expiration=1,IF($A501&lt;VLOOKUP(X$5,NFI,5,0),1,0)*Data_NFI_t[[#This Row],[Sewing Kit]],0)</f>
        <v>0</v>
      </c>
      <c r="AQ501" s="734">
        <f>IF(NFI_Expiration=1,IF($A501&lt;VLOOKUP(X$5,NFI,5,0),1,0)*Data_NFI_t[[#This Row],[Solar Lantern]],0)</f>
        <v>0</v>
      </c>
      <c r="AR501" s="105" t="str">
        <f ca="1">IFERROR(OFFSET(Camp_List[P_Code],MATCH(Data_NFI_t[[#This Row],[Camp Name]],Camp_List[Camp Name],0)-1,0,1,1),"")</f>
        <v/>
      </c>
      <c r="AS501" s="421" t="str">
        <f ca="1">IFERROR(OFFSET(Camp_List[Status],MATCH(Data_NFI_t[[#This Row],[Camp Name]],Camp_List[Camp Name],0)-1,0,1,1),"")</f>
        <v/>
      </c>
      <c r="AT501" s="105"/>
    </row>
    <row r="502" spans="1:46" s="78" customFormat="1" ht="19.5" customHeight="1" x14ac:dyDescent="0.25">
      <c r="A502" s="208">
        <f t="shared" si="7"/>
        <v>69.7</v>
      </c>
      <c r="B502" s="208">
        <f>YEAR(Data_NFI_t[[#This Row],[Distribution Date]])</f>
        <v>2012</v>
      </c>
      <c r="C502" s="744">
        <v>41099</v>
      </c>
      <c r="D502" s="402" t="s">
        <v>270</v>
      </c>
      <c r="E502" s="401"/>
      <c r="F502" s="402" t="s">
        <v>7</v>
      </c>
      <c r="G502" s="670" t="s">
        <v>17</v>
      </c>
      <c r="H502" s="670" t="s">
        <v>249</v>
      </c>
      <c r="I502" s="670"/>
      <c r="J502" s="670"/>
      <c r="K502" s="670"/>
      <c r="L502" s="42"/>
      <c r="M502" s="42"/>
      <c r="N502" s="42"/>
      <c r="O502" s="42">
        <v>12</v>
      </c>
      <c r="P502" s="42"/>
      <c r="Q502" s="42"/>
      <c r="R502" s="42"/>
      <c r="S502" s="42"/>
      <c r="T502" s="419"/>
      <c r="U502" s="42"/>
      <c r="V502" s="42"/>
      <c r="W502" s="42"/>
      <c r="X502" s="42"/>
      <c r="Y502" s="42"/>
      <c r="Z502" s="42"/>
      <c r="AA502" s="42"/>
      <c r="AB502" s="42"/>
      <c r="AC502" s="105">
        <f>IF(NFI_Expiration=1,IF($A502&lt;VLOOKUP(I$5,NFI,5,0),1,0)*Data_NFI_t[[#This Row],[Hygiene Kit]],0)</f>
        <v>0</v>
      </c>
      <c r="AD502" s="105">
        <f>IF(NFI_Expiration=1,IF($A502&lt;VLOOKUP(L$5,NFI,5,0),1,0)*Data_NFI_t[[#This Row],[NFI Core Kit]],0)</f>
        <v>0</v>
      </c>
      <c r="AE502" s="86">
        <f>IF(NFI_Expiration=1,IF($A502&lt;VLOOKUP(M$5,NFI,5,0),1,0)*Data_NFI_t[[#This Row],[Sanitary Kit]],0)</f>
        <v>0</v>
      </c>
      <c r="AF502" s="86">
        <f>IF(NFI_Expiration=1,IF($A502&lt;VLOOKUP(N$5,NFI,5,0),1,0)*Data_NFI_t[[#This Row],[Mosquito net]],0)</f>
        <v>0</v>
      </c>
      <c r="AG502" s="86">
        <f>IF(NFI_Expiration=1,IF($A502&lt;VLOOKUP(O$5,NFI,5,0),1,0)*Data_NFI_t[[#This Row],[Tarpaulin]],0)</f>
        <v>0</v>
      </c>
      <c r="AH502" s="86">
        <f>IF(NFI_Expiration=1,IF($A502&lt;VLOOKUP(P$5,NFI,5,0),1,0)*Data_NFI_t[[#This Row],[Blanket]],0)</f>
        <v>0</v>
      </c>
      <c r="AI502" s="86">
        <f>IF(NFI_Expiration=1,IF($A502&lt;VLOOKUP(Q$5,NFI,5,0),1,0)*Data_NFI_t[[#This Row],[Kitchen Set]],0)</f>
        <v>0</v>
      </c>
      <c r="AJ502" s="86">
        <f>IF(NFI_Expiration=1,IF($A502&lt;VLOOKUP(R$5,NFI,5,0),1,0)*Data_NFI_t[[#This Row],[Complementary Kit]],0)</f>
        <v>0</v>
      </c>
      <c r="AK502" s="86">
        <f>IF(NFI_Expiration=1,IF($A502&lt;VLOOKUP(S$5,NFI,5,0),1,0)*Data_NFI_t[[#This Row],[Plastic Bucket]],0)</f>
        <v>0</v>
      </c>
      <c r="AL502" s="86">
        <f>IF(NFI_Expiration=1,IF($A502&lt;VLOOKUP(T$5,NFI,5,0),1,0)*Data_NFI_t[[#This Row],[Jerry Can]],0)</f>
        <v>0</v>
      </c>
      <c r="AM502" s="105">
        <f>IF(NFI_Expiration=1,IF($A502&lt;VLOOKUP(U$5,NFI,5,0),1,0)*Data_NFI_t[[#This Row],[Plastic Mat]],0)*IF(Data_NFI_t[[#This Row],[Distribution Date]]&gt;"01-06-2015",1,2.5)</f>
        <v>0</v>
      </c>
      <c r="AN502" s="734">
        <f>IF(NFI_Expiration=1,IF($A502&lt;VLOOKUP(V$5,NFI,5,0),1,0)*Data_NFI_t[[#This Row],[Adult Clothes]],0)</f>
        <v>0</v>
      </c>
      <c r="AO502" s="105">
        <f>IF(NFI_Expiration=1,IF($A502&lt;VLOOKUP(W$5,NFI,5,0),1,0)*Data_NFI_t[[#This Row],[Children Clothes]],0)</f>
        <v>0</v>
      </c>
      <c r="AP502" s="105">
        <f>IF(NFI_Expiration=1,IF($A502&lt;VLOOKUP(X$5,NFI,5,0),1,0)*Data_NFI_t[[#This Row],[Sewing Kit]],0)</f>
        <v>0</v>
      </c>
      <c r="AQ502" s="734">
        <f>IF(NFI_Expiration=1,IF($A502&lt;VLOOKUP(X$5,NFI,5,0),1,0)*Data_NFI_t[[#This Row],[Solar Lantern]],0)</f>
        <v>0</v>
      </c>
      <c r="AR502" s="105" t="str">
        <f ca="1">IFERROR(OFFSET(Camp_List[P_Code],MATCH(Data_NFI_t[[#This Row],[Camp Name]],Camp_List[Camp Name],0)-1,0,1,1),"")</f>
        <v/>
      </c>
      <c r="AS502" s="421" t="str">
        <f ca="1">IFERROR(OFFSET(Camp_List[Status],MATCH(Data_NFI_t[[#This Row],[Camp Name]],Camp_List[Camp Name],0)-1,0,1,1),"")</f>
        <v/>
      </c>
      <c r="AT502" s="105"/>
    </row>
    <row r="503" spans="1:46" s="78" customFormat="1" ht="19.5" customHeight="1" x14ac:dyDescent="0.25">
      <c r="A503" s="208">
        <f t="shared" si="7"/>
        <v>69.7</v>
      </c>
      <c r="B503" s="208">
        <f>YEAR(Data_NFI_t[[#This Row],[Distribution Date]])</f>
        <v>2012</v>
      </c>
      <c r="C503" s="744">
        <v>41099</v>
      </c>
      <c r="D503" s="402" t="s">
        <v>270</v>
      </c>
      <c r="E503" s="401"/>
      <c r="F503" s="402" t="s">
        <v>7</v>
      </c>
      <c r="G503" s="670" t="s">
        <v>17</v>
      </c>
      <c r="H503" s="670" t="s">
        <v>246</v>
      </c>
      <c r="I503" s="670"/>
      <c r="J503" s="670"/>
      <c r="K503" s="670"/>
      <c r="L503" s="42"/>
      <c r="M503" s="42"/>
      <c r="N503" s="42"/>
      <c r="O503" s="42">
        <v>23</v>
      </c>
      <c r="P503" s="42"/>
      <c r="Q503" s="42"/>
      <c r="R503" s="42"/>
      <c r="S503" s="42"/>
      <c r="T503" s="419"/>
      <c r="U503" s="42"/>
      <c r="V503" s="42"/>
      <c r="W503" s="42"/>
      <c r="X503" s="42"/>
      <c r="Y503" s="42"/>
      <c r="Z503" s="42"/>
      <c r="AA503" s="42"/>
      <c r="AB503" s="42"/>
      <c r="AC503" s="105">
        <f>IF(NFI_Expiration=1,IF($A503&lt;VLOOKUP(I$5,NFI,5,0),1,0)*Data_NFI_t[[#This Row],[Hygiene Kit]],0)</f>
        <v>0</v>
      </c>
      <c r="AD503" s="105">
        <f>IF(NFI_Expiration=1,IF($A503&lt;VLOOKUP(L$5,NFI,5,0),1,0)*Data_NFI_t[[#This Row],[NFI Core Kit]],0)</f>
        <v>0</v>
      </c>
      <c r="AE503" s="86">
        <f>IF(NFI_Expiration=1,IF($A503&lt;VLOOKUP(M$5,NFI,5,0),1,0)*Data_NFI_t[[#This Row],[Sanitary Kit]],0)</f>
        <v>0</v>
      </c>
      <c r="AF503" s="86">
        <f>IF(NFI_Expiration=1,IF($A503&lt;VLOOKUP(N$5,NFI,5,0),1,0)*Data_NFI_t[[#This Row],[Mosquito net]],0)</f>
        <v>0</v>
      </c>
      <c r="AG503" s="86">
        <f>IF(NFI_Expiration=1,IF($A503&lt;VLOOKUP(O$5,NFI,5,0),1,0)*Data_NFI_t[[#This Row],[Tarpaulin]],0)</f>
        <v>0</v>
      </c>
      <c r="AH503" s="86">
        <f>IF(NFI_Expiration=1,IF($A503&lt;VLOOKUP(P$5,NFI,5,0),1,0)*Data_NFI_t[[#This Row],[Blanket]],0)</f>
        <v>0</v>
      </c>
      <c r="AI503" s="86">
        <f>IF(NFI_Expiration=1,IF($A503&lt;VLOOKUP(Q$5,NFI,5,0),1,0)*Data_NFI_t[[#This Row],[Kitchen Set]],0)</f>
        <v>0</v>
      </c>
      <c r="AJ503" s="86">
        <f>IF(NFI_Expiration=1,IF($A503&lt;VLOOKUP(R$5,NFI,5,0),1,0)*Data_NFI_t[[#This Row],[Complementary Kit]],0)</f>
        <v>0</v>
      </c>
      <c r="AK503" s="86">
        <f>IF(NFI_Expiration=1,IF($A503&lt;VLOOKUP(S$5,NFI,5,0),1,0)*Data_NFI_t[[#This Row],[Plastic Bucket]],0)</f>
        <v>0</v>
      </c>
      <c r="AL503" s="86">
        <f>IF(NFI_Expiration=1,IF($A503&lt;VLOOKUP(T$5,NFI,5,0),1,0)*Data_NFI_t[[#This Row],[Jerry Can]],0)</f>
        <v>0</v>
      </c>
      <c r="AM503" s="105">
        <f>IF(NFI_Expiration=1,IF($A503&lt;VLOOKUP(U$5,NFI,5,0),1,0)*Data_NFI_t[[#This Row],[Plastic Mat]],0)*IF(Data_NFI_t[[#This Row],[Distribution Date]]&gt;"01-06-2015",1,2.5)</f>
        <v>0</v>
      </c>
      <c r="AN503" s="734">
        <f>IF(NFI_Expiration=1,IF($A503&lt;VLOOKUP(V$5,NFI,5,0),1,0)*Data_NFI_t[[#This Row],[Adult Clothes]],0)</f>
        <v>0</v>
      </c>
      <c r="AO503" s="105">
        <f>IF(NFI_Expiration=1,IF($A503&lt;VLOOKUP(W$5,NFI,5,0),1,0)*Data_NFI_t[[#This Row],[Children Clothes]],0)</f>
        <v>0</v>
      </c>
      <c r="AP503" s="105">
        <f>IF(NFI_Expiration=1,IF($A503&lt;VLOOKUP(X$5,NFI,5,0),1,0)*Data_NFI_t[[#This Row],[Sewing Kit]],0)</f>
        <v>0</v>
      </c>
      <c r="AQ503" s="734">
        <f>IF(NFI_Expiration=1,IF($A503&lt;VLOOKUP(X$5,NFI,5,0),1,0)*Data_NFI_t[[#This Row],[Solar Lantern]],0)</f>
        <v>0</v>
      </c>
      <c r="AR503" s="105" t="str">
        <f ca="1">IFERROR(OFFSET(Camp_List[P_Code],MATCH(Data_NFI_t[[#This Row],[Camp Name]],Camp_List[Camp Name],0)-1,0,1,1),"")</f>
        <v/>
      </c>
      <c r="AS503" s="421" t="str">
        <f ca="1">IFERROR(OFFSET(Camp_List[Status],MATCH(Data_NFI_t[[#This Row],[Camp Name]],Camp_List[Camp Name],0)-1,0,1,1),"")</f>
        <v/>
      </c>
      <c r="AT503" s="105"/>
    </row>
    <row r="504" spans="1:46" s="78" customFormat="1" ht="19.5" customHeight="1" x14ac:dyDescent="0.25">
      <c r="A504" s="208">
        <f t="shared" si="7"/>
        <v>69.7</v>
      </c>
      <c r="B504" s="208">
        <f>YEAR(Data_NFI_t[[#This Row],[Distribution Date]])</f>
        <v>2012</v>
      </c>
      <c r="C504" s="744">
        <v>41099</v>
      </c>
      <c r="D504" s="402" t="s">
        <v>270</v>
      </c>
      <c r="E504" s="401"/>
      <c r="F504" s="402" t="s">
        <v>7</v>
      </c>
      <c r="G504" s="670" t="s">
        <v>17</v>
      </c>
      <c r="H504" s="670" t="s">
        <v>247</v>
      </c>
      <c r="I504" s="670"/>
      <c r="J504" s="670"/>
      <c r="K504" s="670"/>
      <c r="L504" s="42"/>
      <c r="M504" s="42"/>
      <c r="N504" s="42"/>
      <c r="O504" s="42">
        <v>36</v>
      </c>
      <c r="P504" s="42"/>
      <c r="Q504" s="42"/>
      <c r="R504" s="42"/>
      <c r="S504" s="42"/>
      <c r="T504" s="419"/>
      <c r="U504" s="42"/>
      <c r="V504" s="42"/>
      <c r="W504" s="42"/>
      <c r="X504" s="42"/>
      <c r="Y504" s="42"/>
      <c r="Z504" s="42"/>
      <c r="AA504" s="42"/>
      <c r="AB504" s="42"/>
      <c r="AC504" s="105">
        <f>IF(NFI_Expiration=1,IF($A504&lt;VLOOKUP(I$5,NFI,5,0),1,0)*Data_NFI_t[[#This Row],[Hygiene Kit]],0)</f>
        <v>0</v>
      </c>
      <c r="AD504" s="105">
        <f>IF(NFI_Expiration=1,IF($A504&lt;VLOOKUP(L$5,NFI,5,0),1,0)*Data_NFI_t[[#This Row],[NFI Core Kit]],0)</f>
        <v>0</v>
      </c>
      <c r="AE504" s="86">
        <f>IF(NFI_Expiration=1,IF($A504&lt;VLOOKUP(M$5,NFI,5,0),1,0)*Data_NFI_t[[#This Row],[Sanitary Kit]],0)</f>
        <v>0</v>
      </c>
      <c r="AF504" s="86">
        <f>IF(NFI_Expiration=1,IF($A504&lt;VLOOKUP(N$5,NFI,5,0),1,0)*Data_NFI_t[[#This Row],[Mosquito net]],0)</f>
        <v>0</v>
      </c>
      <c r="AG504" s="86">
        <f>IF(NFI_Expiration=1,IF($A504&lt;VLOOKUP(O$5,NFI,5,0),1,0)*Data_NFI_t[[#This Row],[Tarpaulin]],0)</f>
        <v>0</v>
      </c>
      <c r="AH504" s="86">
        <f>IF(NFI_Expiration=1,IF($A504&lt;VLOOKUP(P$5,NFI,5,0),1,0)*Data_NFI_t[[#This Row],[Blanket]],0)</f>
        <v>0</v>
      </c>
      <c r="AI504" s="86">
        <f>IF(NFI_Expiration=1,IF($A504&lt;VLOOKUP(Q$5,NFI,5,0),1,0)*Data_NFI_t[[#This Row],[Kitchen Set]],0)</f>
        <v>0</v>
      </c>
      <c r="AJ504" s="86">
        <f>IF(NFI_Expiration=1,IF($A504&lt;VLOOKUP(R$5,NFI,5,0),1,0)*Data_NFI_t[[#This Row],[Complementary Kit]],0)</f>
        <v>0</v>
      </c>
      <c r="AK504" s="86">
        <f>IF(NFI_Expiration=1,IF($A504&lt;VLOOKUP(S$5,NFI,5,0),1,0)*Data_NFI_t[[#This Row],[Plastic Bucket]],0)</f>
        <v>0</v>
      </c>
      <c r="AL504" s="86">
        <f>IF(NFI_Expiration=1,IF($A504&lt;VLOOKUP(T$5,NFI,5,0),1,0)*Data_NFI_t[[#This Row],[Jerry Can]],0)</f>
        <v>0</v>
      </c>
      <c r="AM504" s="105">
        <f>IF(NFI_Expiration=1,IF($A504&lt;VLOOKUP(U$5,NFI,5,0),1,0)*Data_NFI_t[[#This Row],[Plastic Mat]],0)*IF(Data_NFI_t[[#This Row],[Distribution Date]]&gt;"01-06-2015",1,2.5)</f>
        <v>0</v>
      </c>
      <c r="AN504" s="734">
        <f>IF(NFI_Expiration=1,IF($A504&lt;VLOOKUP(V$5,NFI,5,0),1,0)*Data_NFI_t[[#This Row],[Adult Clothes]],0)</f>
        <v>0</v>
      </c>
      <c r="AO504" s="105">
        <f>IF(NFI_Expiration=1,IF($A504&lt;VLOOKUP(W$5,NFI,5,0),1,0)*Data_NFI_t[[#This Row],[Children Clothes]],0)</f>
        <v>0</v>
      </c>
      <c r="AP504" s="105">
        <f>IF(NFI_Expiration=1,IF($A504&lt;VLOOKUP(X$5,NFI,5,0),1,0)*Data_NFI_t[[#This Row],[Sewing Kit]],0)</f>
        <v>0</v>
      </c>
      <c r="AQ504" s="734">
        <f>IF(NFI_Expiration=1,IF($A504&lt;VLOOKUP(X$5,NFI,5,0),1,0)*Data_NFI_t[[#This Row],[Solar Lantern]],0)</f>
        <v>0</v>
      </c>
      <c r="AR504" s="105" t="str">
        <f ca="1">IFERROR(OFFSET(Camp_List[P_Code],MATCH(Data_NFI_t[[#This Row],[Camp Name]],Camp_List[Camp Name],0)-1,0,1,1),"")</f>
        <v/>
      </c>
      <c r="AS504" s="421" t="str">
        <f ca="1">IFERROR(OFFSET(Camp_List[Status],MATCH(Data_NFI_t[[#This Row],[Camp Name]],Camp_List[Camp Name],0)-1,0,1,1),"")</f>
        <v/>
      </c>
      <c r="AT504" s="105"/>
    </row>
    <row r="505" spans="1:46" s="78" customFormat="1" ht="19.5" customHeight="1" x14ac:dyDescent="0.25">
      <c r="A505" s="208">
        <f t="shared" si="7"/>
        <v>69.7</v>
      </c>
      <c r="B505" s="208">
        <f>YEAR(Data_NFI_t[[#This Row],[Distribution Date]])</f>
        <v>2012</v>
      </c>
      <c r="C505" s="744">
        <v>41099</v>
      </c>
      <c r="D505" s="402" t="s">
        <v>270</v>
      </c>
      <c r="E505" s="401"/>
      <c r="F505" s="402" t="s">
        <v>7</v>
      </c>
      <c r="G505" s="670" t="s">
        <v>17</v>
      </c>
      <c r="H505" s="670" t="s">
        <v>248</v>
      </c>
      <c r="I505" s="670"/>
      <c r="J505" s="670"/>
      <c r="K505" s="670"/>
      <c r="L505" s="42"/>
      <c r="M505" s="42"/>
      <c r="N505" s="42"/>
      <c r="O505" s="42">
        <v>33</v>
      </c>
      <c r="P505" s="42"/>
      <c r="Q505" s="42"/>
      <c r="R505" s="42"/>
      <c r="S505" s="42"/>
      <c r="T505" s="419"/>
      <c r="U505" s="42"/>
      <c r="V505" s="42"/>
      <c r="W505" s="42"/>
      <c r="X505" s="42"/>
      <c r="Y505" s="42"/>
      <c r="Z505" s="42"/>
      <c r="AA505" s="42"/>
      <c r="AB505" s="42"/>
      <c r="AC505" s="105">
        <f>IF(NFI_Expiration=1,IF($A505&lt;VLOOKUP(I$5,NFI,5,0),1,0)*Data_NFI_t[[#This Row],[Hygiene Kit]],0)</f>
        <v>0</v>
      </c>
      <c r="AD505" s="105">
        <f>IF(NFI_Expiration=1,IF($A505&lt;VLOOKUP(L$5,NFI,5,0),1,0)*Data_NFI_t[[#This Row],[NFI Core Kit]],0)</f>
        <v>0</v>
      </c>
      <c r="AE505" s="86">
        <f>IF(NFI_Expiration=1,IF($A505&lt;VLOOKUP(M$5,NFI,5,0),1,0)*Data_NFI_t[[#This Row],[Sanitary Kit]],0)</f>
        <v>0</v>
      </c>
      <c r="AF505" s="86">
        <f>IF(NFI_Expiration=1,IF($A505&lt;VLOOKUP(N$5,NFI,5,0),1,0)*Data_NFI_t[[#This Row],[Mosquito net]],0)</f>
        <v>0</v>
      </c>
      <c r="AG505" s="86">
        <f>IF(NFI_Expiration=1,IF($A505&lt;VLOOKUP(O$5,NFI,5,0),1,0)*Data_NFI_t[[#This Row],[Tarpaulin]],0)</f>
        <v>0</v>
      </c>
      <c r="AH505" s="86">
        <f>IF(NFI_Expiration=1,IF($A505&lt;VLOOKUP(P$5,NFI,5,0),1,0)*Data_NFI_t[[#This Row],[Blanket]],0)</f>
        <v>0</v>
      </c>
      <c r="AI505" s="86">
        <f>IF(NFI_Expiration=1,IF($A505&lt;VLOOKUP(Q$5,NFI,5,0),1,0)*Data_NFI_t[[#This Row],[Kitchen Set]],0)</f>
        <v>0</v>
      </c>
      <c r="AJ505" s="86">
        <f>IF(NFI_Expiration=1,IF($A505&lt;VLOOKUP(R$5,NFI,5,0),1,0)*Data_NFI_t[[#This Row],[Complementary Kit]],0)</f>
        <v>0</v>
      </c>
      <c r="AK505" s="86">
        <f>IF(NFI_Expiration=1,IF($A505&lt;VLOOKUP(S$5,NFI,5,0),1,0)*Data_NFI_t[[#This Row],[Plastic Bucket]],0)</f>
        <v>0</v>
      </c>
      <c r="AL505" s="86">
        <f>IF(NFI_Expiration=1,IF($A505&lt;VLOOKUP(T$5,NFI,5,0),1,0)*Data_NFI_t[[#This Row],[Jerry Can]],0)</f>
        <v>0</v>
      </c>
      <c r="AM505" s="105">
        <f>IF(NFI_Expiration=1,IF($A505&lt;VLOOKUP(U$5,NFI,5,0),1,0)*Data_NFI_t[[#This Row],[Plastic Mat]],0)*IF(Data_NFI_t[[#This Row],[Distribution Date]]&gt;"01-06-2015",1,2.5)</f>
        <v>0</v>
      </c>
      <c r="AN505" s="734">
        <f>IF(NFI_Expiration=1,IF($A505&lt;VLOOKUP(V$5,NFI,5,0),1,0)*Data_NFI_t[[#This Row],[Adult Clothes]],0)</f>
        <v>0</v>
      </c>
      <c r="AO505" s="105">
        <f>IF(NFI_Expiration=1,IF($A505&lt;VLOOKUP(W$5,NFI,5,0),1,0)*Data_NFI_t[[#This Row],[Children Clothes]],0)</f>
        <v>0</v>
      </c>
      <c r="AP505" s="105">
        <f>IF(NFI_Expiration=1,IF($A505&lt;VLOOKUP(X$5,NFI,5,0),1,0)*Data_NFI_t[[#This Row],[Sewing Kit]],0)</f>
        <v>0</v>
      </c>
      <c r="AQ505" s="734">
        <f>IF(NFI_Expiration=1,IF($A505&lt;VLOOKUP(X$5,NFI,5,0),1,0)*Data_NFI_t[[#This Row],[Solar Lantern]],0)</f>
        <v>0</v>
      </c>
      <c r="AR505" s="105" t="str">
        <f ca="1">IFERROR(OFFSET(Camp_List[P_Code],MATCH(Data_NFI_t[[#This Row],[Camp Name]],Camp_List[Camp Name],0)-1,0,1,1),"")</f>
        <v/>
      </c>
      <c r="AS505" s="421" t="str">
        <f ca="1">IFERROR(OFFSET(Camp_List[Status],MATCH(Data_NFI_t[[#This Row],[Camp Name]],Camp_List[Camp Name],0)-1,0,1,1),"")</f>
        <v/>
      </c>
      <c r="AT505" s="105"/>
    </row>
    <row r="506" spans="1:46" s="78" customFormat="1" ht="19.5" customHeight="1" x14ac:dyDescent="0.25">
      <c r="A506" s="208">
        <f t="shared" si="7"/>
        <v>69.7</v>
      </c>
      <c r="B506" s="208">
        <f>YEAR(Data_NFI_t[[#This Row],[Distribution Date]])</f>
        <v>2012</v>
      </c>
      <c r="C506" s="744">
        <v>41099</v>
      </c>
      <c r="D506" s="402" t="s">
        <v>270</v>
      </c>
      <c r="E506" s="401"/>
      <c r="F506" s="402" t="s">
        <v>7</v>
      </c>
      <c r="G506" s="670" t="s">
        <v>17</v>
      </c>
      <c r="H506" s="670" t="s">
        <v>252</v>
      </c>
      <c r="I506" s="670"/>
      <c r="J506" s="670"/>
      <c r="K506" s="670"/>
      <c r="L506" s="42"/>
      <c r="M506" s="42"/>
      <c r="N506" s="42"/>
      <c r="O506" s="42">
        <v>3</v>
      </c>
      <c r="P506" s="42"/>
      <c r="Q506" s="42"/>
      <c r="R506" s="42"/>
      <c r="S506" s="42"/>
      <c r="T506" s="419"/>
      <c r="U506" s="42"/>
      <c r="V506" s="42"/>
      <c r="W506" s="42"/>
      <c r="X506" s="42"/>
      <c r="Y506" s="42"/>
      <c r="Z506" s="42"/>
      <c r="AA506" s="42"/>
      <c r="AB506" s="42"/>
      <c r="AC506" s="105">
        <f>IF(NFI_Expiration=1,IF($A506&lt;VLOOKUP(I$5,NFI,5,0),1,0)*Data_NFI_t[[#This Row],[Hygiene Kit]],0)</f>
        <v>0</v>
      </c>
      <c r="AD506" s="105">
        <f>IF(NFI_Expiration=1,IF($A506&lt;VLOOKUP(L$5,NFI,5,0),1,0)*Data_NFI_t[[#This Row],[NFI Core Kit]],0)</f>
        <v>0</v>
      </c>
      <c r="AE506" s="86">
        <f>IF(NFI_Expiration=1,IF($A506&lt;VLOOKUP(M$5,NFI,5,0),1,0)*Data_NFI_t[[#This Row],[Sanitary Kit]],0)</f>
        <v>0</v>
      </c>
      <c r="AF506" s="86">
        <f>IF(NFI_Expiration=1,IF($A506&lt;VLOOKUP(N$5,NFI,5,0),1,0)*Data_NFI_t[[#This Row],[Mosquito net]],0)</f>
        <v>0</v>
      </c>
      <c r="AG506" s="86">
        <f>IF(NFI_Expiration=1,IF($A506&lt;VLOOKUP(O$5,NFI,5,0),1,0)*Data_NFI_t[[#This Row],[Tarpaulin]],0)</f>
        <v>0</v>
      </c>
      <c r="AH506" s="86">
        <f>IF(NFI_Expiration=1,IF($A506&lt;VLOOKUP(P$5,NFI,5,0),1,0)*Data_NFI_t[[#This Row],[Blanket]],0)</f>
        <v>0</v>
      </c>
      <c r="AI506" s="86">
        <f>IF(NFI_Expiration=1,IF($A506&lt;VLOOKUP(Q$5,NFI,5,0),1,0)*Data_NFI_t[[#This Row],[Kitchen Set]],0)</f>
        <v>0</v>
      </c>
      <c r="AJ506" s="86">
        <f>IF(NFI_Expiration=1,IF($A506&lt;VLOOKUP(R$5,NFI,5,0),1,0)*Data_NFI_t[[#This Row],[Complementary Kit]],0)</f>
        <v>0</v>
      </c>
      <c r="AK506" s="86">
        <f>IF(NFI_Expiration=1,IF($A506&lt;VLOOKUP(S$5,NFI,5,0),1,0)*Data_NFI_t[[#This Row],[Plastic Bucket]],0)</f>
        <v>0</v>
      </c>
      <c r="AL506" s="86">
        <f>IF(NFI_Expiration=1,IF($A506&lt;VLOOKUP(T$5,NFI,5,0),1,0)*Data_NFI_t[[#This Row],[Jerry Can]],0)</f>
        <v>0</v>
      </c>
      <c r="AM506" s="105">
        <f>IF(NFI_Expiration=1,IF($A506&lt;VLOOKUP(U$5,NFI,5,0),1,0)*Data_NFI_t[[#This Row],[Plastic Mat]],0)*IF(Data_NFI_t[[#This Row],[Distribution Date]]&gt;"01-06-2015",1,2.5)</f>
        <v>0</v>
      </c>
      <c r="AN506" s="734">
        <f>IF(NFI_Expiration=1,IF($A506&lt;VLOOKUP(V$5,NFI,5,0),1,0)*Data_NFI_t[[#This Row],[Adult Clothes]],0)</f>
        <v>0</v>
      </c>
      <c r="AO506" s="105">
        <f>IF(NFI_Expiration=1,IF($A506&lt;VLOOKUP(W$5,NFI,5,0),1,0)*Data_NFI_t[[#This Row],[Children Clothes]],0)</f>
        <v>0</v>
      </c>
      <c r="AP506" s="105">
        <f>IF(NFI_Expiration=1,IF($A506&lt;VLOOKUP(X$5,NFI,5,0),1,0)*Data_NFI_t[[#This Row],[Sewing Kit]],0)</f>
        <v>0</v>
      </c>
      <c r="AQ506" s="734">
        <f>IF(NFI_Expiration=1,IF($A506&lt;VLOOKUP(X$5,NFI,5,0),1,0)*Data_NFI_t[[#This Row],[Solar Lantern]],0)</f>
        <v>0</v>
      </c>
      <c r="AR506" s="105" t="str">
        <f ca="1">IFERROR(OFFSET(Camp_List[P_Code],MATCH(Data_NFI_t[[#This Row],[Camp Name]],Camp_List[Camp Name],0)-1,0,1,1),"")</f>
        <v/>
      </c>
      <c r="AS506" s="421" t="str">
        <f ca="1">IFERROR(OFFSET(Camp_List[Status],MATCH(Data_NFI_t[[#This Row],[Camp Name]],Camp_List[Camp Name],0)-1,0,1,1),"")</f>
        <v/>
      </c>
      <c r="AT506" s="105"/>
    </row>
    <row r="507" spans="1:46" s="78" customFormat="1" ht="19.5" customHeight="1" x14ac:dyDescent="0.25">
      <c r="A507" s="208">
        <f t="shared" si="7"/>
        <v>69.7</v>
      </c>
      <c r="B507" s="208">
        <f>YEAR(Data_NFI_t[[#This Row],[Distribution Date]])</f>
        <v>2012</v>
      </c>
      <c r="C507" s="744">
        <v>41099</v>
      </c>
      <c r="D507" s="402" t="s">
        <v>270</v>
      </c>
      <c r="E507" s="401"/>
      <c r="F507" s="402" t="s">
        <v>7</v>
      </c>
      <c r="G507" s="670" t="s">
        <v>17</v>
      </c>
      <c r="H507" s="670" t="s">
        <v>86</v>
      </c>
      <c r="I507" s="670"/>
      <c r="J507" s="670"/>
      <c r="K507" s="670"/>
      <c r="L507" s="42"/>
      <c r="M507" s="42"/>
      <c r="N507" s="42"/>
      <c r="O507" s="42">
        <v>27</v>
      </c>
      <c r="P507" s="42"/>
      <c r="Q507" s="42"/>
      <c r="R507" s="42"/>
      <c r="S507" s="42"/>
      <c r="T507" s="419"/>
      <c r="U507" s="42"/>
      <c r="V507" s="42"/>
      <c r="W507" s="42"/>
      <c r="X507" s="42"/>
      <c r="Y507" s="42"/>
      <c r="Z507" s="42"/>
      <c r="AA507" s="42"/>
      <c r="AB507" s="42"/>
      <c r="AC507" s="105">
        <f>IF(NFI_Expiration=1,IF($A507&lt;VLOOKUP(I$5,NFI,5,0),1,0)*Data_NFI_t[[#This Row],[Hygiene Kit]],0)</f>
        <v>0</v>
      </c>
      <c r="AD507" s="105">
        <f>IF(NFI_Expiration=1,IF($A507&lt;VLOOKUP(L$5,NFI,5,0),1,0)*Data_NFI_t[[#This Row],[NFI Core Kit]],0)</f>
        <v>0</v>
      </c>
      <c r="AE507" s="86">
        <f>IF(NFI_Expiration=1,IF($A507&lt;VLOOKUP(M$5,NFI,5,0),1,0)*Data_NFI_t[[#This Row],[Sanitary Kit]],0)</f>
        <v>0</v>
      </c>
      <c r="AF507" s="86">
        <f>IF(NFI_Expiration=1,IF($A507&lt;VLOOKUP(N$5,NFI,5,0),1,0)*Data_NFI_t[[#This Row],[Mosquito net]],0)</f>
        <v>0</v>
      </c>
      <c r="AG507" s="86">
        <f>IF(NFI_Expiration=1,IF($A507&lt;VLOOKUP(O$5,NFI,5,0),1,0)*Data_NFI_t[[#This Row],[Tarpaulin]],0)</f>
        <v>0</v>
      </c>
      <c r="AH507" s="86">
        <f>IF(NFI_Expiration=1,IF($A507&lt;VLOOKUP(P$5,NFI,5,0),1,0)*Data_NFI_t[[#This Row],[Blanket]],0)</f>
        <v>0</v>
      </c>
      <c r="AI507" s="86">
        <f>IF(NFI_Expiration=1,IF($A507&lt;VLOOKUP(Q$5,NFI,5,0),1,0)*Data_NFI_t[[#This Row],[Kitchen Set]],0)</f>
        <v>0</v>
      </c>
      <c r="AJ507" s="86">
        <f>IF(NFI_Expiration=1,IF($A507&lt;VLOOKUP(R$5,NFI,5,0),1,0)*Data_NFI_t[[#This Row],[Complementary Kit]],0)</f>
        <v>0</v>
      </c>
      <c r="AK507" s="86">
        <f>IF(NFI_Expiration=1,IF($A507&lt;VLOOKUP(S$5,NFI,5,0),1,0)*Data_NFI_t[[#This Row],[Plastic Bucket]],0)</f>
        <v>0</v>
      </c>
      <c r="AL507" s="86">
        <f>IF(NFI_Expiration=1,IF($A507&lt;VLOOKUP(T$5,NFI,5,0),1,0)*Data_NFI_t[[#This Row],[Jerry Can]],0)</f>
        <v>0</v>
      </c>
      <c r="AM507" s="105">
        <f>IF(NFI_Expiration=1,IF($A507&lt;VLOOKUP(U$5,NFI,5,0),1,0)*Data_NFI_t[[#This Row],[Plastic Mat]],0)*IF(Data_NFI_t[[#This Row],[Distribution Date]]&gt;"01-06-2015",1,2.5)</f>
        <v>0</v>
      </c>
      <c r="AN507" s="734">
        <f>IF(NFI_Expiration=1,IF($A507&lt;VLOOKUP(V$5,NFI,5,0),1,0)*Data_NFI_t[[#This Row],[Adult Clothes]],0)</f>
        <v>0</v>
      </c>
      <c r="AO507" s="105">
        <f>IF(NFI_Expiration=1,IF($A507&lt;VLOOKUP(W$5,NFI,5,0),1,0)*Data_NFI_t[[#This Row],[Children Clothes]],0)</f>
        <v>0</v>
      </c>
      <c r="AP507" s="105">
        <f>IF(NFI_Expiration=1,IF($A507&lt;VLOOKUP(X$5,NFI,5,0),1,0)*Data_NFI_t[[#This Row],[Sewing Kit]],0)</f>
        <v>0</v>
      </c>
      <c r="AQ507" s="734">
        <f>IF(NFI_Expiration=1,IF($A507&lt;VLOOKUP(X$5,NFI,5,0),1,0)*Data_NFI_t[[#This Row],[Solar Lantern]],0)</f>
        <v>0</v>
      </c>
      <c r="AR507" s="105" t="str">
        <f ca="1">IFERROR(OFFSET(Camp_List[P_Code],MATCH(Data_NFI_t[[#This Row],[Camp Name]],Camp_List[Camp Name],0)-1,0,1,1),"")</f>
        <v>MMR012CMP067</v>
      </c>
      <c r="AS507" s="421" t="str">
        <f ca="1">IFERROR(OFFSET(Camp_List[Status],MATCH(Data_NFI_t[[#This Row],[Camp Name]],Camp_List[Camp Name],0)-1,0,1,1),"")</f>
        <v>Close</v>
      </c>
      <c r="AT507" s="105"/>
    </row>
    <row r="508" spans="1:46" s="78" customFormat="1" ht="19.5" customHeight="1" x14ac:dyDescent="0.25">
      <c r="A508" s="208">
        <f t="shared" si="7"/>
        <v>69.7</v>
      </c>
      <c r="B508" s="208">
        <f>YEAR(Data_NFI_t[[#This Row],[Distribution Date]])</f>
        <v>2012</v>
      </c>
      <c r="C508" s="744">
        <v>41099</v>
      </c>
      <c r="D508" s="402" t="s">
        <v>270</v>
      </c>
      <c r="E508" s="401"/>
      <c r="F508" s="402" t="s">
        <v>7</v>
      </c>
      <c r="G508" s="670" t="s">
        <v>17</v>
      </c>
      <c r="H508" s="670" t="s">
        <v>251</v>
      </c>
      <c r="I508" s="670"/>
      <c r="J508" s="670"/>
      <c r="K508" s="670"/>
      <c r="L508" s="42"/>
      <c r="M508" s="42"/>
      <c r="N508" s="42"/>
      <c r="O508" s="42">
        <v>19</v>
      </c>
      <c r="P508" s="42"/>
      <c r="Q508" s="42"/>
      <c r="R508" s="42"/>
      <c r="S508" s="42"/>
      <c r="T508" s="419"/>
      <c r="U508" s="42"/>
      <c r="V508" s="42"/>
      <c r="W508" s="42"/>
      <c r="X508" s="42"/>
      <c r="Y508" s="42"/>
      <c r="Z508" s="42"/>
      <c r="AA508" s="42"/>
      <c r="AB508" s="42"/>
      <c r="AC508" s="105">
        <f>IF(NFI_Expiration=1,IF($A508&lt;VLOOKUP(I$5,NFI,5,0),1,0)*Data_NFI_t[[#This Row],[Hygiene Kit]],0)</f>
        <v>0</v>
      </c>
      <c r="AD508" s="105">
        <f>IF(NFI_Expiration=1,IF($A508&lt;VLOOKUP(L$5,NFI,5,0),1,0)*Data_NFI_t[[#This Row],[NFI Core Kit]],0)</f>
        <v>0</v>
      </c>
      <c r="AE508" s="86">
        <f>IF(NFI_Expiration=1,IF($A508&lt;VLOOKUP(M$5,NFI,5,0),1,0)*Data_NFI_t[[#This Row],[Sanitary Kit]],0)</f>
        <v>0</v>
      </c>
      <c r="AF508" s="86">
        <f>IF(NFI_Expiration=1,IF($A508&lt;VLOOKUP(N$5,NFI,5,0),1,0)*Data_NFI_t[[#This Row],[Mosquito net]],0)</f>
        <v>0</v>
      </c>
      <c r="AG508" s="86">
        <f>IF(NFI_Expiration=1,IF($A508&lt;VLOOKUP(O$5,NFI,5,0),1,0)*Data_NFI_t[[#This Row],[Tarpaulin]],0)</f>
        <v>0</v>
      </c>
      <c r="AH508" s="86">
        <f>IF(NFI_Expiration=1,IF($A508&lt;VLOOKUP(P$5,NFI,5,0),1,0)*Data_NFI_t[[#This Row],[Blanket]],0)</f>
        <v>0</v>
      </c>
      <c r="AI508" s="86">
        <f>IF(NFI_Expiration=1,IF($A508&lt;VLOOKUP(Q$5,NFI,5,0),1,0)*Data_NFI_t[[#This Row],[Kitchen Set]],0)</f>
        <v>0</v>
      </c>
      <c r="AJ508" s="86">
        <f>IF(NFI_Expiration=1,IF($A508&lt;VLOOKUP(R$5,NFI,5,0),1,0)*Data_NFI_t[[#This Row],[Complementary Kit]],0)</f>
        <v>0</v>
      </c>
      <c r="AK508" s="86">
        <f>IF(NFI_Expiration=1,IF($A508&lt;VLOOKUP(S$5,NFI,5,0),1,0)*Data_NFI_t[[#This Row],[Plastic Bucket]],0)</f>
        <v>0</v>
      </c>
      <c r="AL508" s="86">
        <f>IF(NFI_Expiration=1,IF($A508&lt;VLOOKUP(T$5,NFI,5,0),1,0)*Data_NFI_t[[#This Row],[Jerry Can]],0)</f>
        <v>0</v>
      </c>
      <c r="AM508" s="105">
        <f>IF(NFI_Expiration=1,IF($A508&lt;VLOOKUP(U$5,NFI,5,0),1,0)*Data_NFI_t[[#This Row],[Plastic Mat]],0)*IF(Data_NFI_t[[#This Row],[Distribution Date]]&gt;"01-06-2015",1,2.5)</f>
        <v>0</v>
      </c>
      <c r="AN508" s="734">
        <f>IF(NFI_Expiration=1,IF($A508&lt;VLOOKUP(V$5,NFI,5,0),1,0)*Data_NFI_t[[#This Row],[Adult Clothes]],0)</f>
        <v>0</v>
      </c>
      <c r="AO508" s="105">
        <f>IF(NFI_Expiration=1,IF($A508&lt;VLOOKUP(W$5,NFI,5,0),1,0)*Data_NFI_t[[#This Row],[Children Clothes]],0)</f>
        <v>0</v>
      </c>
      <c r="AP508" s="105">
        <f>IF(NFI_Expiration=1,IF($A508&lt;VLOOKUP(X$5,NFI,5,0),1,0)*Data_NFI_t[[#This Row],[Sewing Kit]],0)</f>
        <v>0</v>
      </c>
      <c r="AQ508" s="734">
        <f>IF(NFI_Expiration=1,IF($A508&lt;VLOOKUP(X$5,NFI,5,0),1,0)*Data_NFI_t[[#This Row],[Solar Lantern]],0)</f>
        <v>0</v>
      </c>
      <c r="AR508" s="105" t="str">
        <f ca="1">IFERROR(OFFSET(Camp_List[P_Code],MATCH(Data_NFI_t[[#This Row],[Camp Name]],Camp_List[Camp Name],0)-1,0,1,1),"")</f>
        <v/>
      </c>
      <c r="AS508" s="421" t="str">
        <f ca="1">IFERROR(OFFSET(Camp_List[Status],MATCH(Data_NFI_t[[#This Row],[Camp Name]],Camp_List[Camp Name],0)-1,0,1,1),"")</f>
        <v/>
      </c>
      <c r="AT508" s="105"/>
    </row>
    <row r="509" spans="1:46" s="78" customFormat="1" ht="19.5" customHeight="1" x14ac:dyDescent="0.25">
      <c r="A509" s="208">
        <f t="shared" si="7"/>
        <v>69.766666666666666</v>
      </c>
      <c r="B509" s="208">
        <f>YEAR(Data_NFI_t[[#This Row],[Distribution Date]])</f>
        <v>2012</v>
      </c>
      <c r="C509" s="744">
        <v>41097</v>
      </c>
      <c r="D509" s="402" t="s">
        <v>270</v>
      </c>
      <c r="E509" s="401"/>
      <c r="F509" s="402" t="s">
        <v>7</v>
      </c>
      <c r="G509" s="670" t="s">
        <v>17</v>
      </c>
      <c r="H509" s="670" t="s">
        <v>244</v>
      </c>
      <c r="I509" s="670"/>
      <c r="J509" s="670"/>
      <c r="K509" s="670"/>
      <c r="L509" s="42"/>
      <c r="M509" s="42"/>
      <c r="N509" s="42"/>
      <c r="O509" s="42">
        <v>33</v>
      </c>
      <c r="P509" s="42"/>
      <c r="Q509" s="42"/>
      <c r="R509" s="42"/>
      <c r="S509" s="42"/>
      <c r="T509" s="419"/>
      <c r="U509" s="42"/>
      <c r="V509" s="42"/>
      <c r="W509" s="42"/>
      <c r="X509" s="42"/>
      <c r="Y509" s="42"/>
      <c r="Z509" s="42"/>
      <c r="AA509" s="42"/>
      <c r="AB509" s="42"/>
      <c r="AC509" s="105">
        <f>IF(NFI_Expiration=1,IF($A509&lt;VLOOKUP(I$5,NFI,5,0),1,0)*Data_NFI_t[[#This Row],[Hygiene Kit]],0)</f>
        <v>0</v>
      </c>
      <c r="AD509" s="105">
        <f>IF(NFI_Expiration=1,IF($A509&lt;VLOOKUP(L$5,NFI,5,0),1,0)*Data_NFI_t[[#This Row],[NFI Core Kit]],0)</f>
        <v>0</v>
      </c>
      <c r="AE509" s="86">
        <f>IF(NFI_Expiration=1,IF($A509&lt;VLOOKUP(M$5,NFI,5,0),1,0)*Data_NFI_t[[#This Row],[Sanitary Kit]],0)</f>
        <v>0</v>
      </c>
      <c r="AF509" s="86">
        <f>IF(NFI_Expiration=1,IF($A509&lt;VLOOKUP(N$5,NFI,5,0),1,0)*Data_NFI_t[[#This Row],[Mosquito net]],0)</f>
        <v>0</v>
      </c>
      <c r="AG509" s="86">
        <f>IF(NFI_Expiration=1,IF($A509&lt;VLOOKUP(O$5,NFI,5,0),1,0)*Data_NFI_t[[#This Row],[Tarpaulin]],0)</f>
        <v>0</v>
      </c>
      <c r="AH509" s="86">
        <f>IF(NFI_Expiration=1,IF($A509&lt;VLOOKUP(P$5,NFI,5,0),1,0)*Data_NFI_t[[#This Row],[Blanket]],0)</f>
        <v>0</v>
      </c>
      <c r="AI509" s="86">
        <f>IF(NFI_Expiration=1,IF($A509&lt;VLOOKUP(Q$5,NFI,5,0),1,0)*Data_NFI_t[[#This Row],[Kitchen Set]],0)</f>
        <v>0</v>
      </c>
      <c r="AJ509" s="86">
        <f>IF(NFI_Expiration=1,IF($A509&lt;VLOOKUP(R$5,NFI,5,0),1,0)*Data_NFI_t[[#This Row],[Complementary Kit]],0)</f>
        <v>0</v>
      </c>
      <c r="AK509" s="86">
        <f>IF(NFI_Expiration=1,IF($A509&lt;VLOOKUP(S$5,NFI,5,0),1,0)*Data_NFI_t[[#This Row],[Plastic Bucket]],0)</f>
        <v>0</v>
      </c>
      <c r="AL509" s="86">
        <f>IF(NFI_Expiration=1,IF($A509&lt;VLOOKUP(T$5,NFI,5,0),1,0)*Data_NFI_t[[#This Row],[Jerry Can]],0)</f>
        <v>0</v>
      </c>
      <c r="AM509" s="105">
        <f>IF(NFI_Expiration=1,IF($A509&lt;VLOOKUP(U$5,NFI,5,0),1,0)*Data_NFI_t[[#This Row],[Plastic Mat]],0)*IF(Data_NFI_t[[#This Row],[Distribution Date]]&gt;"01-06-2015",1,2.5)</f>
        <v>0</v>
      </c>
      <c r="AN509" s="734">
        <f>IF(NFI_Expiration=1,IF($A509&lt;VLOOKUP(V$5,NFI,5,0),1,0)*Data_NFI_t[[#This Row],[Adult Clothes]],0)</f>
        <v>0</v>
      </c>
      <c r="AO509" s="105">
        <f>IF(NFI_Expiration=1,IF($A509&lt;VLOOKUP(W$5,NFI,5,0),1,0)*Data_NFI_t[[#This Row],[Children Clothes]],0)</f>
        <v>0</v>
      </c>
      <c r="AP509" s="105">
        <f>IF(NFI_Expiration=1,IF($A509&lt;VLOOKUP(X$5,NFI,5,0),1,0)*Data_NFI_t[[#This Row],[Sewing Kit]],0)</f>
        <v>0</v>
      </c>
      <c r="AQ509" s="734">
        <f>IF(NFI_Expiration=1,IF($A509&lt;VLOOKUP(X$5,NFI,5,0),1,0)*Data_NFI_t[[#This Row],[Solar Lantern]],0)</f>
        <v>0</v>
      </c>
      <c r="AR509" s="105" t="str">
        <f ca="1">IFERROR(OFFSET(Camp_List[P_Code],MATCH(Data_NFI_t[[#This Row],[Camp Name]],Camp_List[Camp Name],0)-1,0,1,1),"")</f>
        <v/>
      </c>
      <c r="AS509" s="421" t="str">
        <f ca="1">IFERROR(OFFSET(Camp_List[Status],MATCH(Data_NFI_t[[#This Row],[Camp Name]],Camp_List[Camp Name],0)-1,0,1,1),"")</f>
        <v/>
      </c>
      <c r="AT509" s="105"/>
    </row>
    <row r="510" spans="1:46" s="78" customFormat="1" ht="19.5" customHeight="1" x14ac:dyDescent="0.25">
      <c r="A510" s="208">
        <f t="shared" si="7"/>
        <v>69.766666666666666</v>
      </c>
      <c r="B510" s="208">
        <f>YEAR(Data_NFI_t[[#This Row],[Distribution Date]])</f>
        <v>2012</v>
      </c>
      <c r="C510" s="744">
        <v>41097</v>
      </c>
      <c r="D510" s="402" t="s">
        <v>270</v>
      </c>
      <c r="E510" s="401"/>
      <c r="F510" s="402" t="s">
        <v>7</v>
      </c>
      <c r="G510" s="670" t="s">
        <v>17</v>
      </c>
      <c r="H510" s="670" t="s">
        <v>81</v>
      </c>
      <c r="I510" s="670"/>
      <c r="J510" s="670"/>
      <c r="K510" s="670"/>
      <c r="L510" s="42"/>
      <c r="M510" s="42"/>
      <c r="N510" s="42"/>
      <c r="O510" s="42">
        <v>9</v>
      </c>
      <c r="P510" s="42"/>
      <c r="Q510" s="42"/>
      <c r="R510" s="42"/>
      <c r="S510" s="42"/>
      <c r="T510" s="419"/>
      <c r="U510" s="42"/>
      <c r="V510" s="42"/>
      <c r="W510" s="42"/>
      <c r="X510" s="42"/>
      <c r="Y510" s="42"/>
      <c r="Z510" s="42"/>
      <c r="AA510" s="42"/>
      <c r="AB510" s="42"/>
      <c r="AC510" s="105">
        <f>IF(NFI_Expiration=1,IF($A510&lt;VLOOKUP(I$5,NFI,5,0),1,0)*Data_NFI_t[[#This Row],[Hygiene Kit]],0)</f>
        <v>0</v>
      </c>
      <c r="AD510" s="105">
        <f>IF(NFI_Expiration=1,IF($A510&lt;VLOOKUP(L$5,NFI,5,0),1,0)*Data_NFI_t[[#This Row],[NFI Core Kit]],0)</f>
        <v>0</v>
      </c>
      <c r="AE510" s="86">
        <f>IF(NFI_Expiration=1,IF($A510&lt;VLOOKUP(M$5,NFI,5,0),1,0)*Data_NFI_t[[#This Row],[Sanitary Kit]],0)</f>
        <v>0</v>
      </c>
      <c r="AF510" s="86">
        <f>IF(NFI_Expiration=1,IF($A510&lt;VLOOKUP(N$5,NFI,5,0),1,0)*Data_NFI_t[[#This Row],[Mosquito net]],0)</f>
        <v>0</v>
      </c>
      <c r="AG510" s="86">
        <f>IF(NFI_Expiration=1,IF($A510&lt;VLOOKUP(O$5,NFI,5,0),1,0)*Data_NFI_t[[#This Row],[Tarpaulin]],0)</f>
        <v>0</v>
      </c>
      <c r="AH510" s="86">
        <f>IF(NFI_Expiration=1,IF($A510&lt;VLOOKUP(P$5,NFI,5,0),1,0)*Data_NFI_t[[#This Row],[Blanket]],0)</f>
        <v>0</v>
      </c>
      <c r="AI510" s="86">
        <f>IF(NFI_Expiration=1,IF($A510&lt;VLOOKUP(Q$5,NFI,5,0),1,0)*Data_NFI_t[[#This Row],[Kitchen Set]],0)</f>
        <v>0</v>
      </c>
      <c r="AJ510" s="86">
        <f>IF(NFI_Expiration=1,IF($A510&lt;VLOOKUP(R$5,NFI,5,0),1,0)*Data_NFI_t[[#This Row],[Complementary Kit]],0)</f>
        <v>0</v>
      </c>
      <c r="AK510" s="86">
        <f>IF(NFI_Expiration=1,IF($A510&lt;VLOOKUP(S$5,NFI,5,0),1,0)*Data_NFI_t[[#This Row],[Plastic Bucket]],0)</f>
        <v>0</v>
      </c>
      <c r="AL510" s="86">
        <f>IF(NFI_Expiration=1,IF($A510&lt;VLOOKUP(T$5,NFI,5,0),1,0)*Data_NFI_t[[#This Row],[Jerry Can]],0)</f>
        <v>0</v>
      </c>
      <c r="AM510" s="105">
        <f>IF(NFI_Expiration=1,IF($A510&lt;VLOOKUP(U$5,NFI,5,0),1,0)*Data_NFI_t[[#This Row],[Plastic Mat]],0)*IF(Data_NFI_t[[#This Row],[Distribution Date]]&gt;"01-06-2015",1,2.5)</f>
        <v>0</v>
      </c>
      <c r="AN510" s="734">
        <f>IF(NFI_Expiration=1,IF($A510&lt;VLOOKUP(V$5,NFI,5,0),1,0)*Data_NFI_t[[#This Row],[Adult Clothes]],0)</f>
        <v>0</v>
      </c>
      <c r="AO510" s="105">
        <f>IF(NFI_Expiration=1,IF($A510&lt;VLOOKUP(W$5,NFI,5,0),1,0)*Data_NFI_t[[#This Row],[Children Clothes]],0)</f>
        <v>0</v>
      </c>
      <c r="AP510" s="105">
        <f>IF(NFI_Expiration=1,IF($A510&lt;VLOOKUP(X$5,NFI,5,0),1,0)*Data_NFI_t[[#This Row],[Sewing Kit]],0)</f>
        <v>0</v>
      </c>
      <c r="AQ510" s="734">
        <f>IF(NFI_Expiration=1,IF($A510&lt;VLOOKUP(X$5,NFI,5,0),1,0)*Data_NFI_t[[#This Row],[Solar Lantern]],0)</f>
        <v>0</v>
      </c>
      <c r="AR510" s="105" t="str">
        <f ca="1">IFERROR(OFFSET(Camp_List[P_Code],MATCH(Data_NFI_t[[#This Row],[Camp Name]],Camp_List[Camp Name],0)-1,0,1,1),"")</f>
        <v>MMR012CMP062</v>
      </c>
      <c r="AS510" s="421" t="str">
        <f ca="1">IFERROR(OFFSET(Camp_List[Status],MATCH(Data_NFI_t[[#This Row],[Camp Name]],Camp_List[Camp Name],0)-1,0,1,1),"")</f>
        <v>Close</v>
      </c>
      <c r="AT510" s="105"/>
    </row>
    <row r="511" spans="1:46" s="78" customFormat="1" ht="19.5" customHeight="1" x14ac:dyDescent="0.25">
      <c r="A511" s="208">
        <f t="shared" si="7"/>
        <v>69.766666666666666</v>
      </c>
      <c r="B511" s="208">
        <f>YEAR(Data_NFI_t[[#This Row],[Distribution Date]])</f>
        <v>2012</v>
      </c>
      <c r="C511" s="744">
        <v>41097</v>
      </c>
      <c r="D511" s="402" t="s">
        <v>270</v>
      </c>
      <c r="E511" s="401"/>
      <c r="F511" s="402" t="s">
        <v>7</v>
      </c>
      <c r="G511" s="670" t="s">
        <v>17</v>
      </c>
      <c r="H511" s="670" t="s">
        <v>84</v>
      </c>
      <c r="I511" s="670"/>
      <c r="J511" s="670"/>
      <c r="K511" s="670"/>
      <c r="L511" s="42"/>
      <c r="M511" s="42"/>
      <c r="N511" s="42"/>
      <c r="O511" s="42">
        <v>201</v>
      </c>
      <c r="P511" s="42"/>
      <c r="Q511" s="42"/>
      <c r="R511" s="42"/>
      <c r="S511" s="42"/>
      <c r="T511" s="419"/>
      <c r="U511" s="42"/>
      <c r="V511" s="42"/>
      <c r="W511" s="42"/>
      <c r="X511" s="42"/>
      <c r="Y511" s="42"/>
      <c r="Z511" s="42"/>
      <c r="AA511" s="42"/>
      <c r="AB511" s="42"/>
      <c r="AC511" s="105">
        <f>IF(NFI_Expiration=1,IF($A511&lt;VLOOKUP(I$5,NFI,5,0),1,0)*Data_NFI_t[[#This Row],[Hygiene Kit]],0)</f>
        <v>0</v>
      </c>
      <c r="AD511" s="105">
        <f>IF(NFI_Expiration=1,IF($A511&lt;VLOOKUP(L$5,NFI,5,0),1,0)*Data_NFI_t[[#This Row],[NFI Core Kit]],0)</f>
        <v>0</v>
      </c>
      <c r="AE511" s="86">
        <f>IF(NFI_Expiration=1,IF($A511&lt;VLOOKUP(M$5,NFI,5,0),1,0)*Data_NFI_t[[#This Row],[Sanitary Kit]],0)</f>
        <v>0</v>
      </c>
      <c r="AF511" s="86">
        <f>IF(NFI_Expiration=1,IF($A511&lt;VLOOKUP(N$5,NFI,5,0),1,0)*Data_NFI_t[[#This Row],[Mosquito net]],0)</f>
        <v>0</v>
      </c>
      <c r="AG511" s="86">
        <f>IF(NFI_Expiration=1,IF($A511&lt;VLOOKUP(O$5,NFI,5,0),1,0)*Data_NFI_t[[#This Row],[Tarpaulin]],0)</f>
        <v>0</v>
      </c>
      <c r="AH511" s="86">
        <f>IF(NFI_Expiration=1,IF($A511&lt;VLOOKUP(P$5,NFI,5,0),1,0)*Data_NFI_t[[#This Row],[Blanket]],0)</f>
        <v>0</v>
      </c>
      <c r="AI511" s="86">
        <f>IF(NFI_Expiration=1,IF($A511&lt;VLOOKUP(Q$5,NFI,5,0),1,0)*Data_NFI_t[[#This Row],[Kitchen Set]],0)</f>
        <v>0</v>
      </c>
      <c r="AJ511" s="86">
        <f>IF(NFI_Expiration=1,IF($A511&lt;VLOOKUP(R$5,NFI,5,0),1,0)*Data_NFI_t[[#This Row],[Complementary Kit]],0)</f>
        <v>0</v>
      </c>
      <c r="AK511" s="86">
        <f>IF(NFI_Expiration=1,IF($A511&lt;VLOOKUP(S$5,NFI,5,0),1,0)*Data_NFI_t[[#This Row],[Plastic Bucket]],0)</f>
        <v>0</v>
      </c>
      <c r="AL511" s="86">
        <f>IF(NFI_Expiration=1,IF($A511&lt;VLOOKUP(T$5,NFI,5,0),1,0)*Data_NFI_t[[#This Row],[Jerry Can]],0)</f>
        <v>0</v>
      </c>
      <c r="AM511" s="105">
        <f>IF(NFI_Expiration=1,IF($A511&lt;VLOOKUP(U$5,NFI,5,0),1,0)*Data_NFI_t[[#This Row],[Plastic Mat]],0)*IF(Data_NFI_t[[#This Row],[Distribution Date]]&gt;"01-06-2015",1,2.5)</f>
        <v>0</v>
      </c>
      <c r="AN511" s="734">
        <f>IF(NFI_Expiration=1,IF($A511&lt;VLOOKUP(V$5,NFI,5,0),1,0)*Data_NFI_t[[#This Row],[Adult Clothes]],0)</f>
        <v>0</v>
      </c>
      <c r="AO511" s="105">
        <f>IF(NFI_Expiration=1,IF($A511&lt;VLOOKUP(W$5,NFI,5,0),1,0)*Data_NFI_t[[#This Row],[Children Clothes]],0)</f>
        <v>0</v>
      </c>
      <c r="AP511" s="105">
        <f>IF(NFI_Expiration=1,IF($A511&lt;VLOOKUP(X$5,NFI,5,0),1,0)*Data_NFI_t[[#This Row],[Sewing Kit]],0)</f>
        <v>0</v>
      </c>
      <c r="AQ511" s="734">
        <f>IF(NFI_Expiration=1,IF($A511&lt;VLOOKUP(X$5,NFI,5,0),1,0)*Data_NFI_t[[#This Row],[Solar Lantern]],0)</f>
        <v>0</v>
      </c>
      <c r="AR511" s="105" t="str">
        <f ca="1">IFERROR(OFFSET(Camp_List[P_Code],MATCH(Data_NFI_t[[#This Row],[Camp Name]],Camp_List[Camp Name],0)-1,0,1,1),"")</f>
        <v>MMR012CMP065</v>
      </c>
      <c r="AS511" s="421" t="str">
        <f ca="1">IFERROR(OFFSET(Camp_List[Status],MATCH(Data_NFI_t[[#This Row],[Camp Name]],Camp_List[Camp Name],0)-1,0,1,1),"")</f>
        <v>Close</v>
      </c>
      <c r="AT511" s="105"/>
    </row>
    <row r="512" spans="1:46" s="78" customFormat="1" ht="19.5" customHeight="1" x14ac:dyDescent="0.25">
      <c r="A512" s="208">
        <f t="shared" si="7"/>
        <v>69.766666666666666</v>
      </c>
      <c r="B512" s="208">
        <f>YEAR(Data_NFI_t[[#This Row],[Distribution Date]])</f>
        <v>2012</v>
      </c>
      <c r="C512" s="744">
        <v>41097</v>
      </c>
      <c r="D512" s="402" t="s">
        <v>270</v>
      </c>
      <c r="E512" s="401"/>
      <c r="F512" s="402" t="s">
        <v>7</v>
      </c>
      <c r="G512" s="670" t="s">
        <v>17</v>
      </c>
      <c r="H512" s="670" t="s">
        <v>93</v>
      </c>
      <c r="I512" s="670"/>
      <c r="J512" s="670"/>
      <c r="K512" s="670"/>
      <c r="L512" s="42"/>
      <c r="M512" s="42"/>
      <c r="N512" s="42"/>
      <c r="O512" s="42">
        <v>52</v>
      </c>
      <c r="P512" s="42"/>
      <c r="Q512" s="42"/>
      <c r="R512" s="42"/>
      <c r="S512" s="42"/>
      <c r="T512" s="419"/>
      <c r="U512" s="42"/>
      <c r="V512" s="42"/>
      <c r="W512" s="42"/>
      <c r="X512" s="42"/>
      <c r="Y512" s="42"/>
      <c r="Z512" s="42"/>
      <c r="AA512" s="42"/>
      <c r="AB512" s="42"/>
      <c r="AC512" s="105">
        <f>IF(NFI_Expiration=1,IF($A512&lt;VLOOKUP(I$5,NFI,5,0),1,0)*Data_NFI_t[[#This Row],[Hygiene Kit]],0)</f>
        <v>0</v>
      </c>
      <c r="AD512" s="105">
        <f>IF(NFI_Expiration=1,IF($A512&lt;VLOOKUP(L$5,NFI,5,0),1,0)*Data_NFI_t[[#This Row],[NFI Core Kit]],0)</f>
        <v>0</v>
      </c>
      <c r="AE512" s="86">
        <f>IF(NFI_Expiration=1,IF($A512&lt;VLOOKUP(M$5,NFI,5,0),1,0)*Data_NFI_t[[#This Row],[Sanitary Kit]],0)</f>
        <v>0</v>
      </c>
      <c r="AF512" s="86">
        <f>IF(NFI_Expiration=1,IF($A512&lt;VLOOKUP(N$5,NFI,5,0),1,0)*Data_NFI_t[[#This Row],[Mosquito net]],0)</f>
        <v>0</v>
      </c>
      <c r="AG512" s="86">
        <f>IF(NFI_Expiration=1,IF($A512&lt;VLOOKUP(O$5,NFI,5,0),1,0)*Data_NFI_t[[#This Row],[Tarpaulin]],0)</f>
        <v>0</v>
      </c>
      <c r="AH512" s="86">
        <f>IF(NFI_Expiration=1,IF($A512&lt;VLOOKUP(P$5,NFI,5,0),1,0)*Data_NFI_t[[#This Row],[Blanket]],0)</f>
        <v>0</v>
      </c>
      <c r="AI512" s="86">
        <f>IF(NFI_Expiration=1,IF($A512&lt;VLOOKUP(Q$5,NFI,5,0),1,0)*Data_NFI_t[[#This Row],[Kitchen Set]],0)</f>
        <v>0</v>
      </c>
      <c r="AJ512" s="86">
        <f>IF(NFI_Expiration=1,IF($A512&lt;VLOOKUP(R$5,NFI,5,0),1,0)*Data_NFI_t[[#This Row],[Complementary Kit]],0)</f>
        <v>0</v>
      </c>
      <c r="AK512" s="86">
        <f>IF(NFI_Expiration=1,IF($A512&lt;VLOOKUP(S$5,NFI,5,0),1,0)*Data_NFI_t[[#This Row],[Plastic Bucket]],0)</f>
        <v>0</v>
      </c>
      <c r="AL512" s="86">
        <f>IF(NFI_Expiration=1,IF($A512&lt;VLOOKUP(T$5,NFI,5,0),1,0)*Data_NFI_t[[#This Row],[Jerry Can]],0)</f>
        <v>0</v>
      </c>
      <c r="AM512" s="105">
        <f>IF(NFI_Expiration=1,IF($A512&lt;VLOOKUP(U$5,NFI,5,0),1,0)*Data_NFI_t[[#This Row],[Plastic Mat]],0)*IF(Data_NFI_t[[#This Row],[Distribution Date]]&gt;"01-06-2015",1,2.5)</f>
        <v>0</v>
      </c>
      <c r="AN512" s="734">
        <f>IF(NFI_Expiration=1,IF($A512&lt;VLOOKUP(V$5,NFI,5,0),1,0)*Data_NFI_t[[#This Row],[Adult Clothes]],0)</f>
        <v>0</v>
      </c>
      <c r="AO512" s="105">
        <f>IF(NFI_Expiration=1,IF($A512&lt;VLOOKUP(W$5,NFI,5,0),1,0)*Data_NFI_t[[#This Row],[Children Clothes]],0)</f>
        <v>0</v>
      </c>
      <c r="AP512" s="105">
        <f>IF(NFI_Expiration=1,IF($A512&lt;VLOOKUP(X$5,NFI,5,0),1,0)*Data_NFI_t[[#This Row],[Sewing Kit]],0)</f>
        <v>0</v>
      </c>
      <c r="AQ512" s="734">
        <f>IF(NFI_Expiration=1,IF($A512&lt;VLOOKUP(X$5,NFI,5,0),1,0)*Data_NFI_t[[#This Row],[Solar Lantern]],0)</f>
        <v>0</v>
      </c>
      <c r="AR512" s="105" t="str">
        <f ca="1">IFERROR(OFFSET(Camp_List[P_Code],MATCH(Data_NFI_t[[#This Row],[Camp Name]],Camp_List[Camp Name],0)-1,0,1,1),"")</f>
        <v>MMR012CMP074</v>
      </c>
      <c r="AS512" s="421" t="str">
        <f ca="1">IFERROR(OFFSET(Camp_List[Status],MATCH(Data_NFI_t[[#This Row],[Camp Name]],Camp_List[Camp Name],0)-1,0,1,1),"")</f>
        <v>Close</v>
      </c>
      <c r="AT512" s="105"/>
    </row>
    <row r="513" spans="1:46" s="78" customFormat="1" ht="19.5" customHeight="1" x14ac:dyDescent="0.25">
      <c r="A513" s="208">
        <f t="shared" si="7"/>
        <v>69.833333333333329</v>
      </c>
      <c r="B513" s="208">
        <f>YEAR(Data_NFI_t[[#This Row],[Distribution Date]])</f>
        <v>2012</v>
      </c>
      <c r="C513" s="744">
        <v>41095</v>
      </c>
      <c r="D513" s="402" t="s">
        <v>270</v>
      </c>
      <c r="E513" s="401"/>
      <c r="F513" s="402" t="s">
        <v>7</v>
      </c>
      <c r="G513" s="670" t="s">
        <v>17</v>
      </c>
      <c r="H513" s="670" t="s">
        <v>88</v>
      </c>
      <c r="I513" s="670"/>
      <c r="J513" s="670"/>
      <c r="K513" s="670"/>
      <c r="L513" s="42"/>
      <c r="M513" s="42"/>
      <c r="N513" s="42"/>
      <c r="O513" s="42">
        <v>43</v>
      </c>
      <c r="P513" s="42"/>
      <c r="Q513" s="42"/>
      <c r="R513" s="42"/>
      <c r="S513" s="42"/>
      <c r="T513" s="419"/>
      <c r="U513" s="42"/>
      <c r="V513" s="42"/>
      <c r="W513" s="42"/>
      <c r="X513" s="42"/>
      <c r="Y513" s="42"/>
      <c r="Z513" s="42"/>
      <c r="AA513" s="42"/>
      <c r="AB513" s="42"/>
      <c r="AC513" s="105">
        <f>IF(NFI_Expiration=1,IF($A513&lt;VLOOKUP(I$5,NFI,5,0),1,0)*Data_NFI_t[[#This Row],[Hygiene Kit]],0)</f>
        <v>0</v>
      </c>
      <c r="AD513" s="105">
        <f>IF(NFI_Expiration=1,IF($A513&lt;VLOOKUP(L$5,NFI,5,0),1,0)*Data_NFI_t[[#This Row],[NFI Core Kit]],0)</f>
        <v>0</v>
      </c>
      <c r="AE513" s="86">
        <f>IF(NFI_Expiration=1,IF($A513&lt;VLOOKUP(M$5,NFI,5,0),1,0)*Data_NFI_t[[#This Row],[Sanitary Kit]],0)</f>
        <v>0</v>
      </c>
      <c r="AF513" s="86">
        <f>IF(NFI_Expiration=1,IF($A513&lt;VLOOKUP(N$5,NFI,5,0),1,0)*Data_NFI_t[[#This Row],[Mosquito net]],0)</f>
        <v>0</v>
      </c>
      <c r="AG513" s="86">
        <f>IF(NFI_Expiration=1,IF($A513&lt;VLOOKUP(O$5,NFI,5,0),1,0)*Data_NFI_t[[#This Row],[Tarpaulin]],0)</f>
        <v>0</v>
      </c>
      <c r="AH513" s="86">
        <f>IF(NFI_Expiration=1,IF($A513&lt;VLOOKUP(P$5,NFI,5,0),1,0)*Data_NFI_t[[#This Row],[Blanket]],0)</f>
        <v>0</v>
      </c>
      <c r="AI513" s="86">
        <f>IF(NFI_Expiration=1,IF($A513&lt;VLOOKUP(Q$5,NFI,5,0),1,0)*Data_NFI_t[[#This Row],[Kitchen Set]],0)</f>
        <v>0</v>
      </c>
      <c r="AJ513" s="86">
        <f>IF(NFI_Expiration=1,IF($A513&lt;VLOOKUP(R$5,NFI,5,0),1,0)*Data_NFI_t[[#This Row],[Complementary Kit]],0)</f>
        <v>0</v>
      </c>
      <c r="AK513" s="86">
        <f>IF(NFI_Expiration=1,IF($A513&lt;VLOOKUP(S$5,NFI,5,0),1,0)*Data_NFI_t[[#This Row],[Plastic Bucket]],0)</f>
        <v>0</v>
      </c>
      <c r="AL513" s="86">
        <f>IF(NFI_Expiration=1,IF($A513&lt;VLOOKUP(T$5,NFI,5,0),1,0)*Data_NFI_t[[#This Row],[Jerry Can]],0)</f>
        <v>0</v>
      </c>
      <c r="AM513" s="105">
        <f>IF(NFI_Expiration=1,IF($A513&lt;VLOOKUP(U$5,NFI,5,0),1,0)*Data_NFI_t[[#This Row],[Plastic Mat]],0)*IF(Data_NFI_t[[#This Row],[Distribution Date]]&gt;"01-06-2015",1,2.5)</f>
        <v>0</v>
      </c>
      <c r="AN513" s="734">
        <f>IF(NFI_Expiration=1,IF($A513&lt;VLOOKUP(V$5,NFI,5,0),1,0)*Data_NFI_t[[#This Row],[Adult Clothes]],0)</f>
        <v>0</v>
      </c>
      <c r="AO513" s="105">
        <f>IF(NFI_Expiration=1,IF($A513&lt;VLOOKUP(W$5,NFI,5,0),1,0)*Data_NFI_t[[#This Row],[Children Clothes]],0)</f>
        <v>0</v>
      </c>
      <c r="AP513" s="105">
        <f>IF(NFI_Expiration=1,IF($A513&lt;VLOOKUP(X$5,NFI,5,0),1,0)*Data_NFI_t[[#This Row],[Sewing Kit]],0)</f>
        <v>0</v>
      </c>
      <c r="AQ513" s="734">
        <f>IF(NFI_Expiration=1,IF($A513&lt;VLOOKUP(X$5,NFI,5,0),1,0)*Data_NFI_t[[#This Row],[Solar Lantern]],0)</f>
        <v>0</v>
      </c>
      <c r="AR513" s="105" t="str">
        <f ca="1">IFERROR(OFFSET(Camp_List[P_Code],MATCH(Data_NFI_t[[#This Row],[Camp Name]],Camp_List[Camp Name],0)-1,0,1,1),"")</f>
        <v>MMR012CMP069</v>
      </c>
      <c r="AS513" s="421" t="str">
        <f ca="1">IFERROR(OFFSET(Camp_List[Status],MATCH(Data_NFI_t[[#This Row],[Camp Name]],Camp_List[Camp Name],0)-1,0,1,1),"")</f>
        <v>Close</v>
      </c>
      <c r="AT513" s="105"/>
    </row>
    <row r="514" spans="1:46" s="78" customFormat="1" ht="19.5" customHeight="1" x14ac:dyDescent="0.25">
      <c r="A514" s="208">
        <f t="shared" si="7"/>
        <v>69.833333333333329</v>
      </c>
      <c r="B514" s="208">
        <f>YEAR(Data_NFI_t[[#This Row],[Distribution Date]])</f>
        <v>2012</v>
      </c>
      <c r="C514" s="744">
        <v>41095</v>
      </c>
      <c r="D514" s="402" t="s">
        <v>270</v>
      </c>
      <c r="E514" s="401"/>
      <c r="F514" s="402" t="s">
        <v>7</v>
      </c>
      <c r="G514" s="670" t="s">
        <v>17</v>
      </c>
      <c r="H514" s="670" t="s">
        <v>243</v>
      </c>
      <c r="I514" s="670"/>
      <c r="J514" s="670"/>
      <c r="K514" s="670"/>
      <c r="L514" s="42"/>
      <c r="M514" s="42"/>
      <c r="N514" s="42"/>
      <c r="O514" s="42">
        <v>171</v>
      </c>
      <c r="P514" s="42"/>
      <c r="Q514" s="42"/>
      <c r="R514" s="42"/>
      <c r="S514" s="42"/>
      <c r="T514" s="419"/>
      <c r="U514" s="42"/>
      <c r="V514" s="42"/>
      <c r="W514" s="42"/>
      <c r="X514" s="42"/>
      <c r="Y514" s="42"/>
      <c r="Z514" s="42"/>
      <c r="AA514" s="42"/>
      <c r="AB514" s="42"/>
      <c r="AC514" s="105">
        <f>IF(NFI_Expiration=1,IF($A514&lt;VLOOKUP(I$5,NFI,5,0),1,0)*Data_NFI_t[[#This Row],[Hygiene Kit]],0)</f>
        <v>0</v>
      </c>
      <c r="AD514" s="105">
        <f>IF(NFI_Expiration=1,IF($A514&lt;VLOOKUP(L$5,NFI,5,0),1,0)*Data_NFI_t[[#This Row],[NFI Core Kit]],0)</f>
        <v>0</v>
      </c>
      <c r="AE514" s="86">
        <f>IF(NFI_Expiration=1,IF($A514&lt;VLOOKUP(M$5,NFI,5,0),1,0)*Data_NFI_t[[#This Row],[Sanitary Kit]],0)</f>
        <v>0</v>
      </c>
      <c r="AF514" s="86">
        <f>IF(NFI_Expiration=1,IF($A514&lt;VLOOKUP(N$5,NFI,5,0),1,0)*Data_NFI_t[[#This Row],[Mosquito net]],0)</f>
        <v>0</v>
      </c>
      <c r="AG514" s="86">
        <f>IF(NFI_Expiration=1,IF($A514&lt;VLOOKUP(O$5,NFI,5,0),1,0)*Data_NFI_t[[#This Row],[Tarpaulin]],0)</f>
        <v>0</v>
      </c>
      <c r="AH514" s="86">
        <f>IF(NFI_Expiration=1,IF($A514&lt;VLOOKUP(P$5,NFI,5,0),1,0)*Data_NFI_t[[#This Row],[Blanket]],0)</f>
        <v>0</v>
      </c>
      <c r="AI514" s="86">
        <f>IF(NFI_Expiration=1,IF($A514&lt;VLOOKUP(Q$5,NFI,5,0),1,0)*Data_NFI_t[[#This Row],[Kitchen Set]],0)</f>
        <v>0</v>
      </c>
      <c r="AJ514" s="86">
        <f>IF(NFI_Expiration=1,IF($A514&lt;VLOOKUP(R$5,NFI,5,0),1,0)*Data_NFI_t[[#This Row],[Complementary Kit]],0)</f>
        <v>0</v>
      </c>
      <c r="AK514" s="86">
        <f>IF(NFI_Expiration=1,IF($A514&lt;VLOOKUP(S$5,NFI,5,0),1,0)*Data_NFI_t[[#This Row],[Plastic Bucket]],0)</f>
        <v>0</v>
      </c>
      <c r="AL514" s="86">
        <f>IF(NFI_Expiration=1,IF($A514&lt;VLOOKUP(T$5,NFI,5,0),1,0)*Data_NFI_t[[#This Row],[Jerry Can]],0)</f>
        <v>0</v>
      </c>
      <c r="AM514" s="105">
        <f>IF(NFI_Expiration=1,IF($A514&lt;VLOOKUP(U$5,NFI,5,0),1,0)*Data_NFI_t[[#This Row],[Plastic Mat]],0)*IF(Data_NFI_t[[#This Row],[Distribution Date]]&gt;"01-06-2015",1,2.5)</f>
        <v>0</v>
      </c>
      <c r="AN514" s="734">
        <f>IF(NFI_Expiration=1,IF($A514&lt;VLOOKUP(V$5,NFI,5,0),1,0)*Data_NFI_t[[#This Row],[Adult Clothes]],0)</f>
        <v>0</v>
      </c>
      <c r="AO514" s="105">
        <f>IF(NFI_Expiration=1,IF($A514&lt;VLOOKUP(W$5,NFI,5,0),1,0)*Data_NFI_t[[#This Row],[Children Clothes]],0)</f>
        <v>0</v>
      </c>
      <c r="AP514" s="105">
        <f>IF(NFI_Expiration=1,IF($A514&lt;VLOOKUP(X$5,NFI,5,0),1,0)*Data_NFI_t[[#This Row],[Sewing Kit]],0)</f>
        <v>0</v>
      </c>
      <c r="AQ514" s="734">
        <f>IF(NFI_Expiration=1,IF($A514&lt;VLOOKUP(X$5,NFI,5,0),1,0)*Data_NFI_t[[#This Row],[Solar Lantern]],0)</f>
        <v>0</v>
      </c>
      <c r="AR514" s="105" t="str">
        <f ca="1">IFERROR(OFFSET(Camp_List[P_Code],MATCH(Data_NFI_t[[#This Row],[Camp Name]],Camp_List[Camp Name],0)-1,0,1,1),"")</f>
        <v/>
      </c>
      <c r="AS514" s="421" t="str">
        <f ca="1">IFERROR(OFFSET(Camp_List[Status],MATCH(Data_NFI_t[[#This Row],[Camp Name]],Camp_List[Camp Name],0)-1,0,1,1),"")</f>
        <v/>
      </c>
      <c r="AT514" s="105"/>
    </row>
    <row r="515" spans="1:46" s="78" customFormat="1" ht="19.5" customHeight="1" x14ac:dyDescent="0.25">
      <c r="A515" s="208">
        <f t="shared" si="7"/>
        <v>69.833333333333329</v>
      </c>
      <c r="B515" s="208">
        <f>YEAR(Data_NFI_t[[#This Row],[Distribution Date]])</f>
        <v>2012</v>
      </c>
      <c r="C515" s="744">
        <v>41095</v>
      </c>
      <c r="D515" s="402" t="s">
        <v>270</v>
      </c>
      <c r="E515" s="401"/>
      <c r="F515" s="402" t="s">
        <v>7</v>
      </c>
      <c r="G515" s="670" t="s">
        <v>17</v>
      </c>
      <c r="H515" s="670" t="s">
        <v>61</v>
      </c>
      <c r="I515" s="670"/>
      <c r="J515" s="670"/>
      <c r="K515" s="670"/>
      <c r="L515" s="42"/>
      <c r="M515" s="42"/>
      <c r="N515" s="42"/>
      <c r="O515" s="42">
        <v>18</v>
      </c>
      <c r="P515" s="42"/>
      <c r="Q515" s="42"/>
      <c r="R515" s="42"/>
      <c r="S515" s="42"/>
      <c r="T515" s="419"/>
      <c r="U515" s="42"/>
      <c r="V515" s="42"/>
      <c r="W515" s="42"/>
      <c r="X515" s="42"/>
      <c r="Y515" s="42"/>
      <c r="Z515" s="42"/>
      <c r="AA515" s="42"/>
      <c r="AB515" s="42"/>
      <c r="AC515" s="105">
        <f>IF(NFI_Expiration=1,IF($A515&lt;VLOOKUP(I$5,NFI,5,0),1,0)*Data_NFI_t[[#This Row],[Hygiene Kit]],0)</f>
        <v>0</v>
      </c>
      <c r="AD515" s="105">
        <f>IF(NFI_Expiration=1,IF($A515&lt;VLOOKUP(L$5,NFI,5,0),1,0)*Data_NFI_t[[#This Row],[NFI Core Kit]],0)</f>
        <v>0</v>
      </c>
      <c r="AE515" s="86">
        <f>IF(NFI_Expiration=1,IF($A515&lt;VLOOKUP(M$5,NFI,5,0),1,0)*Data_NFI_t[[#This Row],[Sanitary Kit]],0)</f>
        <v>0</v>
      </c>
      <c r="AF515" s="86">
        <f>IF(NFI_Expiration=1,IF($A515&lt;VLOOKUP(N$5,NFI,5,0),1,0)*Data_NFI_t[[#This Row],[Mosquito net]],0)</f>
        <v>0</v>
      </c>
      <c r="AG515" s="86">
        <f>IF(NFI_Expiration=1,IF($A515&lt;VLOOKUP(O$5,NFI,5,0),1,0)*Data_NFI_t[[#This Row],[Tarpaulin]],0)</f>
        <v>0</v>
      </c>
      <c r="AH515" s="86">
        <f>IF(NFI_Expiration=1,IF($A515&lt;VLOOKUP(P$5,NFI,5,0),1,0)*Data_NFI_t[[#This Row],[Blanket]],0)</f>
        <v>0</v>
      </c>
      <c r="AI515" s="86">
        <f>IF(NFI_Expiration=1,IF($A515&lt;VLOOKUP(Q$5,NFI,5,0),1,0)*Data_NFI_t[[#This Row],[Kitchen Set]],0)</f>
        <v>0</v>
      </c>
      <c r="AJ515" s="86">
        <f>IF(NFI_Expiration=1,IF($A515&lt;VLOOKUP(R$5,NFI,5,0),1,0)*Data_NFI_t[[#This Row],[Complementary Kit]],0)</f>
        <v>0</v>
      </c>
      <c r="AK515" s="86">
        <f>IF(NFI_Expiration=1,IF($A515&lt;VLOOKUP(S$5,NFI,5,0),1,0)*Data_NFI_t[[#This Row],[Plastic Bucket]],0)</f>
        <v>0</v>
      </c>
      <c r="AL515" s="86">
        <f>IF(NFI_Expiration=1,IF($A515&lt;VLOOKUP(T$5,NFI,5,0),1,0)*Data_NFI_t[[#This Row],[Jerry Can]],0)</f>
        <v>0</v>
      </c>
      <c r="AM515" s="105">
        <f>IF(NFI_Expiration=1,IF($A515&lt;VLOOKUP(U$5,NFI,5,0),1,0)*Data_NFI_t[[#This Row],[Plastic Mat]],0)*IF(Data_NFI_t[[#This Row],[Distribution Date]]&gt;"01-06-2015",1,2.5)</f>
        <v>0</v>
      </c>
      <c r="AN515" s="734">
        <f>IF(NFI_Expiration=1,IF($A515&lt;VLOOKUP(V$5,NFI,5,0),1,0)*Data_NFI_t[[#This Row],[Adult Clothes]],0)</f>
        <v>0</v>
      </c>
      <c r="AO515" s="105">
        <f>IF(NFI_Expiration=1,IF($A515&lt;VLOOKUP(W$5,NFI,5,0),1,0)*Data_NFI_t[[#This Row],[Children Clothes]],0)</f>
        <v>0</v>
      </c>
      <c r="AP515" s="105">
        <f>IF(NFI_Expiration=1,IF($A515&lt;VLOOKUP(X$5,NFI,5,0),1,0)*Data_NFI_t[[#This Row],[Sewing Kit]],0)</f>
        <v>0</v>
      </c>
      <c r="AQ515" s="734">
        <f>IF(NFI_Expiration=1,IF($A515&lt;VLOOKUP(X$5,NFI,5,0),1,0)*Data_NFI_t[[#This Row],[Solar Lantern]],0)</f>
        <v>0</v>
      </c>
      <c r="AR515" s="105" t="str">
        <f ca="1">IFERROR(OFFSET(Camp_List[P_Code],MATCH(Data_NFI_t[[#This Row],[Camp Name]],Camp_List[Camp Name],0)-1,0,1,1),"")</f>
        <v>MMR012CMP041</v>
      </c>
      <c r="AS515" s="421" t="str">
        <f ca="1">IFERROR(OFFSET(Camp_List[Status],MATCH(Data_NFI_t[[#This Row],[Camp Name]],Camp_List[Camp Name],0)-1,0,1,1),"")</f>
        <v>Open</v>
      </c>
      <c r="AT515" s="105"/>
    </row>
    <row r="516" spans="1:46" s="78" customFormat="1" ht="19.5" customHeight="1" x14ac:dyDescent="0.25">
      <c r="A516" s="208">
        <f t="shared" si="7"/>
        <v>69.833333333333329</v>
      </c>
      <c r="B516" s="208">
        <f>YEAR(Data_NFI_t[[#This Row],[Distribution Date]])</f>
        <v>2012</v>
      </c>
      <c r="C516" s="744">
        <v>41095</v>
      </c>
      <c r="D516" s="402" t="s">
        <v>270</v>
      </c>
      <c r="E516" s="401"/>
      <c r="F516" s="402" t="s">
        <v>7</v>
      </c>
      <c r="G516" s="670" t="s">
        <v>17</v>
      </c>
      <c r="H516" s="670" t="s">
        <v>92</v>
      </c>
      <c r="I516" s="670"/>
      <c r="J516" s="670"/>
      <c r="K516" s="670"/>
      <c r="L516" s="42"/>
      <c r="M516" s="42"/>
      <c r="N516" s="42"/>
      <c r="O516" s="42">
        <v>36</v>
      </c>
      <c r="P516" s="42"/>
      <c r="Q516" s="42"/>
      <c r="R516" s="42"/>
      <c r="S516" s="42"/>
      <c r="T516" s="419"/>
      <c r="U516" s="42"/>
      <c r="V516" s="42"/>
      <c r="W516" s="42"/>
      <c r="X516" s="42"/>
      <c r="Y516" s="42"/>
      <c r="Z516" s="42"/>
      <c r="AA516" s="42"/>
      <c r="AB516" s="42"/>
      <c r="AC516" s="105">
        <f>IF(NFI_Expiration=1,IF($A516&lt;VLOOKUP(I$5,NFI,5,0),1,0)*Data_NFI_t[[#This Row],[Hygiene Kit]],0)</f>
        <v>0</v>
      </c>
      <c r="AD516" s="105">
        <f>IF(NFI_Expiration=1,IF($A516&lt;VLOOKUP(L$5,NFI,5,0),1,0)*Data_NFI_t[[#This Row],[NFI Core Kit]],0)</f>
        <v>0</v>
      </c>
      <c r="AE516" s="86">
        <f>IF(NFI_Expiration=1,IF($A516&lt;VLOOKUP(M$5,NFI,5,0),1,0)*Data_NFI_t[[#This Row],[Sanitary Kit]],0)</f>
        <v>0</v>
      </c>
      <c r="AF516" s="86">
        <f>IF(NFI_Expiration=1,IF($A516&lt;VLOOKUP(N$5,NFI,5,0),1,0)*Data_NFI_t[[#This Row],[Mosquito net]],0)</f>
        <v>0</v>
      </c>
      <c r="AG516" s="86">
        <f>IF(NFI_Expiration=1,IF($A516&lt;VLOOKUP(O$5,NFI,5,0),1,0)*Data_NFI_t[[#This Row],[Tarpaulin]],0)</f>
        <v>0</v>
      </c>
      <c r="AH516" s="86">
        <f>IF(NFI_Expiration=1,IF($A516&lt;VLOOKUP(P$5,NFI,5,0),1,0)*Data_NFI_t[[#This Row],[Blanket]],0)</f>
        <v>0</v>
      </c>
      <c r="AI516" s="86">
        <f>IF(NFI_Expiration=1,IF($A516&lt;VLOOKUP(Q$5,NFI,5,0),1,0)*Data_NFI_t[[#This Row],[Kitchen Set]],0)</f>
        <v>0</v>
      </c>
      <c r="AJ516" s="86">
        <f>IF(NFI_Expiration=1,IF($A516&lt;VLOOKUP(R$5,NFI,5,0),1,0)*Data_NFI_t[[#This Row],[Complementary Kit]],0)</f>
        <v>0</v>
      </c>
      <c r="AK516" s="86">
        <f>IF(NFI_Expiration=1,IF($A516&lt;VLOOKUP(S$5,NFI,5,0),1,0)*Data_NFI_t[[#This Row],[Plastic Bucket]],0)</f>
        <v>0</v>
      </c>
      <c r="AL516" s="86">
        <f>IF(NFI_Expiration=1,IF($A516&lt;VLOOKUP(T$5,NFI,5,0),1,0)*Data_NFI_t[[#This Row],[Jerry Can]],0)</f>
        <v>0</v>
      </c>
      <c r="AM516" s="105">
        <f>IF(NFI_Expiration=1,IF($A516&lt;VLOOKUP(U$5,NFI,5,0),1,0)*Data_NFI_t[[#This Row],[Plastic Mat]],0)*IF(Data_NFI_t[[#This Row],[Distribution Date]]&gt;"01-06-2015",1,2.5)</f>
        <v>0</v>
      </c>
      <c r="AN516" s="734">
        <f>IF(NFI_Expiration=1,IF($A516&lt;VLOOKUP(V$5,NFI,5,0),1,0)*Data_NFI_t[[#This Row],[Adult Clothes]],0)</f>
        <v>0</v>
      </c>
      <c r="AO516" s="105">
        <f>IF(NFI_Expiration=1,IF($A516&lt;VLOOKUP(W$5,NFI,5,0),1,0)*Data_NFI_t[[#This Row],[Children Clothes]],0)</f>
        <v>0</v>
      </c>
      <c r="AP516" s="105">
        <f>IF(NFI_Expiration=1,IF($A516&lt;VLOOKUP(X$5,NFI,5,0),1,0)*Data_NFI_t[[#This Row],[Sewing Kit]],0)</f>
        <v>0</v>
      </c>
      <c r="AQ516" s="734">
        <f>IF(NFI_Expiration=1,IF($A516&lt;VLOOKUP(X$5,NFI,5,0),1,0)*Data_NFI_t[[#This Row],[Solar Lantern]],0)</f>
        <v>0</v>
      </c>
      <c r="AR516" s="105" t="str">
        <f ca="1">IFERROR(OFFSET(Camp_List[P_Code],MATCH(Data_NFI_t[[#This Row],[Camp Name]],Camp_List[Camp Name],0)-1,0,1,1),"")</f>
        <v>MMR012CMP073</v>
      </c>
      <c r="AS516" s="421" t="str">
        <f ca="1">IFERROR(OFFSET(Camp_List[Status],MATCH(Data_NFI_t[[#This Row],[Camp Name]],Camp_List[Camp Name],0)-1,0,1,1),"")</f>
        <v>Close</v>
      </c>
      <c r="AT516" s="105"/>
    </row>
    <row r="517" spans="1:46" s="78" customFormat="1" ht="19.5" customHeight="1" x14ac:dyDescent="0.25">
      <c r="A517" s="208">
        <f t="shared" si="7"/>
        <v>69.833333333333329</v>
      </c>
      <c r="B517" s="208">
        <f>YEAR(Data_NFI_t[[#This Row],[Distribution Date]])</f>
        <v>2012</v>
      </c>
      <c r="C517" s="744">
        <v>41095</v>
      </c>
      <c r="D517" s="402" t="s">
        <v>270</v>
      </c>
      <c r="E517" s="401"/>
      <c r="F517" s="402" t="s">
        <v>7</v>
      </c>
      <c r="G517" s="670" t="s">
        <v>17</v>
      </c>
      <c r="H517" s="670" t="s">
        <v>80</v>
      </c>
      <c r="I517" s="670"/>
      <c r="J517" s="670"/>
      <c r="K517" s="670"/>
      <c r="L517" s="42"/>
      <c r="M517" s="42"/>
      <c r="N517" s="42"/>
      <c r="O517" s="42">
        <v>69</v>
      </c>
      <c r="P517" s="42"/>
      <c r="Q517" s="42"/>
      <c r="R517" s="42"/>
      <c r="S517" s="42"/>
      <c r="T517" s="419"/>
      <c r="U517" s="42"/>
      <c r="V517" s="42"/>
      <c r="W517" s="42"/>
      <c r="X517" s="42"/>
      <c r="Y517" s="42"/>
      <c r="Z517" s="42"/>
      <c r="AA517" s="42"/>
      <c r="AB517" s="42"/>
      <c r="AC517" s="105">
        <f>IF(NFI_Expiration=1,IF($A517&lt;VLOOKUP(I$5,NFI,5,0),1,0)*Data_NFI_t[[#This Row],[Hygiene Kit]],0)</f>
        <v>0</v>
      </c>
      <c r="AD517" s="105">
        <f>IF(NFI_Expiration=1,IF($A517&lt;VLOOKUP(L$5,NFI,5,0),1,0)*Data_NFI_t[[#This Row],[NFI Core Kit]],0)</f>
        <v>0</v>
      </c>
      <c r="AE517" s="86">
        <f>IF(NFI_Expiration=1,IF($A517&lt;VLOOKUP(M$5,NFI,5,0),1,0)*Data_NFI_t[[#This Row],[Sanitary Kit]],0)</f>
        <v>0</v>
      </c>
      <c r="AF517" s="86">
        <f>IF(NFI_Expiration=1,IF($A517&lt;VLOOKUP(N$5,NFI,5,0),1,0)*Data_NFI_t[[#This Row],[Mosquito net]],0)</f>
        <v>0</v>
      </c>
      <c r="AG517" s="86">
        <f>IF(NFI_Expiration=1,IF($A517&lt;VLOOKUP(O$5,NFI,5,0),1,0)*Data_NFI_t[[#This Row],[Tarpaulin]],0)</f>
        <v>0</v>
      </c>
      <c r="AH517" s="86">
        <f>IF(NFI_Expiration=1,IF($A517&lt;VLOOKUP(P$5,NFI,5,0),1,0)*Data_NFI_t[[#This Row],[Blanket]],0)</f>
        <v>0</v>
      </c>
      <c r="AI517" s="86">
        <f>IF(NFI_Expiration=1,IF($A517&lt;VLOOKUP(Q$5,NFI,5,0),1,0)*Data_NFI_t[[#This Row],[Kitchen Set]],0)</f>
        <v>0</v>
      </c>
      <c r="AJ517" s="86">
        <f>IF(NFI_Expiration=1,IF($A517&lt;VLOOKUP(R$5,NFI,5,0),1,0)*Data_NFI_t[[#This Row],[Complementary Kit]],0)</f>
        <v>0</v>
      </c>
      <c r="AK517" s="86">
        <f>IF(NFI_Expiration=1,IF($A517&lt;VLOOKUP(S$5,NFI,5,0),1,0)*Data_NFI_t[[#This Row],[Plastic Bucket]],0)</f>
        <v>0</v>
      </c>
      <c r="AL517" s="86">
        <f>IF(NFI_Expiration=1,IF($A517&lt;VLOOKUP(T$5,NFI,5,0),1,0)*Data_NFI_t[[#This Row],[Jerry Can]],0)</f>
        <v>0</v>
      </c>
      <c r="AM517" s="105">
        <f>IF(NFI_Expiration=1,IF($A517&lt;VLOOKUP(U$5,NFI,5,0),1,0)*Data_NFI_t[[#This Row],[Plastic Mat]],0)*IF(Data_NFI_t[[#This Row],[Distribution Date]]&gt;"01-06-2015",1,2.5)</f>
        <v>0</v>
      </c>
      <c r="AN517" s="734">
        <f>IF(NFI_Expiration=1,IF($A517&lt;VLOOKUP(V$5,NFI,5,0),1,0)*Data_NFI_t[[#This Row],[Adult Clothes]],0)</f>
        <v>0</v>
      </c>
      <c r="AO517" s="105">
        <f>IF(NFI_Expiration=1,IF($A517&lt;VLOOKUP(W$5,NFI,5,0),1,0)*Data_NFI_t[[#This Row],[Children Clothes]],0)</f>
        <v>0</v>
      </c>
      <c r="AP517" s="105">
        <f>IF(NFI_Expiration=1,IF($A517&lt;VLOOKUP(X$5,NFI,5,0),1,0)*Data_NFI_t[[#This Row],[Sewing Kit]],0)</f>
        <v>0</v>
      </c>
      <c r="AQ517" s="734">
        <f>IF(NFI_Expiration=1,IF($A517&lt;VLOOKUP(X$5,NFI,5,0),1,0)*Data_NFI_t[[#This Row],[Solar Lantern]],0)</f>
        <v>0</v>
      </c>
      <c r="AR517" s="105" t="str">
        <f ca="1">IFERROR(OFFSET(Camp_List[P_Code],MATCH(Data_NFI_t[[#This Row],[Camp Name]],Camp_List[Camp Name],0)-1,0,1,1),"")</f>
        <v>MMR012CMP061</v>
      </c>
      <c r="AS517" s="421" t="str">
        <f ca="1">IFERROR(OFFSET(Camp_List[Status],MATCH(Data_NFI_t[[#This Row],[Camp Name]],Camp_List[Camp Name],0)-1,0,1,1),"")</f>
        <v>Close</v>
      </c>
      <c r="AT517" s="105"/>
    </row>
    <row r="518" spans="1:46" s="78" customFormat="1" ht="19.5" customHeight="1" x14ac:dyDescent="0.25">
      <c r="A518" s="208">
        <f t="shared" ref="A518:A538" si="8">IF(ISBLANK(C518),"",(Report_Date-C518)/30)</f>
        <v>69.833333333333329</v>
      </c>
      <c r="B518" s="208">
        <f>YEAR(Data_NFI_t[[#This Row],[Distribution Date]])</f>
        <v>2012</v>
      </c>
      <c r="C518" s="744">
        <v>41095</v>
      </c>
      <c r="D518" s="402" t="s">
        <v>270</v>
      </c>
      <c r="E518" s="401"/>
      <c r="F518" s="402" t="s">
        <v>7</v>
      </c>
      <c r="G518" s="670" t="s">
        <v>17</v>
      </c>
      <c r="H518" s="670" t="s">
        <v>62</v>
      </c>
      <c r="I518" s="670"/>
      <c r="J518" s="670"/>
      <c r="K518" s="670"/>
      <c r="L518" s="42"/>
      <c r="M518" s="42"/>
      <c r="N518" s="42"/>
      <c r="O518" s="42">
        <v>132</v>
      </c>
      <c r="P518" s="42"/>
      <c r="Q518" s="42"/>
      <c r="R518" s="42"/>
      <c r="S518" s="42"/>
      <c r="T518" s="419"/>
      <c r="U518" s="42"/>
      <c r="V518" s="42"/>
      <c r="W518" s="42"/>
      <c r="X518" s="42"/>
      <c r="Y518" s="42"/>
      <c r="Z518" s="42"/>
      <c r="AA518" s="42"/>
      <c r="AB518" s="42"/>
      <c r="AC518" s="105">
        <f>IF(NFI_Expiration=1,IF($A518&lt;VLOOKUP(I$5,NFI,5,0),1,0)*Data_NFI_t[[#This Row],[Hygiene Kit]],0)</f>
        <v>0</v>
      </c>
      <c r="AD518" s="105">
        <f>IF(NFI_Expiration=1,IF($A518&lt;VLOOKUP(L$5,NFI,5,0),1,0)*Data_NFI_t[[#This Row],[NFI Core Kit]],0)</f>
        <v>0</v>
      </c>
      <c r="AE518" s="86">
        <f>IF(NFI_Expiration=1,IF($A518&lt;VLOOKUP(M$5,NFI,5,0),1,0)*Data_NFI_t[[#This Row],[Sanitary Kit]],0)</f>
        <v>0</v>
      </c>
      <c r="AF518" s="86">
        <f>IF(NFI_Expiration=1,IF($A518&lt;VLOOKUP(N$5,NFI,5,0),1,0)*Data_NFI_t[[#This Row],[Mosquito net]],0)</f>
        <v>0</v>
      </c>
      <c r="AG518" s="86">
        <f>IF(NFI_Expiration=1,IF($A518&lt;VLOOKUP(O$5,NFI,5,0),1,0)*Data_NFI_t[[#This Row],[Tarpaulin]],0)</f>
        <v>0</v>
      </c>
      <c r="AH518" s="86">
        <f>IF(NFI_Expiration=1,IF($A518&lt;VLOOKUP(P$5,NFI,5,0),1,0)*Data_NFI_t[[#This Row],[Blanket]],0)</f>
        <v>0</v>
      </c>
      <c r="AI518" s="86">
        <f>IF(NFI_Expiration=1,IF($A518&lt;VLOOKUP(Q$5,NFI,5,0),1,0)*Data_NFI_t[[#This Row],[Kitchen Set]],0)</f>
        <v>0</v>
      </c>
      <c r="AJ518" s="86">
        <f>IF(NFI_Expiration=1,IF($A518&lt;VLOOKUP(R$5,NFI,5,0),1,0)*Data_NFI_t[[#This Row],[Complementary Kit]],0)</f>
        <v>0</v>
      </c>
      <c r="AK518" s="86">
        <f>IF(NFI_Expiration=1,IF($A518&lt;VLOOKUP(S$5,NFI,5,0),1,0)*Data_NFI_t[[#This Row],[Plastic Bucket]],0)</f>
        <v>0</v>
      </c>
      <c r="AL518" s="86">
        <f>IF(NFI_Expiration=1,IF($A518&lt;VLOOKUP(T$5,NFI,5,0),1,0)*Data_NFI_t[[#This Row],[Jerry Can]],0)</f>
        <v>0</v>
      </c>
      <c r="AM518" s="105">
        <f>IF(NFI_Expiration=1,IF($A518&lt;VLOOKUP(U$5,NFI,5,0),1,0)*Data_NFI_t[[#This Row],[Plastic Mat]],0)*IF(Data_NFI_t[[#This Row],[Distribution Date]]&gt;"01-06-2015",1,2.5)</f>
        <v>0</v>
      </c>
      <c r="AN518" s="734">
        <f>IF(NFI_Expiration=1,IF($A518&lt;VLOOKUP(V$5,NFI,5,0),1,0)*Data_NFI_t[[#This Row],[Adult Clothes]],0)</f>
        <v>0</v>
      </c>
      <c r="AO518" s="105">
        <f>IF(NFI_Expiration=1,IF($A518&lt;VLOOKUP(W$5,NFI,5,0),1,0)*Data_NFI_t[[#This Row],[Children Clothes]],0)</f>
        <v>0</v>
      </c>
      <c r="AP518" s="105">
        <f>IF(NFI_Expiration=1,IF($A518&lt;VLOOKUP(X$5,NFI,5,0),1,0)*Data_NFI_t[[#This Row],[Sewing Kit]],0)</f>
        <v>0</v>
      </c>
      <c r="AQ518" s="734">
        <f>IF(NFI_Expiration=1,IF($A518&lt;VLOOKUP(X$5,NFI,5,0),1,0)*Data_NFI_t[[#This Row],[Solar Lantern]],0)</f>
        <v>0</v>
      </c>
      <c r="AR518" s="105" t="str">
        <f ca="1">IFERROR(OFFSET(Camp_List[P_Code],MATCH(Data_NFI_t[[#This Row],[Camp Name]],Camp_List[Camp Name],0)-1,0,1,1),"")</f>
        <v>MMR012CMP042</v>
      </c>
      <c r="AS518" s="421" t="str">
        <f ca="1">IFERROR(OFFSET(Camp_List[Status],MATCH(Data_NFI_t[[#This Row],[Camp Name]],Camp_List[Camp Name],0)-1,0,1,1),"")</f>
        <v>Open</v>
      </c>
      <c r="AT518" s="105"/>
    </row>
    <row r="519" spans="1:46" s="78" customFormat="1" ht="19.5" customHeight="1" x14ac:dyDescent="0.25">
      <c r="A519" s="208">
        <f t="shared" si="8"/>
        <v>69.833333333333329</v>
      </c>
      <c r="B519" s="208">
        <f>YEAR(Data_NFI_t[[#This Row],[Distribution Date]])</f>
        <v>2012</v>
      </c>
      <c r="C519" s="744">
        <v>41095</v>
      </c>
      <c r="D519" s="402" t="s">
        <v>270</v>
      </c>
      <c r="E519" s="401"/>
      <c r="F519" s="402" t="s">
        <v>7</v>
      </c>
      <c r="G519" s="670" t="s">
        <v>17</v>
      </c>
      <c r="H519" s="670" t="s">
        <v>85</v>
      </c>
      <c r="I519" s="670"/>
      <c r="J519" s="670"/>
      <c r="K519" s="670"/>
      <c r="L519" s="42"/>
      <c r="M519" s="42"/>
      <c r="N519" s="42"/>
      <c r="O519" s="42">
        <v>280</v>
      </c>
      <c r="P519" s="42"/>
      <c r="Q519" s="42"/>
      <c r="R519" s="42"/>
      <c r="S519" s="42"/>
      <c r="T519" s="419"/>
      <c r="U519" s="42"/>
      <c r="V519" s="42"/>
      <c r="W519" s="42"/>
      <c r="X519" s="42"/>
      <c r="Y519" s="42"/>
      <c r="Z519" s="42"/>
      <c r="AA519" s="42"/>
      <c r="AB519" s="42"/>
      <c r="AC519" s="105">
        <f>IF(NFI_Expiration=1,IF($A519&lt;VLOOKUP(I$5,NFI,5,0),1,0)*Data_NFI_t[[#This Row],[Hygiene Kit]],0)</f>
        <v>0</v>
      </c>
      <c r="AD519" s="105">
        <f>IF(NFI_Expiration=1,IF($A519&lt;VLOOKUP(L$5,NFI,5,0),1,0)*Data_NFI_t[[#This Row],[NFI Core Kit]],0)</f>
        <v>0</v>
      </c>
      <c r="AE519" s="86">
        <f>IF(NFI_Expiration=1,IF($A519&lt;VLOOKUP(M$5,NFI,5,0),1,0)*Data_NFI_t[[#This Row],[Sanitary Kit]],0)</f>
        <v>0</v>
      </c>
      <c r="AF519" s="86">
        <f>IF(NFI_Expiration=1,IF($A519&lt;VLOOKUP(N$5,NFI,5,0),1,0)*Data_NFI_t[[#This Row],[Mosquito net]],0)</f>
        <v>0</v>
      </c>
      <c r="AG519" s="86">
        <f>IF(NFI_Expiration=1,IF($A519&lt;VLOOKUP(O$5,NFI,5,0),1,0)*Data_NFI_t[[#This Row],[Tarpaulin]],0)</f>
        <v>0</v>
      </c>
      <c r="AH519" s="86">
        <f>IF(NFI_Expiration=1,IF($A519&lt;VLOOKUP(P$5,NFI,5,0),1,0)*Data_NFI_t[[#This Row],[Blanket]],0)</f>
        <v>0</v>
      </c>
      <c r="AI519" s="86">
        <f>IF(NFI_Expiration=1,IF($A519&lt;VLOOKUP(Q$5,NFI,5,0),1,0)*Data_NFI_t[[#This Row],[Kitchen Set]],0)</f>
        <v>0</v>
      </c>
      <c r="AJ519" s="86">
        <f>IF(NFI_Expiration=1,IF($A519&lt;VLOOKUP(R$5,NFI,5,0),1,0)*Data_NFI_t[[#This Row],[Complementary Kit]],0)</f>
        <v>0</v>
      </c>
      <c r="AK519" s="86">
        <f>IF(NFI_Expiration=1,IF($A519&lt;VLOOKUP(S$5,NFI,5,0),1,0)*Data_NFI_t[[#This Row],[Plastic Bucket]],0)</f>
        <v>0</v>
      </c>
      <c r="AL519" s="86">
        <f>IF(NFI_Expiration=1,IF($A519&lt;VLOOKUP(T$5,NFI,5,0),1,0)*Data_NFI_t[[#This Row],[Jerry Can]],0)</f>
        <v>0</v>
      </c>
      <c r="AM519" s="105">
        <f>IF(NFI_Expiration=1,IF($A519&lt;VLOOKUP(U$5,NFI,5,0),1,0)*Data_NFI_t[[#This Row],[Plastic Mat]],0)*IF(Data_NFI_t[[#This Row],[Distribution Date]]&gt;"01-06-2015",1,2.5)</f>
        <v>0</v>
      </c>
      <c r="AN519" s="734">
        <f>IF(NFI_Expiration=1,IF($A519&lt;VLOOKUP(V$5,NFI,5,0),1,0)*Data_NFI_t[[#This Row],[Adult Clothes]],0)</f>
        <v>0</v>
      </c>
      <c r="AO519" s="105">
        <f>IF(NFI_Expiration=1,IF($A519&lt;VLOOKUP(W$5,NFI,5,0),1,0)*Data_NFI_t[[#This Row],[Children Clothes]],0)</f>
        <v>0</v>
      </c>
      <c r="AP519" s="105">
        <f>IF(NFI_Expiration=1,IF($A519&lt;VLOOKUP(X$5,NFI,5,0),1,0)*Data_NFI_t[[#This Row],[Sewing Kit]],0)</f>
        <v>0</v>
      </c>
      <c r="AQ519" s="734">
        <f>IF(NFI_Expiration=1,IF($A519&lt;VLOOKUP(X$5,NFI,5,0),1,0)*Data_NFI_t[[#This Row],[Solar Lantern]],0)</f>
        <v>0</v>
      </c>
      <c r="AR519" s="105" t="str">
        <f ca="1">IFERROR(OFFSET(Camp_List[P_Code],MATCH(Data_NFI_t[[#This Row],[Camp Name]],Camp_List[Camp Name],0)-1,0,1,1),"")</f>
        <v>MMR012CMP066</v>
      </c>
      <c r="AS519" s="421" t="str">
        <f ca="1">IFERROR(OFFSET(Camp_List[Status],MATCH(Data_NFI_t[[#This Row],[Camp Name]],Camp_List[Camp Name],0)-1,0,1,1),"")</f>
        <v>Close</v>
      </c>
      <c r="AT519" s="105"/>
    </row>
    <row r="520" spans="1:46" s="78" customFormat="1" ht="19.5" customHeight="1" x14ac:dyDescent="0.25">
      <c r="A520" s="208">
        <f t="shared" si="8"/>
        <v>70</v>
      </c>
      <c r="B520" s="208">
        <f>YEAR(Data_NFI_t[[#This Row],[Distribution Date]])</f>
        <v>2012</v>
      </c>
      <c r="C520" s="744">
        <v>41090</v>
      </c>
      <c r="D520" s="402" t="s">
        <v>270</v>
      </c>
      <c r="E520" s="401"/>
      <c r="F520" s="402" t="s">
        <v>7</v>
      </c>
      <c r="G520" s="670" t="s">
        <v>17</v>
      </c>
      <c r="H520" s="670" t="s">
        <v>75</v>
      </c>
      <c r="I520" s="670"/>
      <c r="J520" s="670"/>
      <c r="K520" s="670"/>
      <c r="L520" s="42"/>
      <c r="M520" s="42"/>
      <c r="N520" s="42"/>
      <c r="O520" s="42">
        <v>103</v>
      </c>
      <c r="P520" s="42"/>
      <c r="Q520" s="42"/>
      <c r="R520" s="42"/>
      <c r="S520" s="42"/>
      <c r="T520" s="419"/>
      <c r="U520" s="42"/>
      <c r="V520" s="42"/>
      <c r="W520" s="42"/>
      <c r="X520" s="42"/>
      <c r="Y520" s="42"/>
      <c r="Z520" s="42"/>
      <c r="AA520" s="42"/>
      <c r="AB520" s="42"/>
      <c r="AC520" s="105">
        <f>IF(NFI_Expiration=1,IF($A520&lt;VLOOKUP(I$5,NFI,5,0),1,0)*Data_NFI_t[[#This Row],[Hygiene Kit]],0)</f>
        <v>0</v>
      </c>
      <c r="AD520" s="105">
        <f>IF(NFI_Expiration=1,IF($A520&lt;VLOOKUP(L$5,NFI,5,0),1,0)*Data_NFI_t[[#This Row],[NFI Core Kit]],0)</f>
        <v>0</v>
      </c>
      <c r="AE520" s="86">
        <f>IF(NFI_Expiration=1,IF($A520&lt;VLOOKUP(M$5,NFI,5,0),1,0)*Data_NFI_t[[#This Row],[Sanitary Kit]],0)</f>
        <v>0</v>
      </c>
      <c r="AF520" s="86">
        <f>IF(NFI_Expiration=1,IF($A520&lt;VLOOKUP(N$5,NFI,5,0),1,0)*Data_NFI_t[[#This Row],[Mosquito net]],0)</f>
        <v>0</v>
      </c>
      <c r="AG520" s="86">
        <f>IF(NFI_Expiration=1,IF($A520&lt;VLOOKUP(O$5,NFI,5,0),1,0)*Data_NFI_t[[#This Row],[Tarpaulin]],0)</f>
        <v>0</v>
      </c>
      <c r="AH520" s="86">
        <f>IF(NFI_Expiration=1,IF($A520&lt;VLOOKUP(P$5,NFI,5,0),1,0)*Data_NFI_t[[#This Row],[Blanket]],0)</f>
        <v>0</v>
      </c>
      <c r="AI520" s="86">
        <f>IF(NFI_Expiration=1,IF($A520&lt;VLOOKUP(Q$5,NFI,5,0),1,0)*Data_NFI_t[[#This Row],[Kitchen Set]],0)</f>
        <v>0</v>
      </c>
      <c r="AJ520" s="86">
        <f>IF(NFI_Expiration=1,IF($A520&lt;VLOOKUP(R$5,NFI,5,0),1,0)*Data_NFI_t[[#This Row],[Complementary Kit]],0)</f>
        <v>0</v>
      </c>
      <c r="AK520" s="86">
        <f>IF(NFI_Expiration=1,IF($A520&lt;VLOOKUP(S$5,NFI,5,0),1,0)*Data_NFI_t[[#This Row],[Plastic Bucket]],0)</f>
        <v>0</v>
      </c>
      <c r="AL520" s="86">
        <f>IF(NFI_Expiration=1,IF($A520&lt;VLOOKUP(T$5,NFI,5,0),1,0)*Data_NFI_t[[#This Row],[Jerry Can]],0)</f>
        <v>0</v>
      </c>
      <c r="AM520" s="105">
        <f>IF(NFI_Expiration=1,IF($A520&lt;VLOOKUP(U$5,NFI,5,0),1,0)*Data_NFI_t[[#This Row],[Plastic Mat]],0)*IF(Data_NFI_t[[#This Row],[Distribution Date]]&gt;"01-06-2015",1,2.5)</f>
        <v>0</v>
      </c>
      <c r="AN520" s="734">
        <f>IF(NFI_Expiration=1,IF($A520&lt;VLOOKUP(V$5,NFI,5,0),1,0)*Data_NFI_t[[#This Row],[Adult Clothes]],0)</f>
        <v>0</v>
      </c>
      <c r="AO520" s="105">
        <f>IF(NFI_Expiration=1,IF($A520&lt;VLOOKUP(W$5,NFI,5,0),1,0)*Data_NFI_t[[#This Row],[Children Clothes]],0)</f>
        <v>0</v>
      </c>
      <c r="AP520" s="105">
        <f>IF(NFI_Expiration=1,IF($A520&lt;VLOOKUP(X$5,NFI,5,0),1,0)*Data_NFI_t[[#This Row],[Sewing Kit]],0)</f>
        <v>0</v>
      </c>
      <c r="AQ520" s="734">
        <f>IF(NFI_Expiration=1,IF($A520&lt;VLOOKUP(X$5,NFI,5,0),1,0)*Data_NFI_t[[#This Row],[Solar Lantern]],0)</f>
        <v>0</v>
      </c>
      <c r="AR520" s="105" t="str">
        <f ca="1">IFERROR(OFFSET(Camp_List[P_Code],MATCH(Data_NFI_t[[#This Row],[Camp Name]],Camp_List[Camp Name],0)-1,0,1,1),"")</f>
        <v>MMR012CMP055</v>
      </c>
      <c r="AS520" s="421" t="str">
        <f ca="1">IFERROR(OFFSET(Camp_List[Status],MATCH(Data_NFI_t[[#This Row],[Camp Name]],Camp_List[Camp Name],0)-1,0,1,1),"")</f>
        <v>Close</v>
      </c>
      <c r="AT520" s="105"/>
    </row>
    <row r="521" spans="1:46" s="78" customFormat="1" ht="19.5" customHeight="1" x14ac:dyDescent="0.25">
      <c r="A521" s="208">
        <f t="shared" si="8"/>
        <v>70</v>
      </c>
      <c r="B521" s="208">
        <f>YEAR(Data_NFI_t[[#This Row],[Distribution Date]])</f>
        <v>2012</v>
      </c>
      <c r="C521" s="744">
        <v>41090</v>
      </c>
      <c r="D521" s="402" t="s">
        <v>270</v>
      </c>
      <c r="E521" s="401"/>
      <c r="F521" s="402" t="s">
        <v>7</v>
      </c>
      <c r="G521" s="670" t="s">
        <v>17</v>
      </c>
      <c r="H521" s="670" t="s">
        <v>240</v>
      </c>
      <c r="I521" s="670"/>
      <c r="J521" s="670"/>
      <c r="K521" s="670"/>
      <c r="L521" s="42"/>
      <c r="M521" s="42"/>
      <c r="N521" s="42"/>
      <c r="O521" s="42">
        <v>36</v>
      </c>
      <c r="P521" s="42"/>
      <c r="Q521" s="42"/>
      <c r="R521" s="42"/>
      <c r="S521" s="42"/>
      <c r="T521" s="419"/>
      <c r="U521" s="42"/>
      <c r="V521" s="42"/>
      <c r="W521" s="42"/>
      <c r="X521" s="42"/>
      <c r="Y521" s="42"/>
      <c r="Z521" s="42"/>
      <c r="AA521" s="42"/>
      <c r="AB521" s="42"/>
      <c r="AC521" s="105">
        <f>IF(NFI_Expiration=1,IF($A521&lt;VLOOKUP(I$5,NFI,5,0),1,0)*Data_NFI_t[[#This Row],[Hygiene Kit]],0)</f>
        <v>0</v>
      </c>
      <c r="AD521" s="105">
        <f>IF(NFI_Expiration=1,IF($A521&lt;VLOOKUP(L$5,NFI,5,0),1,0)*Data_NFI_t[[#This Row],[NFI Core Kit]],0)</f>
        <v>0</v>
      </c>
      <c r="AE521" s="86">
        <f>IF(NFI_Expiration=1,IF($A521&lt;VLOOKUP(M$5,NFI,5,0),1,0)*Data_NFI_t[[#This Row],[Sanitary Kit]],0)</f>
        <v>0</v>
      </c>
      <c r="AF521" s="86">
        <f>IF(NFI_Expiration=1,IF($A521&lt;VLOOKUP(N$5,NFI,5,0),1,0)*Data_NFI_t[[#This Row],[Mosquito net]],0)</f>
        <v>0</v>
      </c>
      <c r="AG521" s="86">
        <f>IF(NFI_Expiration=1,IF($A521&lt;VLOOKUP(O$5,NFI,5,0),1,0)*Data_NFI_t[[#This Row],[Tarpaulin]],0)</f>
        <v>0</v>
      </c>
      <c r="AH521" s="86">
        <f>IF(NFI_Expiration=1,IF($A521&lt;VLOOKUP(P$5,NFI,5,0),1,0)*Data_NFI_t[[#This Row],[Blanket]],0)</f>
        <v>0</v>
      </c>
      <c r="AI521" s="86">
        <f>IF(NFI_Expiration=1,IF($A521&lt;VLOOKUP(Q$5,NFI,5,0),1,0)*Data_NFI_t[[#This Row],[Kitchen Set]],0)</f>
        <v>0</v>
      </c>
      <c r="AJ521" s="86">
        <f>IF(NFI_Expiration=1,IF($A521&lt;VLOOKUP(R$5,NFI,5,0),1,0)*Data_NFI_t[[#This Row],[Complementary Kit]],0)</f>
        <v>0</v>
      </c>
      <c r="AK521" s="86">
        <f>IF(NFI_Expiration=1,IF($A521&lt;VLOOKUP(S$5,NFI,5,0),1,0)*Data_NFI_t[[#This Row],[Plastic Bucket]],0)</f>
        <v>0</v>
      </c>
      <c r="AL521" s="86">
        <f>IF(NFI_Expiration=1,IF($A521&lt;VLOOKUP(T$5,NFI,5,0),1,0)*Data_NFI_t[[#This Row],[Jerry Can]],0)</f>
        <v>0</v>
      </c>
      <c r="AM521" s="105">
        <f>IF(NFI_Expiration=1,IF($A521&lt;VLOOKUP(U$5,NFI,5,0),1,0)*Data_NFI_t[[#This Row],[Plastic Mat]],0)*IF(Data_NFI_t[[#This Row],[Distribution Date]]&gt;"01-06-2015",1,2.5)</f>
        <v>0</v>
      </c>
      <c r="AN521" s="734">
        <f>IF(NFI_Expiration=1,IF($A521&lt;VLOOKUP(V$5,NFI,5,0),1,0)*Data_NFI_t[[#This Row],[Adult Clothes]],0)</f>
        <v>0</v>
      </c>
      <c r="AO521" s="105">
        <f>IF(NFI_Expiration=1,IF($A521&lt;VLOOKUP(W$5,NFI,5,0),1,0)*Data_NFI_t[[#This Row],[Children Clothes]],0)</f>
        <v>0</v>
      </c>
      <c r="AP521" s="105">
        <f>IF(NFI_Expiration=1,IF($A521&lt;VLOOKUP(X$5,NFI,5,0),1,0)*Data_NFI_t[[#This Row],[Sewing Kit]],0)</f>
        <v>0</v>
      </c>
      <c r="AQ521" s="734">
        <f>IF(NFI_Expiration=1,IF($A521&lt;VLOOKUP(X$5,NFI,5,0),1,0)*Data_NFI_t[[#This Row],[Solar Lantern]],0)</f>
        <v>0</v>
      </c>
      <c r="AR521" s="105" t="str">
        <f ca="1">IFERROR(OFFSET(Camp_List[P_Code],MATCH(Data_NFI_t[[#This Row],[Camp Name]],Camp_List[Camp Name],0)-1,0,1,1),"")</f>
        <v/>
      </c>
      <c r="AS521" s="421" t="str">
        <f ca="1">IFERROR(OFFSET(Camp_List[Status],MATCH(Data_NFI_t[[#This Row],[Camp Name]],Camp_List[Camp Name],0)-1,0,1,1),"")</f>
        <v/>
      </c>
      <c r="AT521" s="105"/>
    </row>
    <row r="522" spans="1:46" s="78" customFormat="1" ht="19.5" customHeight="1" x14ac:dyDescent="0.25">
      <c r="A522" s="208">
        <f t="shared" si="8"/>
        <v>70</v>
      </c>
      <c r="B522" s="208">
        <f>YEAR(Data_NFI_t[[#This Row],[Distribution Date]])</f>
        <v>2012</v>
      </c>
      <c r="C522" s="744">
        <v>41090</v>
      </c>
      <c r="D522" s="402" t="s">
        <v>270</v>
      </c>
      <c r="E522" s="401"/>
      <c r="F522" s="402" t="s">
        <v>7</v>
      </c>
      <c r="G522" s="670" t="s">
        <v>17</v>
      </c>
      <c r="H522" s="670" t="s">
        <v>242</v>
      </c>
      <c r="I522" s="670"/>
      <c r="J522" s="670"/>
      <c r="K522" s="670"/>
      <c r="L522" s="42"/>
      <c r="M522" s="42"/>
      <c r="N522" s="42"/>
      <c r="O522" s="42">
        <v>36</v>
      </c>
      <c r="P522" s="42"/>
      <c r="Q522" s="42"/>
      <c r="R522" s="42"/>
      <c r="S522" s="42"/>
      <c r="T522" s="419"/>
      <c r="U522" s="42"/>
      <c r="V522" s="42"/>
      <c r="W522" s="42"/>
      <c r="X522" s="42"/>
      <c r="Y522" s="42"/>
      <c r="Z522" s="42"/>
      <c r="AA522" s="42"/>
      <c r="AB522" s="42"/>
      <c r="AC522" s="105">
        <f>IF(NFI_Expiration=1,IF($A522&lt;VLOOKUP(I$5,NFI,5,0),1,0)*Data_NFI_t[[#This Row],[Hygiene Kit]],0)</f>
        <v>0</v>
      </c>
      <c r="AD522" s="105">
        <f>IF(NFI_Expiration=1,IF($A522&lt;VLOOKUP(L$5,NFI,5,0),1,0)*Data_NFI_t[[#This Row],[NFI Core Kit]],0)</f>
        <v>0</v>
      </c>
      <c r="AE522" s="86">
        <f>IF(NFI_Expiration=1,IF($A522&lt;VLOOKUP(M$5,NFI,5,0),1,0)*Data_NFI_t[[#This Row],[Sanitary Kit]],0)</f>
        <v>0</v>
      </c>
      <c r="AF522" s="86">
        <f>IF(NFI_Expiration=1,IF($A522&lt;VLOOKUP(N$5,NFI,5,0),1,0)*Data_NFI_t[[#This Row],[Mosquito net]],0)</f>
        <v>0</v>
      </c>
      <c r="AG522" s="86">
        <f>IF(NFI_Expiration=1,IF($A522&lt;VLOOKUP(O$5,NFI,5,0),1,0)*Data_NFI_t[[#This Row],[Tarpaulin]],0)</f>
        <v>0</v>
      </c>
      <c r="AH522" s="86">
        <f>IF(NFI_Expiration=1,IF($A522&lt;VLOOKUP(P$5,NFI,5,0),1,0)*Data_NFI_t[[#This Row],[Blanket]],0)</f>
        <v>0</v>
      </c>
      <c r="AI522" s="86">
        <f>IF(NFI_Expiration=1,IF($A522&lt;VLOOKUP(Q$5,NFI,5,0),1,0)*Data_NFI_t[[#This Row],[Kitchen Set]],0)</f>
        <v>0</v>
      </c>
      <c r="AJ522" s="86">
        <f>IF(NFI_Expiration=1,IF($A522&lt;VLOOKUP(R$5,NFI,5,0),1,0)*Data_NFI_t[[#This Row],[Complementary Kit]],0)</f>
        <v>0</v>
      </c>
      <c r="AK522" s="86">
        <f>IF(NFI_Expiration=1,IF($A522&lt;VLOOKUP(S$5,NFI,5,0),1,0)*Data_NFI_t[[#This Row],[Plastic Bucket]],0)</f>
        <v>0</v>
      </c>
      <c r="AL522" s="86">
        <f>IF(NFI_Expiration=1,IF($A522&lt;VLOOKUP(T$5,NFI,5,0),1,0)*Data_NFI_t[[#This Row],[Jerry Can]],0)</f>
        <v>0</v>
      </c>
      <c r="AM522" s="105">
        <f>IF(NFI_Expiration=1,IF($A522&lt;VLOOKUP(U$5,NFI,5,0),1,0)*Data_NFI_t[[#This Row],[Plastic Mat]],0)*IF(Data_NFI_t[[#This Row],[Distribution Date]]&gt;"01-06-2015",1,2.5)</f>
        <v>0</v>
      </c>
      <c r="AN522" s="734">
        <f>IF(NFI_Expiration=1,IF($A522&lt;VLOOKUP(V$5,NFI,5,0),1,0)*Data_NFI_t[[#This Row],[Adult Clothes]],0)</f>
        <v>0</v>
      </c>
      <c r="AO522" s="105">
        <f>IF(NFI_Expiration=1,IF($A522&lt;VLOOKUP(W$5,NFI,5,0),1,0)*Data_NFI_t[[#This Row],[Children Clothes]],0)</f>
        <v>0</v>
      </c>
      <c r="AP522" s="105">
        <f>IF(NFI_Expiration=1,IF($A522&lt;VLOOKUP(X$5,NFI,5,0),1,0)*Data_NFI_t[[#This Row],[Sewing Kit]],0)</f>
        <v>0</v>
      </c>
      <c r="AQ522" s="734">
        <f>IF(NFI_Expiration=1,IF($A522&lt;VLOOKUP(X$5,NFI,5,0),1,0)*Data_NFI_t[[#This Row],[Solar Lantern]],0)</f>
        <v>0</v>
      </c>
      <c r="AR522" s="105" t="str">
        <f ca="1">IFERROR(OFFSET(Camp_List[P_Code],MATCH(Data_NFI_t[[#This Row],[Camp Name]],Camp_List[Camp Name],0)-1,0,1,1),"")</f>
        <v/>
      </c>
      <c r="AS522" s="421" t="str">
        <f ca="1">IFERROR(OFFSET(Camp_List[Status],MATCH(Data_NFI_t[[#This Row],[Camp Name]],Camp_List[Camp Name],0)-1,0,1,1),"")</f>
        <v/>
      </c>
      <c r="AT522" s="105"/>
    </row>
    <row r="523" spans="1:46" s="78" customFormat="1" ht="19.5" customHeight="1" x14ac:dyDescent="0.25">
      <c r="A523" s="208">
        <f t="shared" si="8"/>
        <v>70</v>
      </c>
      <c r="B523" s="208">
        <f>YEAR(Data_NFI_t[[#This Row],[Distribution Date]])</f>
        <v>2012</v>
      </c>
      <c r="C523" s="744">
        <v>41090</v>
      </c>
      <c r="D523" s="402" t="s">
        <v>270</v>
      </c>
      <c r="E523" s="401"/>
      <c r="F523" s="402" t="s">
        <v>7</v>
      </c>
      <c r="G523" s="670" t="s">
        <v>17</v>
      </c>
      <c r="H523" s="670" t="s">
        <v>83</v>
      </c>
      <c r="I523" s="670"/>
      <c r="J523" s="670"/>
      <c r="K523" s="670"/>
      <c r="L523" s="42"/>
      <c r="M523" s="42"/>
      <c r="N523" s="42"/>
      <c r="O523" s="42">
        <v>9</v>
      </c>
      <c r="P523" s="42"/>
      <c r="Q523" s="42"/>
      <c r="R523" s="42"/>
      <c r="S523" s="42"/>
      <c r="T523" s="419"/>
      <c r="U523" s="42"/>
      <c r="V523" s="42"/>
      <c r="W523" s="42"/>
      <c r="X523" s="42"/>
      <c r="Y523" s="42"/>
      <c r="Z523" s="42"/>
      <c r="AA523" s="42"/>
      <c r="AB523" s="42"/>
      <c r="AC523" s="105">
        <f>IF(NFI_Expiration=1,IF($A523&lt;VLOOKUP(I$5,NFI,5,0),1,0)*Data_NFI_t[[#This Row],[Hygiene Kit]],0)</f>
        <v>0</v>
      </c>
      <c r="AD523" s="105">
        <f>IF(NFI_Expiration=1,IF($A523&lt;VLOOKUP(L$5,NFI,5,0),1,0)*Data_NFI_t[[#This Row],[NFI Core Kit]],0)</f>
        <v>0</v>
      </c>
      <c r="AE523" s="86">
        <f>IF(NFI_Expiration=1,IF($A523&lt;VLOOKUP(M$5,NFI,5,0),1,0)*Data_NFI_t[[#This Row],[Sanitary Kit]],0)</f>
        <v>0</v>
      </c>
      <c r="AF523" s="86">
        <f>IF(NFI_Expiration=1,IF($A523&lt;VLOOKUP(N$5,NFI,5,0),1,0)*Data_NFI_t[[#This Row],[Mosquito net]],0)</f>
        <v>0</v>
      </c>
      <c r="AG523" s="86">
        <f>IF(NFI_Expiration=1,IF($A523&lt;VLOOKUP(O$5,NFI,5,0),1,0)*Data_NFI_t[[#This Row],[Tarpaulin]],0)</f>
        <v>0</v>
      </c>
      <c r="AH523" s="86">
        <f>IF(NFI_Expiration=1,IF($A523&lt;VLOOKUP(P$5,NFI,5,0),1,0)*Data_NFI_t[[#This Row],[Blanket]],0)</f>
        <v>0</v>
      </c>
      <c r="AI523" s="86">
        <f>IF(NFI_Expiration=1,IF($A523&lt;VLOOKUP(Q$5,NFI,5,0),1,0)*Data_NFI_t[[#This Row],[Kitchen Set]],0)</f>
        <v>0</v>
      </c>
      <c r="AJ523" s="86">
        <f>IF(NFI_Expiration=1,IF($A523&lt;VLOOKUP(R$5,NFI,5,0),1,0)*Data_NFI_t[[#This Row],[Complementary Kit]],0)</f>
        <v>0</v>
      </c>
      <c r="AK523" s="86">
        <f>IF(NFI_Expiration=1,IF($A523&lt;VLOOKUP(S$5,NFI,5,0),1,0)*Data_NFI_t[[#This Row],[Plastic Bucket]],0)</f>
        <v>0</v>
      </c>
      <c r="AL523" s="86">
        <f>IF(NFI_Expiration=1,IF($A523&lt;VLOOKUP(T$5,NFI,5,0),1,0)*Data_NFI_t[[#This Row],[Jerry Can]],0)</f>
        <v>0</v>
      </c>
      <c r="AM523" s="105">
        <f>IF(NFI_Expiration=1,IF($A523&lt;VLOOKUP(U$5,NFI,5,0),1,0)*Data_NFI_t[[#This Row],[Plastic Mat]],0)*IF(Data_NFI_t[[#This Row],[Distribution Date]]&gt;"01-06-2015",1,2.5)</f>
        <v>0</v>
      </c>
      <c r="AN523" s="734">
        <f>IF(NFI_Expiration=1,IF($A523&lt;VLOOKUP(V$5,NFI,5,0),1,0)*Data_NFI_t[[#This Row],[Adult Clothes]],0)</f>
        <v>0</v>
      </c>
      <c r="AO523" s="105">
        <f>IF(NFI_Expiration=1,IF($A523&lt;VLOOKUP(W$5,NFI,5,0),1,0)*Data_NFI_t[[#This Row],[Children Clothes]],0)</f>
        <v>0</v>
      </c>
      <c r="AP523" s="105">
        <f>IF(NFI_Expiration=1,IF($A523&lt;VLOOKUP(X$5,NFI,5,0),1,0)*Data_NFI_t[[#This Row],[Sewing Kit]],0)</f>
        <v>0</v>
      </c>
      <c r="AQ523" s="734">
        <f>IF(NFI_Expiration=1,IF($A523&lt;VLOOKUP(X$5,NFI,5,0),1,0)*Data_NFI_t[[#This Row],[Solar Lantern]],0)</f>
        <v>0</v>
      </c>
      <c r="AR523" s="105" t="str">
        <f ca="1">IFERROR(OFFSET(Camp_List[P_Code],MATCH(Data_NFI_t[[#This Row],[Camp Name]],Camp_List[Camp Name],0)-1,0,1,1),"")</f>
        <v>MMR012CMP064</v>
      </c>
      <c r="AS523" s="421" t="str">
        <f ca="1">IFERROR(OFFSET(Camp_List[Status],MATCH(Data_NFI_t[[#This Row],[Camp Name]],Camp_List[Camp Name],0)-1,0,1,1),"")</f>
        <v>Close</v>
      </c>
      <c r="AT523" s="105"/>
    </row>
    <row r="524" spans="1:46" s="78" customFormat="1" ht="19.5" customHeight="1" x14ac:dyDescent="0.25">
      <c r="A524" s="208">
        <f t="shared" si="8"/>
        <v>70</v>
      </c>
      <c r="B524" s="208">
        <f>YEAR(Data_NFI_t[[#This Row],[Distribution Date]])</f>
        <v>2012</v>
      </c>
      <c r="C524" s="744">
        <v>41090</v>
      </c>
      <c r="D524" s="402" t="s">
        <v>270</v>
      </c>
      <c r="E524" s="401"/>
      <c r="F524" s="402" t="s">
        <v>7</v>
      </c>
      <c r="G524" s="670" t="s">
        <v>17</v>
      </c>
      <c r="H524" s="670" t="s">
        <v>241</v>
      </c>
      <c r="I524" s="670"/>
      <c r="J524" s="670"/>
      <c r="K524" s="670"/>
      <c r="L524" s="42"/>
      <c r="M524" s="42"/>
      <c r="N524" s="42"/>
      <c r="O524" s="42">
        <v>20</v>
      </c>
      <c r="P524" s="42"/>
      <c r="Q524" s="42"/>
      <c r="R524" s="42"/>
      <c r="S524" s="42"/>
      <c r="T524" s="419"/>
      <c r="U524" s="42"/>
      <c r="V524" s="42"/>
      <c r="W524" s="42"/>
      <c r="X524" s="42"/>
      <c r="Y524" s="42"/>
      <c r="Z524" s="42"/>
      <c r="AA524" s="42"/>
      <c r="AB524" s="42"/>
      <c r="AC524" s="105">
        <f>IF(NFI_Expiration=1,IF($A524&lt;VLOOKUP(I$5,NFI,5,0),1,0)*Data_NFI_t[[#This Row],[Hygiene Kit]],0)</f>
        <v>0</v>
      </c>
      <c r="AD524" s="105">
        <f>IF(NFI_Expiration=1,IF($A524&lt;VLOOKUP(L$5,NFI,5,0),1,0)*Data_NFI_t[[#This Row],[NFI Core Kit]],0)</f>
        <v>0</v>
      </c>
      <c r="AE524" s="86">
        <f>IF(NFI_Expiration=1,IF($A524&lt;VLOOKUP(M$5,NFI,5,0),1,0)*Data_NFI_t[[#This Row],[Sanitary Kit]],0)</f>
        <v>0</v>
      </c>
      <c r="AF524" s="86">
        <f>IF(NFI_Expiration=1,IF($A524&lt;VLOOKUP(N$5,NFI,5,0),1,0)*Data_NFI_t[[#This Row],[Mosquito net]],0)</f>
        <v>0</v>
      </c>
      <c r="AG524" s="86">
        <f>IF(NFI_Expiration=1,IF($A524&lt;VLOOKUP(O$5,NFI,5,0),1,0)*Data_NFI_t[[#This Row],[Tarpaulin]],0)</f>
        <v>0</v>
      </c>
      <c r="AH524" s="86">
        <f>IF(NFI_Expiration=1,IF($A524&lt;VLOOKUP(P$5,NFI,5,0),1,0)*Data_NFI_t[[#This Row],[Blanket]],0)</f>
        <v>0</v>
      </c>
      <c r="AI524" s="86">
        <f>IF(NFI_Expiration=1,IF($A524&lt;VLOOKUP(Q$5,NFI,5,0),1,0)*Data_NFI_t[[#This Row],[Kitchen Set]],0)</f>
        <v>0</v>
      </c>
      <c r="AJ524" s="86">
        <f>IF(NFI_Expiration=1,IF($A524&lt;VLOOKUP(R$5,NFI,5,0),1,0)*Data_NFI_t[[#This Row],[Complementary Kit]],0)</f>
        <v>0</v>
      </c>
      <c r="AK524" s="86">
        <f>IF(NFI_Expiration=1,IF($A524&lt;VLOOKUP(S$5,NFI,5,0),1,0)*Data_NFI_t[[#This Row],[Plastic Bucket]],0)</f>
        <v>0</v>
      </c>
      <c r="AL524" s="86">
        <f>IF(NFI_Expiration=1,IF($A524&lt;VLOOKUP(T$5,NFI,5,0),1,0)*Data_NFI_t[[#This Row],[Jerry Can]],0)</f>
        <v>0</v>
      </c>
      <c r="AM524" s="105">
        <f>IF(NFI_Expiration=1,IF($A524&lt;VLOOKUP(U$5,NFI,5,0),1,0)*Data_NFI_t[[#This Row],[Plastic Mat]],0)*IF(Data_NFI_t[[#This Row],[Distribution Date]]&gt;"01-06-2015",1,2.5)</f>
        <v>0</v>
      </c>
      <c r="AN524" s="734">
        <f>IF(NFI_Expiration=1,IF($A524&lt;VLOOKUP(V$5,NFI,5,0),1,0)*Data_NFI_t[[#This Row],[Adult Clothes]],0)</f>
        <v>0</v>
      </c>
      <c r="AO524" s="105">
        <f>IF(NFI_Expiration=1,IF($A524&lt;VLOOKUP(W$5,NFI,5,0),1,0)*Data_NFI_t[[#This Row],[Children Clothes]],0)</f>
        <v>0</v>
      </c>
      <c r="AP524" s="105">
        <f>IF(NFI_Expiration=1,IF($A524&lt;VLOOKUP(X$5,NFI,5,0),1,0)*Data_NFI_t[[#This Row],[Sewing Kit]],0)</f>
        <v>0</v>
      </c>
      <c r="AQ524" s="734">
        <f>IF(NFI_Expiration=1,IF($A524&lt;VLOOKUP(X$5,NFI,5,0),1,0)*Data_NFI_t[[#This Row],[Solar Lantern]],0)</f>
        <v>0</v>
      </c>
      <c r="AR524" s="105" t="str">
        <f ca="1">IFERROR(OFFSET(Camp_List[P_Code],MATCH(Data_NFI_t[[#This Row],[Camp Name]],Camp_List[Camp Name],0)-1,0,1,1),"")</f>
        <v/>
      </c>
      <c r="AS524" s="421" t="str">
        <f ca="1">IFERROR(OFFSET(Camp_List[Status],MATCH(Data_NFI_t[[#This Row],[Camp Name]],Camp_List[Camp Name],0)-1,0,1,1),"")</f>
        <v/>
      </c>
      <c r="AT524" s="105"/>
    </row>
    <row r="525" spans="1:46" s="78" customFormat="1" ht="19.5" customHeight="1" x14ac:dyDescent="0.25">
      <c r="A525" s="208">
        <f t="shared" si="8"/>
        <v>70</v>
      </c>
      <c r="B525" s="208">
        <f>YEAR(Data_NFI_t[[#This Row],[Distribution Date]])</f>
        <v>2012</v>
      </c>
      <c r="C525" s="744">
        <v>41090</v>
      </c>
      <c r="D525" s="402" t="s">
        <v>270</v>
      </c>
      <c r="E525" s="401"/>
      <c r="F525" s="402" t="s">
        <v>7</v>
      </c>
      <c r="G525" s="670" t="s">
        <v>17</v>
      </c>
      <c r="H525" s="670" t="s">
        <v>239</v>
      </c>
      <c r="I525" s="670"/>
      <c r="J525" s="670"/>
      <c r="K525" s="670"/>
      <c r="L525" s="42"/>
      <c r="M525" s="42"/>
      <c r="N525" s="42"/>
      <c r="O525" s="42">
        <v>35</v>
      </c>
      <c r="P525" s="42"/>
      <c r="Q525" s="42"/>
      <c r="R525" s="42"/>
      <c r="S525" s="42"/>
      <c r="T525" s="419"/>
      <c r="U525" s="42"/>
      <c r="V525" s="42"/>
      <c r="W525" s="42"/>
      <c r="X525" s="42"/>
      <c r="Y525" s="42"/>
      <c r="Z525" s="42"/>
      <c r="AA525" s="42"/>
      <c r="AB525" s="42"/>
      <c r="AC525" s="105">
        <f>IF(NFI_Expiration=1,IF($A525&lt;VLOOKUP(I$5,NFI,5,0),1,0)*Data_NFI_t[[#This Row],[Hygiene Kit]],0)</f>
        <v>0</v>
      </c>
      <c r="AD525" s="105">
        <f>IF(NFI_Expiration=1,IF($A525&lt;VLOOKUP(L$5,NFI,5,0),1,0)*Data_NFI_t[[#This Row],[NFI Core Kit]],0)</f>
        <v>0</v>
      </c>
      <c r="AE525" s="86">
        <f>IF(NFI_Expiration=1,IF($A525&lt;VLOOKUP(M$5,NFI,5,0),1,0)*Data_NFI_t[[#This Row],[Sanitary Kit]],0)</f>
        <v>0</v>
      </c>
      <c r="AF525" s="86">
        <f>IF(NFI_Expiration=1,IF($A525&lt;VLOOKUP(N$5,NFI,5,0),1,0)*Data_NFI_t[[#This Row],[Mosquito net]],0)</f>
        <v>0</v>
      </c>
      <c r="AG525" s="86">
        <f>IF(NFI_Expiration=1,IF($A525&lt;VLOOKUP(O$5,NFI,5,0),1,0)*Data_NFI_t[[#This Row],[Tarpaulin]],0)</f>
        <v>0</v>
      </c>
      <c r="AH525" s="86">
        <f>IF(NFI_Expiration=1,IF($A525&lt;VLOOKUP(P$5,NFI,5,0),1,0)*Data_NFI_t[[#This Row],[Blanket]],0)</f>
        <v>0</v>
      </c>
      <c r="AI525" s="86">
        <f>IF(NFI_Expiration=1,IF($A525&lt;VLOOKUP(Q$5,NFI,5,0),1,0)*Data_NFI_t[[#This Row],[Kitchen Set]],0)</f>
        <v>0</v>
      </c>
      <c r="AJ525" s="86">
        <f>IF(NFI_Expiration=1,IF($A525&lt;VLOOKUP(R$5,NFI,5,0),1,0)*Data_NFI_t[[#This Row],[Complementary Kit]],0)</f>
        <v>0</v>
      </c>
      <c r="AK525" s="86">
        <f>IF(NFI_Expiration=1,IF($A525&lt;VLOOKUP(S$5,NFI,5,0),1,0)*Data_NFI_t[[#This Row],[Plastic Bucket]],0)</f>
        <v>0</v>
      </c>
      <c r="AL525" s="86">
        <f>IF(NFI_Expiration=1,IF($A525&lt;VLOOKUP(T$5,NFI,5,0),1,0)*Data_NFI_t[[#This Row],[Jerry Can]],0)</f>
        <v>0</v>
      </c>
      <c r="AM525" s="105">
        <f>IF(NFI_Expiration=1,IF($A525&lt;VLOOKUP(U$5,NFI,5,0),1,0)*Data_NFI_t[[#This Row],[Plastic Mat]],0)*IF(Data_NFI_t[[#This Row],[Distribution Date]]&gt;"01-06-2015",1,2.5)</f>
        <v>0</v>
      </c>
      <c r="AN525" s="734">
        <f>IF(NFI_Expiration=1,IF($A525&lt;VLOOKUP(V$5,NFI,5,0),1,0)*Data_NFI_t[[#This Row],[Adult Clothes]],0)</f>
        <v>0</v>
      </c>
      <c r="AO525" s="105">
        <f>IF(NFI_Expiration=1,IF($A525&lt;VLOOKUP(W$5,NFI,5,0),1,0)*Data_NFI_t[[#This Row],[Children Clothes]],0)</f>
        <v>0</v>
      </c>
      <c r="AP525" s="105">
        <f>IF(NFI_Expiration=1,IF($A525&lt;VLOOKUP(X$5,NFI,5,0),1,0)*Data_NFI_t[[#This Row],[Sewing Kit]],0)</f>
        <v>0</v>
      </c>
      <c r="AQ525" s="734">
        <f>IF(NFI_Expiration=1,IF($A525&lt;VLOOKUP(X$5,NFI,5,0),1,0)*Data_NFI_t[[#This Row],[Solar Lantern]],0)</f>
        <v>0</v>
      </c>
      <c r="AR525" s="105" t="str">
        <f ca="1">IFERROR(OFFSET(Camp_List[P_Code],MATCH(Data_NFI_t[[#This Row],[Camp Name]],Camp_List[Camp Name],0)-1,0,1,1),"")</f>
        <v/>
      </c>
      <c r="AS525" s="421" t="str">
        <f ca="1">IFERROR(OFFSET(Camp_List[Status],MATCH(Data_NFI_t[[#This Row],[Camp Name]],Camp_List[Camp Name],0)-1,0,1,1),"")</f>
        <v/>
      </c>
      <c r="AT525" s="105"/>
    </row>
    <row r="526" spans="1:46" s="78" customFormat="1" ht="19.5" customHeight="1" x14ac:dyDescent="0.25">
      <c r="A526" s="208">
        <f t="shared" si="8"/>
        <v>70.033333333333331</v>
      </c>
      <c r="B526" s="208">
        <f>YEAR(Data_NFI_t[[#This Row],[Distribution Date]])</f>
        <v>2012</v>
      </c>
      <c r="C526" s="744">
        <v>41089</v>
      </c>
      <c r="D526" s="402" t="s">
        <v>270</v>
      </c>
      <c r="E526" s="401"/>
      <c r="F526" s="402" t="s">
        <v>7</v>
      </c>
      <c r="G526" s="670" t="s">
        <v>17</v>
      </c>
      <c r="H526" s="670" t="s">
        <v>78</v>
      </c>
      <c r="I526" s="670"/>
      <c r="J526" s="670"/>
      <c r="K526" s="670"/>
      <c r="L526" s="42"/>
      <c r="M526" s="42"/>
      <c r="N526" s="42"/>
      <c r="O526" s="42">
        <v>66</v>
      </c>
      <c r="P526" s="42"/>
      <c r="Q526" s="42"/>
      <c r="R526" s="42"/>
      <c r="S526" s="42"/>
      <c r="T526" s="419"/>
      <c r="U526" s="42"/>
      <c r="V526" s="42"/>
      <c r="W526" s="42"/>
      <c r="X526" s="42"/>
      <c r="Y526" s="42"/>
      <c r="Z526" s="42"/>
      <c r="AA526" s="42"/>
      <c r="AB526" s="42"/>
      <c r="AC526" s="105">
        <f>IF(NFI_Expiration=1,IF($A526&lt;VLOOKUP(I$5,NFI,5,0),1,0)*Data_NFI_t[[#This Row],[Hygiene Kit]],0)</f>
        <v>0</v>
      </c>
      <c r="AD526" s="105">
        <f>IF(NFI_Expiration=1,IF($A526&lt;VLOOKUP(L$5,NFI,5,0),1,0)*Data_NFI_t[[#This Row],[NFI Core Kit]],0)</f>
        <v>0</v>
      </c>
      <c r="AE526" s="86">
        <f>IF(NFI_Expiration=1,IF($A526&lt;VLOOKUP(M$5,NFI,5,0),1,0)*Data_NFI_t[[#This Row],[Sanitary Kit]],0)</f>
        <v>0</v>
      </c>
      <c r="AF526" s="86">
        <f>IF(NFI_Expiration=1,IF($A526&lt;VLOOKUP(N$5,NFI,5,0),1,0)*Data_NFI_t[[#This Row],[Mosquito net]],0)</f>
        <v>0</v>
      </c>
      <c r="AG526" s="86">
        <f>IF(NFI_Expiration=1,IF($A526&lt;VLOOKUP(O$5,NFI,5,0),1,0)*Data_NFI_t[[#This Row],[Tarpaulin]],0)</f>
        <v>0</v>
      </c>
      <c r="AH526" s="86">
        <f>IF(NFI_Expiration=1,IF($A526&lt;VLOOKUP(P$5,NFI,5,0),1,0)*Data_NFI_t[[#This Row],[Blanket]],0)</f>
        <v>0</v>
      </c>
      <c r="AI526" s="86">
        <f>IF(NFI_Expiration=1,IF($A526&lt;VLOOKUP(Q$5,NFI,5,0),1,0)*Data_NFI_t[[#This Row],[Kitchen Set]],0)</f>
        <v>0</v>
      </c>
      <c r="AJ526" s="86">
        <f>IF(NFI_Expiration=1,IF($A526&lt;VLOOKUP(R$5,NFI,5,0),1,0)*Data_NFI_t[[#This Row],[Complementary Kit]],0)</f>
        <v>0</v>
      </c>
      <c r="AK526" s="86">
        <f>IF(NFI_Expiration=1,IF($A526&lt;VLOOKUP(S$5,NFI,5,0),1,0)*Data_NFI_t[[#This Row],[Plastic Bucket]],0)</f>
        <v>0</v>
      </c>
      <c r="AL526" s="86">
        <f>IF(NFI_Expiration=1,IF($A526&lt;VLOOKUP(T$5,NFI,5,0),1,0)*Data_NFI_t[[#This Row],[Jerry Can]],0)</f>
        <v>0</v>
      </c>
      <c r="AM526" s="105">
        <f>IF(NFI_Expiration=1,IF($A526&lt;VLOOKUP(U$5,NFI,5,0),1,0)*Data_NFI_t[[#This Row],[Plastic Mat]],0)*IF(Data_NFI_t[[#This Row],[Distribution Date]]&gt;"01-06-2015",1,2.5)</f>
        <v>0</v>
      </c>
      <c r="AN526" s="734">
        <f>IF(NFI_Expiration=1,IF($A526&lt;VLOOKUP(V$5,NFI,5,0),1,0)*Data_NFI_t[[#This Row],[Adult Clothes]],0)</f>
        <v>0</v>
      </c>
      <c r="AO526" s="105">
        <f>IF(NFI_Expiration=1,IF($A526&lt;VLOOKUP(W$5,NFI,5,0),1,0)*Data_NFI_t[[#This Row],[Children Clothes]],0)</f>
        <v>0</v>
      </c>
      <c r="AP526" s="105">
        <f>IF(NFI_Expiration=1,IF($A526&lt;VLOOKUP(X$5,NFI,5,0),1,0)*Data_NFI_t[[#This Row],[Sewing Kit]],0)</f>
        <v>0</v>
      </c>
      <c r="AQ526" s="734">
        <f>IF(NFI_Expiration=1,IF($A526&lt;VLOOKUP(X$5,NFI,5,0),1,0)*Data_NFI_t[[#This Row],[Solar Lantern]],0)</f>
        <v>0</v>
      </c>
      <c r="AR526" s="105" t="str">
        <f ca="1">IFERROR(OFFSET(Camp_List[P_Code],MATCH(Data_NFI_t[[#This Row],[Camp Name]],Camp_List[Camp Name],0)-1,0,1,1),"")</f>
        <v>MMR012CMP059</v>
      </c>
      <c r="AS526" s="421" t="str">
        <f ca="1">IFERROR(OFFSET(Camp_List[Status],MATCH(Data_NFI_t[[#This Row],[Camp Name]],Camp_List[Camp Name],0)-1,0,1,1),"")</f>
        <v>Close</v>
      </c>
      <c r="AT526" s="105"/>
    </row>
    <row r="527" spans="1:46" s="78" customFormat="1" ht="19.5" customHeight="1" x14ac:dyDescent="0.25">
      <c r="A527" s="208">
        <f t="shared" si="8"/>
        <v>70.033333333333331</v>
      </c>
      <c r="B527" s="208">
        <f>YEAR(Data_NFI_t[[#This Row],[Distribution Date]])</f>
        <v>2012</v>
      </c>
      <c r="C527" s="744">
        <v>41089</v>
      </c>
      <c r="D527" s="402" t="s">
        <v>270</v>
      </c>
      <c r="E527" s="401"/>
      <c r="F527" s="402" t="s">
        <v>7</v>
      </c>
      <c r="G527" s="670" t="s">
        <v>17</v>
      </c>
      <c r="H527" s="670" t="s">
        <v>238</v>
      </c>
      <c r="I527" s="670"/>
      <c r="J527" s="670"/>
      <c r="K527" s="670"/>
      <c r="L527" s="42"/>
      <c r="M527" s="42"/>
      <c r="N527" s="42"/>
      <c r="O527" s="42">
        <v>37</v>
      </c>
      <c r="P527" s="42"/>
      <c r="Q527" s="42"/>
      <c r="R527" s="42"/>
      <c r="S527" s="42"/>
      <c r="T527" s="419"/>
      <c r="U527" s="42"/>
      <c r="V527" s="42"/>
      <c r="W527" s="42"/>
      <c r="X527" s="42"/>
      <c r="Y527" s="42"/>
      <c r="Z527" s="42"/>
      <c r="AA527" s="42"/>
      <c r="AB527" s="42"/>
      <c r="AC527" s="105">
        <f>IF(NFI_Expiration=1,IF($A527&lt;VLOOKUP(I$5,NFI,5,0),1,0)*Data_NFI_t[[#This Row],[Hygiene Kit]],0)</f>
        <v>0</v>
      </c>
      <c r="AD527" s="105">
        <f>IF(NFI_Expiration=1,IF($A527&lt;VLOOKUP(L$5,NFI,5,0),1,0)*Data_NFI_t[[#This Row],[NFI Core Kit]],0)</f>
        <v>0</v>
      </c>
      <c r="AE527" s="86">
        <f>IF(NFI_Expiration=1,IF($A527&lt;VLOOKUP(M$5,NFI,5,0),1,0)*Data_NFI_t[[#This Row],[Sanitary Kit]],0)</f>
        <v>0</v>
      </c>
      <c r="AF527" s="86">
        <f>IF(NFI_Expiration=1,IF($A527&lt;VLOOKUP(N$5,NFI,5,0),1,0)*Data_NFI_t[[#This Row],[Mosquito net]],0)</f>
        <v>0</v>
      </c>
      <c r="AG527" s="86">
        <f>IF(NFI_Expiration=1,IF($A527&lt;VLOOKUP(O$5,NFI,5,0),1,0)*Data_NFI_t[[#This Row],[Tarpaulin]],0)</f>
        <v>0</v>
      </c>
      <c r="AH527" s="86">
        <f>IF(NFI_Expiration=1,IF($A527&lt;VLOOKUP(P$5,NFI,5,0),1,0)*Data_NFI_t[[#This Row],[Blanket]],0)</f>
        <v>0</v>
      </c>
      <c r="AI527" s="86">
        <f>IF(NFI_Expiration=1,IF($A527&lt;VLOOKUP(Q$5,NFI,5,0),1,0)*Data_NFI_t[[#This Row],[Kitchen Set]],0)</f>
        <v>0</v>
      </c>
      <c r="AJ527" s="86">
        <f>IF(NFI_Expiration=1,IF($A527&lt;VLOOKUP(R$5,NFI,5,0),1,0)*Data_NFI_t[[#This Row],[Complementary Kit]],0)</f>
        <v>0</v>
      </c>
      <c r="AK527" s="86">
        <f>IF(NFI_Expiration=1,IF($A527&lt;VLOOKUP(S$5,NFI,5,0),1,0)*Data_NFI_t[[#This Row],[Plastic Bucket]],0)</f>
        <v>0</v>
      </c>
      <c r="AL527" s="86">
        <f>IF(NFI_Expiration=1,IF($A527&lt;VLOOKUP(T$5,NFI,5,0),1,0)*Data_NFI_t[[#This Row],[Jerry Can]],0)</f>
        <v>0</v>
      </c>
      <c r="AM527" s="105">
        <f>IF(NFI_Expiration=1,IF($A527&lt;VLOOKUP(U$5,NFI,5,0),1,0)*Data_NFI_t[[#This Row],[Plastic Mat]],0)*IF(Data_NFI_t[[#This Row],[Distribution Date]]&gt;"01-06-2015",1,2.5)</f>
        <v>0</v>
      </c>
      <c r="AN527" s="734">
        <f>IF(NFI_Expiration=1,IF($A527&lt;VLOOKUP(V$5,NFI,5,0),1,0)*Data_NFI_t[[#This Row],[Adult Clothes]],0)</f>
        <v>0</v>
      </c>
      <c r="AO527" s="105">
        <f>IF(NFI_Expiration=1,IF($A527&lt;VLOOKUP(W$5,NFI,5,0),1,0)*Data_NFI_t[[#This Row],[Children Clothes]],0)</f>
        <v>0</v>
      </c>
      <c r="AP527" s="105">
        <f>IF(NFI_Expiration=1,IF($A527&lt;VLOOKUP(X$5,NFI,5,0),1,0)*Data_NFI_t[[#This Row],[Sewing Kit]],0)</f>
        <v>0</v>
      </c>
      <c r="AQ527" s="734">
        <f>IF(NFI_Expiration=1,IF($A527&lt;VLOOKUP(X$5,NFI,5,0),1,0)*Data_NFI_t[[#This Row],[Solar Lantern]],0)</f>
        <v>0</v>
      </c>
      <c r="AR527" s="105" t="str">
        <f ca="1">IFERROR(OFFSET(Camp_List[P_Code],MATCH(Data_NFI_t[[#This Row],[Camp Name]],Camp_List[Camp Name],0)-1,0,1,1),"")</f>
        <v/>
      </c>
      <c r="AS527" s="421" t="str">
        <f ca="1">IFERROR(OFFSET(Camp_List[Status],MATCH(Data_NFI_t[[#This Row],[Camp Name]],Camp_List[Camp Name],0)-1,0,1,1),"")</f>
        <v/>
      </c>
      <c r="AT527" s="105"/>
    </row>
    <row r="528" spans="1:46" s="78" customFormat="1" ht="19.5" customHeight="1" x14ac:dyDescent="0.25">
      <c r="A528" s="208">
        <f t="shared" si="8"/>
        <v>70.033333333333331</v>
      </c>
      <c r="B528" s="208">
        <f>YEAR(Data_NFI_t[[#This Row],[Distribution Date]])</f>
        <v>2012</v>
      </c>
      <c r="C528" s="744">
        <v>41089</v>
      </c>
      <c r="D528" s="402" t="s">
        <v>270</v>
      </c>
      <c r="E528" s="401"/>
      <c r="F528" s="402" t="s">
        <v>7</v>
      </c>
      <c r="G528" s="670" t="s">
        <v>17</v>
      </c>
      <c r="H528" s="670" t="s">
        <v>82</v>
      </c>
      <c r="I528" s="670"/>
      <c r="J528" s="670"/>
      <c r="K528" s="670"/>
      <c r="L528" s="42"/>
      <c r="M528" s="42"/>
      <c r="N528" s="42"/>
      <c r="O528" s="42">
        <v>66</v>
      </c>
      <c r="P528" s="42"/>
      <c r="Q528" s="42"/>
      <c r="R528" s="42"/>
      <c r="S528" s="42"/>
      <c r="T528" s="419"/>
      <c r="U528" s="42"/>
      <c r="V528" s="42"/>
      <c r="W528" s="42"/>
      <c r="X528" s="42"/>
      <c r="Y528" s="42"/>
      <c r="Z528" s="42"/>
      <c r="AA528" s="42"/>
      <c r="AB528" s="42"/>
      <c r="AC528" s="105">
        <f>IF(NFI_Expiration=1,IF($A528&lt;VLOOKUP(I$5,NFI,5,0),1,0)*Data_NFI_t[[#This Row],[Hygiene Kit]],0)</f>
        <v>0</v>
      </c>
      <c r="AD528" s="105">
        <f>IF(NFI_Expiration=1,IF($A528&lt;VLOOKUP(L$5,NFI,5,0),1,0)*Data_NFI_t[[#This Row],[NFI Core Kit]],0)</f>
        <v>0</v>
      </c>
      <c r="AE528" s="86">
        <f>IF(NFI_Expiration=1,IF($A528&lt;VLOOKUP(M$5,NFI,5,0),1,0)*Data_NFI_t[[#This Row],[Sanitary Kit]],0)</f>
        <v>0</v>
      </c>
      <c r="AF528" s="86">
        <f>IF(NFI_Expiration=1,IF($A528&lt;VLOOKUP(N$5,NFI,5,0),1,0)*Data_NFI_t[[#This Row],[Mosquito net]],0)</f>
        <v>0</v>
      </c>
      <c r="AG528" s="86">
        <f>IF(NFI_Expiration=1,IF($A528&lt;VLOOKUP(O$5,NFI,5,0),1,0)*Data_NFI_t[[#This Row],[Tarpaulin]],0)</f>
        <v>0</v>
      </c>
      <c r="AH528" s="86">
        <f>IF(NFI_Expiration=1,IF($A528&lt;VLOOKUP(P$5,NFI,5,0),1,0)*Data_NFI_t[[#This Row],[Blanket]],0)</f>
        <v>0</v>
      </c>
      <c r="AI528" s="86">
        <f>IF(NFI_Expiration=1,IF($A528&lt;VLOOKUP(Q$5,NFI,5,0),1,0)*Data_NFI_t[[#This Row],[Kitchen Set]],0)</f>
        <v>0</v>
      </c>
      <c r="AJ528" s="86">
        <f>IF(NFI_Expiration=1,IF($A528&lt;VLOOKUP(R$5,NFI,5,0),1,0)*Data_NFI_t[[#This Row],[Complementary Kit]],0)</f>
        <v>0</v>
      </c>
      <c r="AK528" s="86">
        <f>IF(NFI_Expiration=1,IF($A528&lt;VLOOKUP(S$5,NFI,5,0),1,0)*Data_NFI_t[[#This Row],[Plastic Bucket]],0)</f>
        <v>0</v>
      </c>
      <c r="AL528" s="86">
        <f>IF(NFI_Expiration=1,IF($A528&lt;VLOOKUP(T$5,NFI,5,0),1,0)*Data_NFI_t[[#This Row],[Jerry Can]],0)</f>
        <v>0</v>
      </c>
      <c r="AM528" s="105">
        <f>IF(NFI_Expiration=1,IF($A528&lt;VLOOKUP(U$5,NFI,5,0),1,0)*Data_NFI_t[[#This Row],[Plastic Mat]],0)*IF(Data_NFI_t[[#This Row],[Distribution Date]]&gt;"01-06-2015",1,2.5)</f>
        <v>0</v>
      </c>
      <c r="AN528" s="734">
        <f>IF(NFI_Expiration=1,IF($A528&lt;VLOOKUP(V$5,NFI,5,0),1,0)*Data_NFI_t[[#This Row],[Adult Clothes]],0)</f>
        <v>0</v>
      </c>
      <c r="AO528" s="105">
        <f>IF(NFI_Expiration=1,IF($A528&lt;VLOOKUP(W$5,NFI,5,0),1,0)*Data_NFI_t[[#This Row],[Children Clothes]],0)</f>
        <v>0</v>
      </c>
      <c r="AP528" s="105">
        <f>IF(NFI_Expiration=1,IF($A528&lt;VLOOKUP(X$5,NFI,5,0),1,0)*Data_NFI_t[[#This Row],[Sewing Kit]],0)</f>
        <v>0</v>
      </c>
      <c r="AQ528" s="734">
        <f>IF(NFI_Expiration=1,IF($A528&lt;VLOOKUP(X$5,NFI,5,0),1,0)*Data_NFI_t[[#This Row],[Solar Lantern]],0)</f>
        <v>0</v>
      </c>
      <c r="AR528" s="105" t="str">
        <f ca="1">IFERROR(OFFSET(Camp_List[P_Code],MATCH(Data_NFI_t[[#This Row],[Camp Name]],Camp_List[Camp Name],0)-1,0,1,1),"")</f>
        <v>MMR012CMP063</v>
      </c>
      <c r="AS528" s="421" t="str">
        <f ca="1">IFERROR(OFFSET(Camp_List[Status],MATCH(Data_NFI_t[[#This Row],[Camp Name]],Camp_List[Camp Name],0)-1,0,1,1),"")</f>
        <v>Close</v>
      </c>
      <c r="AT528" s="105"/>
    </row>
    <row r="529" spans="1:46" s="78" customFormat="1" ht="19.5" customHeight="1" x14ac:dyDescent="0.25">
      <c r="A529" s="208">
        <f t="shared" si="8"/>
        <v>70.033333333333331</v>
      </c>
      <c r="B529" s="208">
        <f>YEAR(Data_NFI_t[[#This Row],[Distribution Date]])</f>
        <v>2012</v>
      </c>
      <c r="C529" s="744">
        <v>41089</v>
      </c>
      <c r="D529" s="402" t="s">
        <v>270</v>
      </c>
      <c r="E529" s="401"/>
      <c r="F529" s="402" t="s">
        <v>7</v>
      </c>
      <c r="G529" s="670" t="s">
        <v>17</v>
      </c>
      <c r="H529" s="670" t="s">
        <v>87</v>
      </c>
      <c r="I529" s="670"/>
      <c r="J529" s="670"/>
      <c r="K529" s="670"/>
      <c r="L529" s="42"/>
      <c r="M529" s="42"/>
      <c r="N529" s="42"/>
      <c r="O529" s="42">
        <v>62</v>
      </c>
      <c r="P529" s="42"/>
      <c r="Q529" s="42"/>
      <c r="R529" s="42"/>
      <c r="S529" s="42"/>
      <c r="T529" s="419"/>
      <c r="U529" s="42"/>
      <c r="V529" s="42"/>
      <c r="W529" s="42"/>
      <c r="X529" s="42"/>
      <c r="Y529" s="42"/>
      <c r="Z529" s="42"/>
      <c r="AA529" s="42"/>
      <c r="AB529" s="42"/>
      <c r="AC529" s="105">
        <f>IF(NFI_Expiration=1,IF($A529&lt;VLOOKUP(I$5,NFI,5,0),1,0)*Data_NFI_t[[#This Row],[Hygiene Kit]],0)</f>
        <v>0</v>
      </c>
      <c r="AD529" s="105">
        <f>IF(NFI_Expiration=1,IF($A529&lt;VLOOKUP(L$5,NFI,5,0),1,0)*Data_NFI_t[[#This Row],[NFI Core Kit]],0)</f>
        <v>0</v>
      </c>
      <c r="AE529" s="86">
        <f>IF(NFI_Expiration=1,IF($A529&lt;VLOOKUP(M$5,NFI,5,0),1,0)*Data_NFI_t[[#This Row],[Sanitary Kit]],0)</f>
        <v>0</v>
      </c>
      <c r="AF529" s="86">
        <f>IF(NFI_Expiration=1,IF($A529&lt;VLOOKUP(N$5,NFI,5,0),1,0)*Data_NFI_t[[#This Row],[Mosquito net]],0)</f>
        <v>0</v>
      </c>
      <c r="AG529" s="86">
        <f>IF(NFI_Expiration=1,IF($A529&lt;VLOOKUP(O$5,NFI,5,0),1,0)*Data_NFI_t[[#This Row],[Tarpaulin]],0)</f>
        <v>0</v>
      </c>
      <c r="AH529" s="86">
        <f>IF(NFI_Expiration=1,IF($A529&lt;VLOOKUP(P$5,NFI,5,0),1,0)*Data_NFI_t[[#This Row],[Blanket]],0)</f>
        <v>0</v>
      </c>
      <c r="AI529" s="86">
        <f>IF(NFI_Expiration=1,IF($A529&lt;VLOOKUP(Q$5,NFI,5,0),1,0)*Data_NFI_t[[#This Row],[Kitchen Set]],0)</f>
        <v>0</v>
      </c>
      <c r="AJ529" s="86">
        <f>IF(NFI_Expiration=1,IF($A529&lt;VLOOKUP(R$5,NFI,5,0),1,0)*Data_NFI_t[[#This Row],[Complementary Kit]],0)</f>
        <v>0</v>
      </c>
      <c r="AK529" s="86">
        <f>IF(NFI_Expiration=1,IF($A529&lt;VLOOKUP(S$5,NFI,5,0),1,0)*Data_NFI_t[[#This Row],[Plastic Bucket]],0)</f>
        <v>0</v>
      </c>
      <c r="AL529" s="86">
        <f>IF(NFI_Expiration=1,IF($A529&lt;VLOOKUP(T$5,NFI,5,0),1,0)*Data_NFI_t[[#This Row],[Jerry Can]],0)</f>
        <v>0</v>
      </c>
      <c r="AM529" s="105">
        <f>IF(NFI_Expiration=1,IF($A529&lt;VLOOKUP(U$5,NFI,5,0),1,0)*Data_NFI_t[[#This Row],[Plastic Mat]],0)*IF(Data_NFI_t[[#This Row],[Distribution Date]]&gt;"01-06-2015",1,2.5)</f>
        <v>0</v>
      </c>
      <c r="AN529" s="734">
        <f>IF(NFI_Expiration=1,IF($A529&lt;VLOOKUP(V$5,NFI,5,0),1,0)*Data_NFI_t[[#This Row],[Adult Clothes]],0)</f>
        <v>0</v>
      </c>
      <c r="AO529" s="105">
        <f>IF(NFI_Expiration=1,IF($A529&lt;VLOOKUP(W$5,NFI,5,0),1,0)*Data_NFI_t[[#This Row],[Children Clothes]],0)</f>
        <v>0</v>
      </c>
      <c r="AP529" s="105">
        <f>IF(NFI_Expiration=1,IF($A529&lt;VLOOKUP(X$5,NFI,5,0),1,0)*Data_NFI_t[[#This Row],[Sewing Kit]],0)</f>
        <v>0</v>
      </c>
      <c r="AQ529" s="734">
        <f>IF(NFI_Expiration=1,IF($A529&lt;VLOOKUP(X$5,NFI,5,0),1,0)*Data_NFI_t[[#This Row],[Solar Lantern]],0)</f>
        <v>0</v>
      </c>
      <c r="AR529" s="105" t="str">
        <f ca="1">IFERROR(OFFSET(Camp_List[P_Code],MATCH(Data_NFI_t[[#This Row],[Camp Name]],Camp_List[Camp Name],0)-1,0,1,1),"")</f>
        <v>MMR012CMP068</v>
      </c>
      <c r="AS529" s="421" t="str">
        <f ca="1">IFERROR(OFFSET(Camp_List[Status],MATCH(Data_NFI_t[[#This Row],[Camp Name]],Camp_List[Camp Name],0)-1,0,1,1),"")</f>
        <v>Close</v>
      </c>
      <c r="AT529" s="105"/>
    </row>
    <row r="530" spans="1:46" s="78" customFormat="1" ht="19.5" customHeight="1" x14ac:dyDescent="0.25">
      <c r="A530" s="208">
        <f t="shared" si="8"/>
        <v>70.033333333333331</v>
      </c>
      <c r="B530" s="208">
        <f>YEAR(Data_NFI_t[[#This Row],[Distribution Date]])</f>
        <v>2012</v>
      </c>
      <c r="C530" s="744">
        <v>41089</v>
      </c>
      <c r="D530" s="402" t="s">
        <v>270</v>
      </c>
      <c r="E530" s="401"/>
      <c r="F530" s="402" t="s">
        <v>7</v>
      </c>
      <c r="G530" s="670" t="s">
        <v>17</v>
      </c>
      <c r="H530" s="670" t="s">
        <v>68</v>
      </c>
      <c r="I530" s="670"/>
      <c r="J530" s="670"/>
      <c r="K530" s="670"/>
      <c r="L530" s="42"/>
      <c r="M530" s="42"/>
      <c r="N530" s="42"/>
      <c r="O530" s="42">
        <v>200</v>
      </c>
      <c r="P530" s="42"/>
      <c r="Q530" s="42"/>
      <c r="R530" s="42"/>
      <c r="S530" s="42"/>
      <c r="T530" s="419"/>
      <c r="U530" s="42"/>
      <c r="V530" s="42"/>
      <c r="W530" s="42"/>
      <c r="X530" s="42"/>
      <c r="Y530" s="42"/>
      <c r="Z530" s="42"/>
      <c r="AA530" s="42"/>
      <c r="AB530" s="42"/>
      <c r="AC530" s="105">
        <f>IF(NFI_Expiration=1,IF($A530&lt;VLOOKUP(I$5,NFI,5,0),1,0)*Data_NFI_t[[#This Row],[Hygiene Kit]],0)</f>
        <v>0</v>
      </c>
      <c r="AD530" s="105">
        <f>IF(NFI_Expiration=1,IF($A530&lt;VLOOKUP(L$5,NFI,5,0),1,0)*Data_NFI_t[[#This Row],[NFI Core Kit]],0)</f>
        <v>0</v>
      </c>
      <c r="AE530" s="86">
        <f>IF(NFI_Expiration=1,IF($A530&lt;VLOOKUP(M$5,NFI,5,0),1,0)*Data_NFI_t[[#This Row],[Sanitary Kit]],0)</f>
        <v>0</v>
      </c>
      <c r="AF530" s="86">
        <f>IF(NFI_Expiration=1,IF($A530&lt;VLOOKUP(N$5,NFI,5,0),1,0)*Data_NFI_t[[#This Row],[Mosquito net]],0)</f>
        <v>0</v>
      </c>
      <c r="AG530" s="86">
        <f>IF(NFI_Expiration=1,IF($A530&lt;VLOOKUP(O$5,NFI,5,0),1,0)*Data_NFI_t[[#This Row],[Tarpaulin]],0)</f>
        <v>0</v>
      </c>
      <c r="AH530" s="86">
        <f>IF(NFI_Expiration=1,IF($A530&lt;VLOOKUP(P$5,NFI,5,0),1,0)*Data_NFI_t[[#This Row],[Blanket]],0)</f>
        <v>0</v>
      </c>
      <c r="AI530" s="86">
        <f>IF(NFI_Expiration=1,IF($A530&lt;VLOOKUP(Q$5,NFI,5,0),1,0)*Data_NFI_t[[#This Row],[Kitchen Set]],0)</f>
        <v>0</v>
      </c>
      <c r="AJ530" s="86">
        <f>IF(NFI_Expiration=1,IF($A530&lt;VLOOKUP(R$5,NFI,5,0),1,0)*Data_NFI_t[[#This Row],[Complementary Kit]],0)</f>
        <v>0</v>
      </c>
      <c r="AK530" s="86">
        <f>IF(NFI_Expiration=1,IF($A530&lt;VLOOKUP(S$5,NFI,5,0),1,0)*Data_NFI_t[[#This Row],[Plastic Bucket]],0)</f>
        <v>0</v>
      </c>
      <c r="AL530" s="86">
        <f>IF(NFI_Expiration=1,IF($A530&lt;VLOOKUP(T$5,NFI,5,0),1,0)*Data_NFI_t[[#This Row],[Jerry Can]],0)</f>
        <v>0</v>
      </c>
      <c r="AM530" s="105">
        <f>IF(NFI_Expiration=1,IF($A530&lt;VLOOKUP(U$5,NFI,5,0),1,0)*Data_NFI_t[[#This Row],[Plastic Mat]],0)*IF(Data_NFI_t[[#This Row],[Distribution Date]]&gt;"01-06-2015",1,2.5)</f>
        <v>0</v>
      </c>
      <c r="AN530" s="734">
        <f>IF(NFI_Expiration=1,IF($A530&lt;VLOOKUP(V$5,NFI,5,0),1,0)*Data_NFI_t[[#This Row],[Adult Clothes]],0)</f>
        <v>0</v>
      </c>
      <c r="AO530" s="105">
        <f>IF(NFI_Expiration=1,IF($A530&lt;VLOOKUP(W$5,NFI,5,0),1,0)*Data_NFI_t[[#This Row],[Children Clothes]],0)</f>
        <v>0</v>
      </c>
      <c r="AP530" s="105">
        <f>IF(NFI_Expiration=1,IF($A530&lt;VLOOKUP(X$5,NFI,5,0),1,0)*Data_NFI_t[[#This Row],[Sewing Kit]],0)</f>
        <v>0</v>
      </c>
      <c r="AQ530" s="734">
        <f>IF(NFI_Expiration=1,IF($A530&lt;VLOOKUP(X$5,NFI,5,0),1,0)*Data_NFI_t[[#This Row],[Solar Lantern]],0)</f>
        <v>0</v>
      </c>
      <c r="AR530" s="105" t="str">
        <f ca="1">IFERROR(OFFSET(Camp_List[P_Code],MATCH(Data_NFI_t[[#This Row],[Camp Name]],Camp_List[Camp Name],0)-1,0,1,1),"")</f>
        <v>MMR012CMP048</v>
      </c>
      <c r="AS530" s="421" t="str">
        <f ca="1">IFERROR(OFFSET(Camp_List[Status],MATCH(Data_NFI_t[[#This Row],[Camp Name]],Camp_List[Camp Name],0)-1,0,1,1),"")</f>
        <v>Open</v>
      </c>
      <c r="AT530" s="105"/>
    </row>
    <row r="531" spans="1:46" s="78" customFormat="1" ht="19.5" customHeight="1" x14ac:dyDescent="0.25">
      <c r="A531" s="208">
        <f t="shared" si="8"/>
        <v>70.066666666666663</v>
      </c>
      <c r="B531" s="208">
        <f>YEAR(Data_NFI_t[[#This Row],[Distribution Date]])</f>
        <v>2012</v>
      </c>
      <c r="C531" s="744">
        <v>41088</v>
      </c>
      <c r="D531" s="402" t="s">
        <v>270</v>
      </c>
      <c r="E531" s="401"/>
      <c r="F531" s="402" t="s">
        <v>7</v>
      </c>
      <c r="G531" s="670" t="s">
        <v>17</v>
      </c>
      <c r="H531" s="670" t="s">
        <v>275</v>
      </c>
      <c r="I531" s="670"/>
      <c r="J531" s="670"/>
      <c r="K531" s="670"/>
      <c r="L531" s="42"/>
      <c r="M531" s="42"/>
      <c r="N531" s="42"/>
      <c r="O531" s="42">
        <v>52</v>
      </c>
      <c r="P531" s="42"/>
      <c r="Q531" s="42"/>
      <c r="R531" s="42"/>
      <c r="S531" s="42"/>
      <c r="T531" s="419"/>
      <c r="U531" s="42"/>
      <c r="V531" s="42"/>
      <c r="W531" s="42"/>
      <c r="X531" s="42"/>
      <c r="Y531" s="42"/>
      <c r="Z531" s="42"/>
      <c r="AA531" s="42"/>
      <c r="AB531" s="42"/>
      <c r="AC531" s="105">
        <f>IF(NFI_Expiration=1,IF($A531&lt;VLOOKUP(I$5,NFI,5,0),1,0)*Data_NFI_t[[#This Row],[Hygiene Kit]],0)</f>
        <v>0</v>
      </c>
      <c r="AD531" s="105">
        <f>IF(NFI_Expiration=1,IF($A531&lt;VLOOKUP(L$5,NFI,5,0),1,0)*Data_NFI_t[[#This Row],[NFI Core Kit]],0)</f>
        <v>0</v>
      </c>
      <c r="AE531" s="86">
        <f>IF(NFI_Expiration=1,IF($A531&lt;VLOOKUP(M$5,NFI,5,0),1,0)*Data_NFI_t[[#This Row],[Sanitary Kit]],0)</f>
        <v>0</v>
      </c>
      <c r="AF531" s="86">
        <f>IF(NFI_Expiration=1,IF($A531&lt;VLOOKUP(N$5,NFI,5,0),1,0)*Data_NFI_t[[#This Row],[Mosquito net]],0)</f>
        <v>0</v>
      </c>
      <c r="AG531" s="86">
        <f>IF(NFI_Expiration=1,IF($A531&lt;VLOOKUP(O$5,NFI,5,0),1,0)*Data_NFI_t[[#This Row],[Tarpaulin]],0)</f>
        <v>0</v>
      </c>
      <c r="AH531" s="86">
        <f>IF(NFI_Expiration=1,IF($A531&lt;VLOOKUP(P$5,NFI,5,0),1,0)*Data_NFI_t[[#This Row],[Blanket]],0)</f>
        <v>0</v>
      </c>
      <c r="AI531" s="86">
        <f>IF(NFI_Expiration=1,IF($A531&lt;VLOOKUP(Q$5,NFI,5,0),1,0)*Data_NFI_t[[#This Row],[Kitchen Set]],0)</f>
        <v>0</v>
      </c>
      <c r="AJ531" s="86">
        <f>IF(NFI_Expiration=1,IF($A531&lt;VLOOKUP(R$5,NFI,5,0),1,0)*Data_NFI_t[[#This Row],[Complementary Kit]],0)</f>
        <v>0</v>
      </c>
      <c r="AK531" s="86">
        <f>IF(NFI_Expiration=1,IF($A531&lt;VLOOKUP(S$5,NFI,5,0),1,0)*Data_NFI_t[[#This Row],[Plastic Bucket]],0)</f>
        <v>0</v>
      </c>
      <c r="AL531" s="86">
        <f>IF(NFI_Expiration=1,IF($A531&lt;VLOOKUP(T$5,NFI,5,0),1,0)*Data_NFI_t[[#This Row],[Jerry Can]],0)</f>
        <v>0</v>
      </c>
      <c r="AM531" s="105">
        <f>IF(NFI_Expiration=1,IF($A531&lt;VLOOKUP(U$5,NFI,5,0),1,0)*Data_NFI_t[[#This Row],[Plastic Mat]],0)*IF(Data_NFI_t[[#This Row],[Distribution Date]]&gt;"01-06-2015",1,2.5)</f>
        <v>0</v>
      </c>
      <c r="AN531" s="734">
        <f>IF(NFI_Expiration=1,IF($A531&lt;VLOOKUP(V$5,NFI,5,0),1,0)*Data_NFI_t[[#This Row],[Adult Clothes]],0)</f>
        <v>0</v>
      </c>
      <c r="AO531" s="105">
        <f>IF(NFI_Expiration=1,IF($A531&lt;VLOOKUP(W$5,NFI,5,0),1,0)*Data_NFI_t[[#This Row],[Children Clothes]],0)</f>
        <v>0</v>
      </c>
      <c r="AP531" s="105">
        <f>IF(NFI_Expiration=1,IF($A531&lt;VLOOKUP(X$5,NFI,5,0),1,0)*Data_NFI_t[[#This Row],[Sewing Kit]],0)</f>
        <v>0</v>
      </c>
      <c r="AQ531" s="734">
        <f>IF(NFI_Expiration=1,IF($A531&lt;VLOOKUP(X$5,NFI,5,0),1,0)*Data_NFI_t[[#This Row],[Solar Lantern]],0)</f>
        <v>0</v>
      </c>
      <c r="AR531" s="105" t="str">
        <f ca="1">IFERROR(OFFSET(Camp_List[P_Code],MATCH(Data_NFI_t[[#This Row],[Camp Name]],Camp_List[Camp Name],0)-1,0,1,1),"")</f>
        <v/>
      </c>
      <c r="AS531" s="421" t="str">
        <f ca="1">IFERROR(OFFSET(Camp_List[Status],MATCH(Data_NFI_t[[#This Row],[Camp Name]],Camp_List[Camp Name],0)-1,0,1,1),"")</f>
        <v/>
      </c>
      <c r="AT531" s="105"/>
    </row>
    <row r="532" spans="1:46" s="78" customFormat="1" ht="19.5" customHeight="1" x14ac:dyDescent="0.25">
      <c r="A532" s="208">
        <f t="shared" si="8"/>
        <v>70.066666666666663</v>
      </c>
      <c r="B532" s="208">
        <f>YEAR(Data_NFI_t[[#This Row],[Distribution Date]])</f>
        <v>2012</v>
      </c>
      <c r="C532" s="744">
        <v>41088</v>
      </c>
      <c r="D532" s="402" t="s">
        <v>270</v>
      </c>
      <c r="E532" s="401"/>
      <c r="F532" s="402" t="s">
        <v>7</v>
      </c>
      <c r="G532" s="670" t="s">
        <v>17</v>
      </c>
      <c r="H532" s="670" t="s">
        <v>61</v>
      </c>
      <c r="I532" s="670"/>
      <c r="J532" s="670"/>
      <c r="K532" s="670"/>
      <c r="L532" s="42"/>
      <c r="M532" s="42"/>
      <c r="N532" s="42"/>
      <c r="O532" s="42">
        <v>300</v>
      </c>
      <c r="P532" s="42"/>
      <c r="Q532" s="42"/>
      <c r="R532" s="42"/>
      <c r="S532" s="42"/>
      <c r="T532" s="419"/>
      <c r="U532" s="42"/>
      <c r="V532" s="42"/>
      <c r="W532" s="42"/>
      <c r="X532" s="42"/>
      <c r="Y532" s="42"/>
      <c r="Z532" s="42"/>
      <c r="AA532" s="42"/>
      <c r="AB532" s="42"/>
      <c r="AC532" s="105">
        <f>IF(NFI_Expiration=1,IF($A532&lt;VLOOKUP(I$5,NFI,5,0),1,0)*Data_NFI_t[[#This Row],[Hygiene Kit]],0)</f>
        <v>0</v>
      </c>
      <c r="AD532" s="105">
        <f>IF(NFI_Expiration=1,IF($A532&lt;VLOOKUP(L$5,NFI,5,0),1,0)*Data_NFI_t[[#This Row],[NFI Core Kit]],0)</f>
        <v>0</v>
      </c>
      <c r="AE532" s="86">
        <f>IF(NFI_Expiration=1,IF($A532&lt;VLOOKUP(M$5,NFI,5,0),1,0)*Data_NFI_t[[#This Row],[Sanitary Kit]],0)</f>
        <v>0</v>
      </c>
      <c r="AF532" s="86">
        <f>IF(NFI_Expiration=1,IF($A532&lt;VLOOKUP(N$5,NFI,5,0),1,0)*Data_NFI_t[[#This Row],[Mosquito net]],0)</f>
        <v>0</v>
      </c>
      <c r="AG532" s="86">
        <f>IF(NFI_Expiration=1,IF($A532&lt;VLOOKUP(O$5,NFI,5,0),1,0)*Data_NFI_t[[#This Row],[Tarpaulin]],0)</f>
        <v>0</v>
      </c>
      <c r="AH532" s="86">
        <f>IF(NFI_Expiration=1,IF($A532&lt;VLOOKUP(P$5,NFI,5,0),1,0)*Data_NFI_t[[#This Row],[Blanket]],0)</f>
        <v>0</v>
      </c>
      <c r="AI532" s="86">
        <f>IF(NFI_Expiration=1,IF($A532&lt;VLOOKUP(Q$5,NFI,5,0),1,0)*Data_NFI_t[[#This Row],[Kitchen Set]],0)</f>
        <v>0</v>
      </c>
      <c r="AJ532" s="86">
        <f>IF(NFI_Expiration=1,IF($A532&lt;VLOOKUP(R$5,NFI,5,0),1,0)*Data_NFI_t[[#This Row],[Complementary Kit]],0)</f>
        <v>0</v>
      </c>
      <c r="AK532" s="86">
        <f>IF(NFI_Expiration=1,IF($A532&lt;VLOOKUP(S$5,NFI,5,0),1,0)*Data_NFI_t[[#This Row],[Plastic Bucket]],0)</f>
        <v>0</v>
      </c>
      <c r="AL532" s="86">
        <f>IF(NFI_Expiration=1,IF($A532&lt;VLOOKUP(T$5,NFI,5,0),1,0)*Data_NFI_t[[#This Row],[Jerry Can]],0)</f>
        <v>0</v>
      </c>
      <c r="AM532" s="105">
        <f>IF(NFI_Expiration=1,IF($A532&lt;VLOOKUP(U$5,NFI,5,0),1,0)*Data_NFI_t[[#This Row],[Plastic Mat]],0)*IF(Data_NFI_t[[#This Row],[Distribution Date]]&gt;"01-06-2015",1,2.5)</f>
        <v>0</v>
      </c>
      <c r="AN532" s="734">
        <f>IF(NFI_Expiration=1,IF($A532&lt;VLOOKUP(V$5,NFI,5,0),1,0)*Data_NFI_t[[#This Row],[Adult Clothes]],0)</f>
        <v>0</v>
      </c>
      <c r="AO532" s="105">
        <f>IF(NFI_Expiration=1,IF($A532&lt;VLOOKUP(W$5,NFI,5,0),1,0)*Data_NFI_t[[#This Row],[Children Clothes]],0)</f>
        <v>0</v>
      </c>
      <c r="AP532" s="105">
        <f>IF(NFI_Expiration=1,IF($A532&lt;VLOOKUP(X$5,NFI,5,0),1,0)*Data_NFI_t[[#This Row],[Sewing Kit]],0)</f>
        <v>0</v>
      </c>
      <c r="AQ532" s="734">
        <f>IF(NFI_Expiration=1,IF($A532&lt;VLOOKUP(X$5,NFI,5,0),1,0)*Data_NFI_t[[#This Row],[Solar Lantern]],0)</f>
        <v>0</v>
      </c>
      <c r="AR532" s="105" t="str">
        <f ca="1">IFERROR(OFFSET(Camp_List[P_Code],MATCH(Data_NFI_t[[#This Row],[Camp Name]],Camp_List[Camp Name],0)-1,0,1,1),"")</f>
        <v>MMR012CMP041</v>
      </c>
      <c r="AS532" s="421" t="str">
        <f ca="1">IFERROR(OFFSET(Camp_List[Status],MATCH(Data_NFI_t[[#This Row],[Camp Name]],Camp_List[Camp Name],0)-1,0,1,1),"")</f>
        <v>Open</v>
      </c>
      <c r="AT532" s="105"/>
    </row>
    <row r="533" spans="1:46" s="78" customFormat="1" ht="19.5" customHeight="1" x14ac:dyDescent="0.25">
      <c r="A533" s="208">
        <f t="shared" si="8"/>
        <v>70.066666666666663</v>
      </c>
      <c r="B533" s="208">
        <f>YEAR(Data_NFI_t[[#This Row],[Distribution Date]])</f>
        <v>2012</v>
      </c>
      <c r="C533" s="744">
        <v>41088</v>
      </c>
      <c r="D533" s="402" t="s">
        <v>270</v>
      </c>
      <c r="E533" s="401"/>
      <c r="F533" s="402" t="s">
        <v>7</v>
      </c>
      <c r="G533" s="670" t="s">
        <v>17</v>
      </c>
      <c r="H533" s="670" t="s">
        <v>237</v>
      </c>
      <c r="I533" s="670"/>
      <c r="J533" s="670"/>
      <c r="K533" s="670"/>
      <c r="L533" s="42"/>
      <c r="M533" s="42"/>
      <c r="N533" s="42"/>
      <c r="O533" s="42">
        <v>9</v>
      </c>
      <c r="P533" s="42"/>
      <c r="Q533" s="42"/>
      <c r="R533" s="42"/>
      <c r="S533" s="42"/>
      <c r="T533" s="419"/>
      <c r="U533" s="42"/>
      <c r="V533" s="42"/>
      <c r="W533" s="42"/>
      <c r="X533" s="42"/>
      <c r="Y533" s="42"/>
      <c r="Z533" s="42"/>
      <c r="AA533" s="42"/>
      <c r="AB533" s="42"/>
      <c r="AC533" s="105">
        <f>IF(NFI_Expiration=1,IF($A533&lt;VLOOKUP(I$5,NFI,5,0),1,0)*Data_NFI_t[[#This Row],[Hygiene Kit]],0)</f>
        <v>0</v>
      </c>
      <c r="AD533" s="105">
        <f>IF(NFI_Expiration=1,IF($A533&lt;VLOOKUP(L$5,NFI,5,0),1,0)*Data_NFI_t[[#This Row],[NFI Core Kit]],0)</f>
        <v>0</v>
      </c>
      <c r="AE533" s="86">
        <f>IF(NFI_Expiration=1,IF($A533&lt;VLOOKUP(M$5,NFI,5,0),1,0)*Data_NFI_t[[#This Row],[Sanitary Kit]],0)</f>
        <v>0</v>
      </c>
      <c r="AF533" s="86">
        <f>IF(NFI_Expiration=1,IF($A533&lt;VLOOKUP(N$5,NFI,5,0),1,0)*Data_NFI_t[[#This Row],[Mosquito net]],0)</f>
        <v>0</v>
      </c>
      <c r="AG533" s="86">
        <f>IF(NFI_Expiration=1,IF($A533&lt;VLOOKUP(O$5,NFI,5,0),1,0)*Data_NFI_t[[#This Row],[Tarpaulin]],0)</f>
        <v>0</v>
      </c>
      <c r="AH533" s="86">
        <f>IF(NFI_Expiration=1,IF($A533&lt;VLOOKUP(P$5,NFI,5,0),1,0)*Data_NFI_t[[#This Row],[Blanket]],0)</f>
        <v>0</v>
      </c>
      <c r="AI533" s="86">
        <f>IF(NFI_Expiration=1,IF($A533&lt;VLOOKUP(Q$5,NFI,5,0),1,0)*Data_NFI_t[[#This Row],[Kitchen Set]],0)</f>
        <v>0</v>
      </c>
      <c r="AJ533" s="86">
        <f>IF(NFI_Expiration=1,IF($A533&lt;VLOOKUP(R$5,NFI,5,0),1,0)*Data_NFI_t[[#This Row],[Complementary Kit]],0)</f>
        <v>0</v>
      </c>
      <c r="AK533" s="86">
        <f>IF(NFI_Expiration=1,IF($A533&lt;VLOOKUP(S$5,NFI,5,0),1,0)*Data_NFI_t[[#This Row],[Plastic Bucket]],0)</f>
        <v>0</v>
      </c>
      <c r="AL533" s="86">
        <f>IF(NFI_Expiration=1,IF($A533&lt;VLOOKUP(T$5,NFI,5,0),1,0)*Data_NFI_t[[#This Row],[Jerry Can]],0)</f>
        <v>0</v>
      </c>
      <c r="AM533" s="105">
        <f>IF(NFI_Expiration=1,IF($A533&lt;VLOOKUP(U$5,NFI,5,0),1,0)*Data_NFI_t[[#This Row],[Plastic Mat]],0)*IF(Data_NFI_t[[#This Row],[Distribution Date]]&gt;"01-06-2015",1,2.5)</f>
        <v>0</v>
      </c>
      <c r="AN533" s="734">
        <f>IF(NFI_Expiration=1,IF($A533&lt;VLOOKUP(V$5,NFI,5,0),1,0)*Data_NFI_t[[#This Row],[Adult Clothes]],0)</f>
        <v>0</v>
      </c>
      <c r="AO533" s="105">
        <f>IF(NFI_Expiration=1,IF($A533&lt;VLOOKUP(W$5,NFI,5,0),1,0)*Data_NFI_t[[#This Row],[Children Clothes]],0)</f>
        <v>0</v>
      </c>
      <c r="AP533" s="105">
        <f>IF(NFI_Expiration=1,IF($A533&lt;VLOOKUP(X$5,NFI,5,0),1,0)*Data_NFI_t[[#This Row],[Sewing Kit]],0)</f>
        <v>0</v>
      </c>
      <c r="AQ533" s="734">
        <f>IF(NFI_Expiration=1,IF($A533&lt;VLOOKUP(X$5,NFI,5,0),1,0)*Data_NFI_t[[#This Row],[Solar Lantern]],0)</f>
        <v>0</v>
      </c>
      <c r="AR533" s="105" t="str">
        <f ca="1">IFERROR(OFFSET(Camp_List[P_Code],MATCH(Data_NFI_t[[#This Row],[Camp Name]],Camp_List[Camp Name],0)-1,0,1,1),"")</f>
        <v/>
      </c>
      <c r="AS533" s="421" t="str">
        <f ca="1">IFERROR(OFFSET(Camp_List[Status],MATCH(Data_NFI_t[[#This Row],[Camp Name]],Camp_List[Camp Name],0)-1,0,1,1),"")</f>
        <v/>
      </c>
      <c r="AT533" s="105"/>
    </row>
    <row r="534" spans="1:46" s="78" customFormat="1" ht="19.5" customHeight="1" x14ac:dyDescent="0.25">
      <c r="A534" s="208">
        <f t="shared" si="8"/>
        <v>70.066666666666663</v>
      </c>
      <c r="B534" s="208">
        <f>YEAR(Data_NFI_t[[#This Row],[Distribution Date]])</f>
        <v>2012</v>
      </c>
      <c r="C534" s="744">
        <v>41088</v>
      </c>
      <c r="D534" s="402" t="s">
        <v>270</v>
      </c>
      <c r="E534" s="401"/>
      <c r="F534" s="402" t="s">
        <v>7</v>
      </c>
      <c r="G534" s="670" t="s">
        <v>17</v>
      </c>
      <c r="H534" s="670" t="s">
        <v>236</v>
      </c>
      <c r="I534" s="670"/>
      <c r="J534" s="670"/>
      <c r="K534" s="670"/>
      <c r="L534" s="42"/>
      <c r="M534" s="42"/>
      <c r="N534" s="42"/>
      <c r="O534" s="42">
        <v>11</v>
      </c>
      <c r="P534" s="42"/>
      <c r="Q534" s="42"/>
      <c r="R534" s="42"/>
      <c r="S534" s="42"/>
      <c r="T534" s="419"/>
      <c r="U534" s="42"/>
      <c r="V534" s="42"/>
      <c r="W534" s="42"/>
      <c r="X534" s="42"/>
      <c r="Y534" s="42"/>
      <c r="Z534" s="42"/>
      <c r="AA534" s="42"/>
      <c r="AB534" s="42"/>
      <c r="AC534" s="105">
        <f>IF(NFI_Expiration=1,IF($A534&lt;VLOOKUP(I$5,NFI,5,0),1,0)*Data_NFI_t[[#This Row],[Hygiene Kit]],0)</f>
        <v>0</v>
      </c>
      <c r="AD534" s="105">
        <f>IF(NFI_Expiration=1,IF($A534&lt;VLOOKUP(L$5,NFI,5,0),1,0)*Data_NFI_t[[#This Row],[NFI Core Kit]],0)</f>
        <v>0</v>
      </c>
      <c r="AE534" s="86">
        <f>IF(NFI_Expiration=1,IF($A534&lt;VLOOKUP(M$5,NFI,5,0),1,0)*Data_NFI_t[[#This Row],[Sanitary Kit]],0)</f>
        <v>0</v>
      </c>
      <c r="AF534" s="86">
        <f>IF(NFI_Expiration=1,IF($A534&lt;VLOOKUP(N$5,NFI,5,0),1,0)*Data_NFI_t[[#This Row],[Mosquito net]],0)</f>
        <v>0</v>
      </c>
      <c r="AG534" s="86">
        <f>IF(NFI_Expiration=1,IF($A534&lt;VLOOKUP(O$5,NFI,5,0),1,0)*Data_NFI_t[[#This Row],[Tarpaulin]],0)</f>
        <v>0</v>
      </c>
      <c r="AH534" s="86">
        <f>IF(NFI_Expiration=1,IF($A534&lt;VLOOKUP(P$5,NFI,5,0),1,0)*Data_NFI_t[[#This Row],[Blanket]],0)</f>
        <v>0</v>
      </c>
      <c r="AI534" s="86">
        <f>IF(NFI_Expiration=1,IF($A534&lt;VLOOKUP(Q$5,NFI,5,0),1,0)*Data_NFI_t[[#This Row],[Kitchen Set]],0)</f>
        <v>0</v>
      </c>
      <c r="AJ534" s="86">
        <f>IF(NFI_Expiration=1,IF($A534&lt;VLOOKUP(R$5,NFI,5,0),1,0)*Data_NFI_t[[#This Row],[Complementary Kit]],0)</f>
        <v>0</v>
      </c>
      <c r="AK534" s="86">
        <f>IF(NFI_Expiration=1,IF($A534&lt;VLOOKUP(S$5,NFI,5,0),1,0)*Data_NFI_t[[#This Row],[Plastic Bucket]],0)</f>
        <v>0</v>
      </c>
      <c r="AL534" s="86">
        <f>IF(NFI_Expiration=1,IF($A534&lt;VLOOKUP(T$5,NFI,5,0),1,0)*Data_NFI_t[[#This Row],[Jerry Can]],0)</f>
        <v>0</v>
      </c>
      <c r="AM534" s="105">
        <f>IF(NFI_Expiration=1,IF($A534&lt;VLOOKUP(U$5,NFI,5,0),1,0)*Data_NFI_t[[#This Row],[Plastic Mat]],0)*IF(Data_NFI_t[[#This Row],[Distribution Date]]&gt;"01-06-2015",1,2.5)</f>
        <v>0</v>
      </c>
      <c r="AN534" s="734">
        <f>IF(NFI_Expiration=1,IF($A534&lt;VLOOKUP(V$5,NFI,5,0),1,0)*Data_NFI_t[[#This Row],[Adult Clothes]],0)</f>
        <v>0</v>
      </c>
      <c r="AO534" s="105">
        <f>IF(NFI_Expiration=1,IF($A534&lt;VLOOKUP(W$5,NFI,5,0),1,0)*Data_NFI_t[[#This Row],[Children Clothes]],0)</f>
        <v>0</v>
      </c>
      <c r="AP534" s="105">
        <f>IF(NFI_Expiration=1,IF($A534&lt;VLOOKUP(X$5,NFI,5,0),1,0)*Data_NFI_t[[#This Row],[Sewing Kit]],0)</f>
        <v>0</v>
      </c>
      <c r="AQ534" s="734">
        <f>IF(NFI_Expiration=1,IF($A534&lt;VLOOKUP(X$5,NFI,5,0),1,0)*Data_NFI_t[[#This Row],[Solar Lantern]],0)</f>
        <v>0</v>
      </c>
      <c r="AR534" s="105" t="str">
        <f ca="1">IFERROR(OFFSET(Camp_List[P_Code],MATCH(Data_NFI_t[[#This Row],[Camp Name]],Camp_List[Camp Name],0)-1,0,1,1),"")</f>
        <v/>
      </c>
      <c r="AS534" s="421" t="str">
        <f ca="1">IFERROR(OFFSET(Camp_List[Status],MATCH(Data_NFI_t[[#This Row],[Camp Name]],Camp_List[Camp Name],0)-1,0,1,1),"")</f>
        <v/>
      </c>
      <c r="AT534" s="105"/>
    </row>
    <row r="535" spans="1:46" ht="19.5" customHeight="1" x14ac:dyDescent="0.25">
      <c r="A535" s="208">
        <f t="shared" si="8"/>
        <v>70.066666666666663</v>
      </c>
      <c r="B535" s="429">
        <f>YEAR(Data_NFI_t[[#This Row],[Distribution Date]])</f>
        <v>2012</v>
      </c>
      <c r="C535" s="744">
        <v>41088</v>
      </c>
      <c r="D535" s="402" t="s">
        <v>270</v>
      </c>
      <c r="E535" s="401"/>
      <c r="F535" s="402" t="s">
        <v>7</v>
      </c>
      <c r="G535" s="670" t="s">
        <v>17</v>
      </c>
      <c r="H535" s="670" t="s">
        <v>235</v>
      </c>
      <c r="I535" s="670"/>
      <c r="J535" s="670"/>
      <c r="K535" s="670"/>
      <c r="L535" s="42"/>
      <c r="M535" s="42"/>
      <c r="N535" s="93"/>
      <c r="O535" s="93">
        <v>89</v>
      </c>
      <c r="P535" s="93"/>
      <c r="Q535" s="93"/>
      <c r="R535" s="93"/>
      <c r="S535" s="93"/>
      <c r="T535" s="420"/>
      <c r="U535" s="93"/>
      <c r="V535" s="93"/>
      <c r="W535" s="93"/>
      <c r="X535" s="93"/>
      <c r="Y535" s="93"/>
      <c r="Z535" s="93"/>
      <c r="AA535" s="93"/>
      <c r="AB535" s="93"/>
      <c r="AC535" s="105">
        <f>IF(NFI_Expiration=1,IF($A535&lt;VLOOKUP(I$5,NFI,5,0),1,0)*Data_NFI_t[[#This Row],[Hygiene Kit]],0)</f>
        <v>0</v>
      </c>
      <c r="AD535" s="105">
        <f>IF(NFI_Expiration=1,IF($A535&lt;VLOOKUP(L$5,NFI,5,0),1,0)*Data_NFI_t[[#This Row],[NFI Core Kit]],0)</f>
        <v>0</v>
      </c>
      <c r="AE535" s="86">
        <f>IF(NFI_Expiration=1,IF($A535&lt;VLOOKUP(M$5,NFI,5,0),1,0)*Data_NFI_t[[#This Row],[Sanitary Kit]],0)</f>
        <v>0</v>
      </c>
      <c r="AF535" s="86">
        <f>IF(NFI_Expiration=1,IF($A535&lt;VLOOKUP(N$5,NFI,5,0),1,0)*Data_NFI_t[[#This Row],[Mosquito net]],0)</f>
        <v>0</v>
      </c>
      <c r="AG535" s="86">
        <f>IF(NFI_Expiration=1,IF($A535&lt;VLOOKUP(O$5,NFI,5,0),1,0)*Data_NFI_t[[#This Row],[Tarpaulin]],0)</f>
        <v>0</v>
      </c>
      <c r="AH535" s="86">
        <f>IF(NFI_Expiration=1,IF($A535&lt;VLOOKUP(P$5,NFI,5,0),1,0)*Data_NFI_t[[#This Row],[Blanket]],0)</f>
        <v>0</v>
      </c>
      <c r="AI535" s="86">
        <f>IF(NFI_Expiration=1,IF($A535&lt;VLOOKUP(Q$5,NFI,5,0),1,0)*Data_NFI_t[[#This Row],[Kitchen Set]],0)</f>
        <v>0</v>
      </c>
      <c r="AJ535" s="86">
        <f>IF(NFI_Expiration=1,IF($A535&lt;VLOOKUP(R$5,NFI,5,0),1,0)*Data_NFI_t[[#This Row],[Complementary Kit]],0)</f>
        <v>0</v>
      </c>
      <c r="AK535" s="86">
        <f>IF(NFI_Expiration=1,IF($A535&lt;VLOOKUP(S$5,NFI,5,0),1,0)*Data_NFI_t[[#This Row],[Plastic Bucket]],0)</f>
        <v>0</v>
      </c>
      <c r="AL535" s="86">
        <f>IF(NFI_Expiration=1,IF($A535&lt;VLOOKUP(T$5,NFI,5,0),1,0)*Data_NFI_t[[#This Row],[Jerry Can]],0)</f>
        <v>0</v>
      </c>
      <c r="AM535" s="105">
        <f>IF(NFI_Expiration=1,IF($A535&lt;VLOOKUP(U$5,NFI,5,0),1,0)*Data_NFI_t[[#This Row],[Plastic Mat]],0)*IF(Data_NFI_t[[#This Row],[Distribution Date]]&gt;"01-06-2015",1,2.5)</f>
        <v>0</v>
      </c>
      <c r="AN535" s="734">
        <f>IF(NFI_Expiration=1,IF($A535&lt;VLOOKUP(V$5,NFI,5,0),1,0)*Data_NFI_t[[#This Row],[Adult Clothes]],0)</f>
        <v>0</v>
      </c>
      <c r="AO535" s="105">
        <f>IF(NFI_Expiration=1,IF($A535&lt;VLOOKUP(W$5,NFI,5,0),1,0)*Data_NFI_t[[#This Row],[Children Clothes]],0)</f>
        <v>0</v>
      </c>
      <c r="AP535" s="105">
        <f>IF(NFI_Expiration=1,IF($A535&lt;VLOOKUP(X$5,NFI,5,0),1,0)*Data_NFI_t[[#This Row],[Sewing Kit]],0)</f>
        <v>0</v>
      </c>
      <c r="AQ535" s="734">
        <f>IF(NFI_Expiration=1,IF($A535&lt;VLOOKUP(X$5,NFI,5,0),1,0)*Data_NFI_t[[#This Row],[Solar Lantern]],0)</f>
        <v>0</v>
      </c>
      <c r="AR535" s="105" t="str">
        <f ca="1">IFERROR(OFFSET(Camp_List[P_Code],MATCH(Data_NFI_t[[#This Row],[Camp Name]],Camp_List[Camp Name],0)-1,0,1,1),"")</f>
        <v/>
      </c>
      <c r="AS535" s="421" t="str">
        <f ca="1">IFERROR(OFFSET(Camp_List[Status],MATCH(Data_NFI_t[[#This Row],[Camp Name]],Camp_List[Camp Name],0)-1,0,1,1),"")</f>
        <v/>
      </c>
      <c r="AT535" s="105"/>
    </row>
    <row r="536" spans="1:46" ht="19.5" customHeight="1" x14ac:dyDescent="0.25">
      <c r="A536" s="208">
        <f t="shared" si="8"/>
        <v>70.099999999999994</v>
      </c>
      <c r="B536" s="429">
        <f>YEAR(Data_NFI_t[[#This Row],[Distribution Date]])</f>
        <v>2012</v>
      </c>
      <c r="C536" s="744">
        <v>41087</v>
      </c>
      <c r="D536" s="402" t="s">
        <v>270</v>
      </c>
      <c r="E536" s="401"/>
      <c r="F536" s="402" t="s">
        <v>7</v>
      </c>
      <c r="G536" s="670" t="s">
        <v>17</v>
      </c>
      <c r="H536" s="670" t="s">
        <v>91</v>
      </c>
      <c r="I536" s="670"/>
      <c r="J536" s="670"/>
      <c r="K536" s="670"/>
      <c r="L536" s="42"/>
      <c r="M536" s="42"/>
      <c r="N536" s="93"/>
      <c r="O536" s="93">
        <v>120</v>
      </c>
      <c r="P536" s="93"/>
      <c r="Q536" s="93"/>
      <c r="R536" s="93"/>
      <c r="S536" s="93"/>
      <c r="T536" s="420"/>
      <c r="U536" s="93"/>
      <c r="V536" s="93"/>
      <c r="W536" s="93"/>
      <c r="X536" s="93"/>
      <c r="Y536" s="93"/>
      <c r="Z536" s="93"/>
      <c r="AA536" s="93"/>
      <c r="AB536" s="93"/>
      <c r="AC536" s="105">
        <f>IF(NFI_Expiration=1,IF($A536&lt;VLOOKUP(I$5,NFI,5,0),1,0)*Data_NFI_t[[#This Row],[Hygiene Kit]],0)</f>
        <v>0</v>
      </c>
      <c r="AD536" s="105">
        <f>IF(NFI_Expiration=1,IF($A536&lt;VLOOKUP(L$5,NFI,5,0),1,0)*Data_NFI_t[[#This Row],[NFI Core Kit]],0)</f>
        <v>0</v>
      </c>
      <c r="AE536" s="86">
        <f>IF(NFI_Expiration=1,IF($A536&lt;VLOOKUP(M$5,NFI,5,0),1,0)*Data_NFI_t[[#This Row],[Sanitary Kit]],0)</f>
        <v>0</v>
      </c>
      <c r="AF536" s="86">
        <f>IF(NFI_Expiration=1,IF($A536&lt;VLOOKUP(N$5,NFI,5,0),1,0)*Data_NFI_t[[#This Row],[Mosquito net]],0)</f>
        <v>0</v>
      </c>
      <c r="AG536" s="86">
        <f>IF(NFI_Expiration=1,IF($A536&lt;VLOOKUP(O$5,NFI,5,0),1,0)*Data_NFI_t[[#This Row],[Tarpaulin]],0)</f>
        <v>0</v>
      </c>
      <c r="AH536" s="86">
        <f>IF(NFI_Expiration=1,IF($A536&lt;VLOOKUP(P$5,NFI,5,0),1,0)*Data_NFI_t[[#This Row],[Blanket]],0)</f>
        <v>0</v>
      </c>
      <c r="AI536" s="86">
        <f>IF(NFI_Expiration=1,IF($A536&lt;VLOOKUP(Q$5,NFI,5,0),1,0)*Data_NFI_t[[#This Row],[Kitchen Set]],0)</f>
        <v>0</v>
      </c>
      <c r="AJ536" s="86">
        <f>IF(NFI_Expiration=1,IF($A536&lt;VLOOKUP(R$5,NFI,5,0),1,0)*Data_NFI_t[[#This Row],[Complementary Kit]],0)</f>
        <v>0</v>
      </c>
      <c r="AK536" s="86">
        <f>IF(NFI_Expiration=1,IF($A536&lt;VLOOKUP(S$5,NFI,5,0),1,0)*Data_NFI_t[[#This Row],[Plastic Bucket]],0)</f>
        <v>0</v>
      </c>
      <c r="AL536" s="86">
        <f>IF(NFI_Expiration=1,IF($A536&lt;VLOOKUP(T$5,NFI,5,0),1,0)*Data_NFI_t[[#This Row],[Jerry Can]],0)</f>
        <v>0</v>
      </c>
      <c r="AM536" s="105">
        <f>IF(NFI_Expiration=1,IF($A536&lt;VLOOKUP(U$5,NFI,5,0),1,0)*Data_NFI_t[[#This Row],[Plastic Mat]],0)*IF(Data_NFI_t[[#This Row],[Distribution Date]]&gt;"01-06-2015",1,2.5)</f>
        <v>0</v>
      </c>
      <c r="AN536" s="734">
        <f>IF(NFI_Expiration=1,IF($A536&lt;VLOOKUP(V$5,NFI,5,0),1,0)*Data_NFI_t[[#This Row],[Adult Clothes]],0)</f>
        <v>0</v>
      </c>
      <c r="AO536" s="105">
        <f>IF(NFI_Expiration=1,IF($A536&lt;VLOOKUP(W$5,NFI,5,0),1,0)*Data_NFI_t[[#This Row],[Children Clothes]],0)</f>
        <v>0</v>
      </c>
      <c r="AP536" s="105">
        <f>IF(NFI_Expiration=1,IF($A536&lt;VLOOKUP(X$5,NFI,5,0),1,0)*Data_NFI_t[[#This Row],[Sewing Kit]],0)</f>
        <v>0</v>
      </c>
      <c r="AQ536" s="734">
        <f>IF(NFI_Expiration=1,IF($A536&lt;VLOOKUP(X$5,NFI,5,0),1,0)*Data_NFI_t[[#This Row],[Solar Lantern]],0)</f>
        <v>0</v>
      </c>
      <c r="AR536" s="105" t="str">
        <f ca="1">IFERROR(OFFSET(Camp_List[P_Code],MATCH(Data_NFI_t[[#This Row],[Camp Name]],Camp_List[Camp Name],0)-1,0,1,1),"")</f>
        <v>MMR012CMP072</v>
      </c>
      <c r="AS536" s="421" t="str">
        <f ca="1">IFERROR(OFFSET(Camp_List[Status],MATCH(Data_NFI_t[[#This Row],[Camp Name]],Camp_List[Camp Name],0)-1,0,1,1),"")</f>
        <v>Close</v>
      </c>
      <c r="AT536" s="105"/>
    </row>
    <row r="537" spans="1:46" ht="19.5" customHeight="1" x14ac:dyDescent="0.25">
      <c r="A537" s="208">
        <f t="shared" si="8"/>
        <v>70.099999999999994</v>
      </c>
      <c r="B537" s="429">
        <f>YEAR(Data_NFI_t[[#This Row],[Distribution Date]])</f>
        <v>2012</v>
      </c>
      <c r="C537" s="744">
        <v>41087</v>
      </c>
      <c r="D537" s="402" t="s">
        <v>270</v>
      </c>
      <c r="E537" s="401"/>
      <c r="F537" s="402" t="s">
        <v>7</v>
      </c>
      <c r="G537" s="670" t="s">
        <v>17</v>
      </c>
      <c r="H537" s="670" t="s">
        <v>233</v>
      </c>
      <c r="I537" s="670"/>
      <c r="J537" s="670"/>
      <c r="K537" s="670"/>
      <c r="L537" s="42"/>
      <c r="M537" s="42"/>
      <c r="N537" s="93"/>
      <c r="O537" s="93">
        <v>11</v>
      </c>
      <c r="P537" s="93"/>
      <c r="Q537" s="93"/>
      <c r="R537" s="93"/>
      <c r="S537" s="93"/>
      <c r="T537" s="420"/>
      <c r="U537" s="93"/>
      <c r="V537" s="93"/>
      <c r="W537" s="93"/>
      <c r="X537" s="93"/>
      <c r="Y537" s="93"/>
      <c r="Z537" s="93"/>
      <c r="AA537" s="93"/>
      <c r="AB537" s="93"/>
      <c r="AC537" s="105">
        <f>IF(NFI_Expiration=1,IF($A537&lt;VLOOKUP(I$5,NFI,5,0),1,0)*Data_NFI_t[[#This Row],[Hygiene Kit]],0)</f>
        <v>0</v>
      </c>
      <c r="AD537" s="105">
        <f>IF(NFI_Expiration=1,IF($A537&lt;VLOOKUP(L$5,NFI,5,0),1,0)*Data_NFI_t[[#This Row],[NFI Core Kit]],0)</f>
        <v>0</v>
      </c>
      <c r="AE537" s="86">
        <f>IF(NFI_Expiration=1,IF($A537&lt;VLOOKUP(M$5,NFI,5,0),1,0)*Data_NFI_t[[#This Row],[Sanitary Kit]],0)</f>
        <v>0</v>
      </c>
      <c r="AF537" s="86">
        <f>IF(NFI_Expiration=1,IF($A537&lt;VLOOKUP(N$5,NFI,5,0),1,0)*Data_NFI_t[[#This Row],[Mosquito net]],0)</f>
        <v>0</v>
      </c>
      <c r="AG537" s="86">
        <f>IF(NFI_Expiration=1,IF($A537&lt;VLOOKUP(O$5,NFI,5,0),1,0)*Data_NFI_t[[#This Row],[Tarpaulin]],0)</f>
        <v>0</v>
      </c>
      <c r="AH537" s="86">
        <f>IF(NFI_Expiration=1,IF($A537&lt;VLOOKUP(P$5,NFI,5,0),1,0)*Data_NFI_t[[#This Row],[Blanket]],0)</f>
        <v>0</v>
      </c>
      <c r="AI537" s="86">
        <f>IF(NFI_Expiration=1,IF($A537&lt;VLOOKUP(Q$5,NFI,5,0),1,0)*Data_NFI_t[[#This Row],[Kitchen Set]],0)</f>
        <v>0</v>
      </c>
      <c r="AJ537" s="86">
        <f>IF(NFI_Expiration=1,IF($A537&lt;VLOOKUP(R$5,NFI,5,0),1,0)*Data_NFI_t[[#This Row],[Complementary Kit]],0)</f>
        <v>0</v>
      </c>
      <c r="AK537" s="86">
        <f>IF(NFI_Expiration=1,IF($A537&lt;VLOOKUP(S$5,NFI,5,0),1,0)*Data_NFI_t[[#This Row],[Plastic Bucket]],0)</f>
        <v>0</v>
      </c>
      <c r="AL537" s="86">
        <f>IF(NFI_Expiration=1,IF($A537&lt;VLOOKUP(T$5,NFI,5,0),1,0)*Data_NFI_t[[#This Row],[Jerry Can]],0)</f>
        <v>0</v>
      </c>
      <c r="AM537" s="105">
        <f>IF(NFI_Expiration=1,IF($A537&lt;VLOOKUP(U$5,NFI,5,0),1,0)*Data_NFI_t[[#This Row],[Plastic Mat]],0)*IF(Data_NFI_t[[#This Row],[Distribution Date]]&gt;"01-06-2015",1,2.5)</f>
        <v>0</v>
      </c>
      <c r="AN537" s="734">
        <f>IF(NFI_Expiration=1,IF($A537&lt;VLOOKUP(V$5,NFI,5,0),1,0)*Data_NFI_t[[#This Row],[Adult Clothes]],0)</f>
        <v>0</v>
      </c>
      <c r="AO537" s="105">
        <f>IF(NFI_Expiration=1,IF($A537&lt;VLOOKUP(W$5,NFI,5,0),1,0)*Data_NFI_t[[#This Row],[Children Clothes]],0)</f>
        <v>0</v>
      </c>
      <c r="AP537" s="105">
        <f>IF(NFI_Expiration=1,IF($A537&lt;VLOOKUP(X$5,NFI,5,0),1,0)*Data_NFI_t[[#This Row],[Sewing Kit]],0)</f>
        <v>0</v>
      </c>
      <c r="AQ537" s="734">
        <f>IF(NFI_Expiration=1,IF($A537&lt;VLOOKUP(X$5,NFI,5,0),1,0)*Data_NFI_t[[#This Row],[Solar Lantern]],0)</f>
        <v>0</v>
      </c>
      <c r="AR537" s="105" t="str">
        <f ca="1">IFERROR(OFFSET(Camp_List[P_Code],MATCH(Data_NFI_t[[#This Row],[Camp Name]],Camp_List[Camp Name],0)-1,0,1,1),"")</f>
        <v/>
      </c>
      <c r="AS537" s="421" t="str">
        <f ca="1">IFERROR(OFFSET(Camp_List[Status],MATCH(Data_NFI_t[[#This Row],[Camp Name]],Camp_List[Camp Name],0)-1,0,1,1),"")</f>
        <v/>
      </c>
      <c r="AT537" s="105"/>
    </row>
    <row r="538" spans="1:46" ht="19.5" customHeight="1" x14ac:dyDescent="0.25">
      <c r="A538" s="208">
        <f t="shared" si="8"/>
        <v>70.099999999999994</v>
      </c>
      <c r="B538" s="429">
        <f>YEAR(Data_NFI_t[[#This Row],[Distribution Date]])</f>
        <v>2012</v>
      </c>
      <c r="C538" s="744">
        <v>41087</v>
      </c>
      <c r="D538" s="402" t="s">
        <v>270</v>
      </c>
      <c r="E538" s="401"/>
      <c r="F538" s="402" t="s">
        <v>7</v>
      </c>
      <c r="G538" s="670" t="s">
        <v>17</v>
      </c>
      <c r="H538" s="670" t="s">
        <v>234</v>
      </c>
      <c r="I538" s="670"/>
      <c r="J538" s="670"/>
      <c r="K538" s="670"/>
      <c r="L538" s="42"/>
      <c r="M538" s="42"/>
      <c r="N538" s="93"/>
      <c r="O538" s="93">
        <v>200</v>
      </c>
      <c r="P538" s="93"/>
      <c r="Q538" s="93"/>
      <c r="R538" s="93"/>
      <c r="S538" s="93"/>
      <c r="T538" s="420"/>
      <c r="U538" s="93"/>
      <c r="V538" s="93"/>
      <c r="W538" s="93"/>
      <c r="X538" s="93"/>
      <c r="Y538" s="93"/>
      <c r="Z538" s="93"/>
      <c r="AA538" s="93"/>
      <c r="AB538" s="93"/>
      <c r="AC538" s="105">
        <f>IF(NFI_Expiration=1,IF($A538&lt;VLOOKUP(I$5,NFI,5,0),1,0)*Data_NFI_t[[#This Row],[Hygiene Kit]],0)</f>
        <v>0</v>
      </c>
      <c r="AD538" s="105">
        <f>IF(NFI_Expiration=1,IF($A538&lt;VLOOKUP(L$5,NFI,5,0),1,0)*Data_NFI_t[[#This Row],[NFI Core Kit]],0)</f>
        <v>0</v>
      </c>
      <c r="AE538" s="86">
        <f>IF(NFI_Expiration=1,IF($A538&lt;VLOOKUP(M$5,NFI,5,0),1,0)*Data_NFI_t[[#This Row],[Sanitary Kit]],0)</f>
        <v>0</v>
      </c>
      <c r="AF538" s="86">
        <f>IF(NFI_Expiration=1,IF($A538&lt;VLOOKUP(N$5,NFI,5,0),1,0)*Data_NFI_t[[#This Row],[Mosquito net]],0)</f>
        <v>0</v>
      </c>
      <c r="AG538" s="86">
        <f>IF(NFI_Expiration=1,IF($A538&lt;VLOOKUP(O$5,NFI,5,0),1,0)*Data_NFI_t[[#This Row],[Tarpaulin]],0)</f>
        <v>0</v>
      </c>
      <c r="AH538" s="86">
        <f>IF(NFI_Expiration=1,IF($A538&lt;VLOOKUP(P$5,NFI,5,0),1,0)*Data_NFI_t[[#This Row],[Blanket]],0)</f>
        <v>0</v>
      </c>
      <c r="AI538" s="86">
        <f>IF(NFI_Expiration=1,IF($A538&lt;VLOOKUP(Q$5,NFI,5,0),1,0)*Data_NFI_t[[#This Row],[Kitchen Set]],0)</f>
        <v>0</v>
      </c>
      <c r="AJ538" s="86">
        <f>IF(NFI_Expiration=1,IF($A538&lt;VLOOKUP(R$5,NFI,5,0),1,0)*Data_NFI_t[[#This Row],[Complementary Kit]],0)</f>
        <v>0</v>
      </c>
      <c r="AK538" s="86">
        <f>IF(NFI_Expiration=1,IF($A538&lt;VLOOKUP(S$5,NFI,5,0),1,0)*Data_NFI_t[[#This Row],[Plastic Bucket]],0)</f>
        <v>0</v>
      </c>
      <c r="AL538" s="86">
        <f>IF(NFI_Expiration=1,IF($A538&lt;VLOOKUP(T$5,NFI,5,0),1,0)*Data_NFI_t[[#This Row],[Jerry Can]],0)</f>
        <v>0</v>
      </c>
      <c r="AM538" s="105">
        <f>IF(NFI_Expiration=1,IF($A538&lt;VLOOKUP(U$5,NFI,5,0),1,0)*Data_NFI_t[[#This Row],[Plastic Mat]],0)*IF(Data_NFI_t[[#This Row],[Distribution Date]]&gt;"01-06-2015",1,2.5)</f>
        <v>0</v>
      </c>
      <c r="AN538" s="734">
        <f>IF(NFI_Expiration=1,IF($A538&lt;VLOOKUP(V$5,NFI,5,0),1,0)*Data_NFI_t[[#This Row],[Adult Clothes]],0)</f>
        <v>0</v>
      </c>
      <c r="AO538" s="105">
        <f>IF(NFI_Expiration=1,IF($A538&lt;VLOOKUP(W$5,NFI,5,0),1,0)*Data_NFI_t[[#This Row],[Children Clothes]],0)</f>
        <v>0</v>
      </c>
      <c r="AP538" s="105">
        <f>IF(NFI_Expiration=1,IF($A538&lt;VLOOKUP(X$5,NFI,5,0),1,0)*Data_NFI_t[[#This Row],[Sewing Kit]],0)</f>
        <v>0</v>
      </c>
      <c r="AQ538" s="734">
        <f>IF(NFI_Expiration=1,IF($A538&lt;VLOOKUP(X$5,NFI,5,0),1,0)*Data_NFI_t[[#This Row],[Solar Lantern]],0)</f>
        <v>0</v>
      </c>
      <c r="AR538" s="105" t="str">
        <f ca="1">IFERROR(OFFSET(Camp_List[P_Code],MATCH(Data_NFI_t[[#This Row],[Camp Name]],Camp_List[Camp Name],0)-1,0,1,1),"")</f>
        <v/>
      </c>
      <c r="AS538" s="421" t="str">
        <f ca="1">IFERROR(OFFSET(Camp_List[Status],MATCH(Data_NFI_t[[#This Row],[Camp Name]],Camp_List[Camp Name],0)-1,0,1,1),"")</f>
        <v/>
      </c>
      <c r="AT538" s="105"/>
    </row>
    <row r="539" spans="1:46" ht="19.5" customHeight="1" x14ac:dyDescent="0.25">
      <c r="A539" s="208"/>
      <c r="B539" s="429"/>
      <c r="C539" s="744"/>
      <c r="D539" s="402"/>
      <c r="E539" s="401"/>
      <c r="F539" s="402"/>
      <c r="G539" s="670"/>
      <c r="H539" s="670"/>
      <c r="I539" s="670"/>
      <c r="J539" s="670"/>
      <c r="K539" s="670"/>
      <c r="L539" s="42"/>
      <c r="M539" s="42"/>
      <c r="N539" s="93"/>
      <c r="O539" s="93"/>
      <c r="P539" s="93"/>
      <c r="Q539" s="93"/>
      <c r="R539" s="93"/>
      <c r="S539" s="93"/>
      <c r="T539" s="420"/>
      <c r="U539" s="93"/>
      <c r="V539" s="93"/>
      <c r="W539" s="93"/>
      <c r="X539" s="93"/>
      <c r="Y539" s="93"/>
      <c r="Z539" s="93"/>
      <c r="AA539" s="93"/>
      <c r="AB539" s="93"/>
      <c r="AC539" s="105"/>
      <c r="AD539" s="105"/>
      <c r="AE539" s="86"/>
      <c r="AF539" s="86"/>
      <c r="AG539" s="86"/>
      <c r="AH539" s="86"/>
      <c r="AI539" s="86"/>
      <c r="AJ539" s="86"/>
      <c r="AK539" s="86"/>
      <c r="AL539" s="105"/>
      <c r="AM539" s="105"/>
      <c r="AN539" s="734">
        <f>IF(NFI_Expiration=1,IF($A539&lt;VLOOKUP(V$5,NFI,5,0),1,0)*Data_NFI_t[[#This Row],[Adult Clothes]],0)</f>
        <v>0</v>
      </c>
      <c r="AO539" s="105">
        <f>IF(NFI_Expiration=1,IF($A539&lt;VLOOKUP(W$5,NFI,5,0),1,0)*Data_NFI_t[[#This Row],[Children Clothes]],0)</f>
        <v>0</v>
      </c>
      <c r="AP539" s="105">
        <f>IF(NFI_Expiration=1,IF($A539&lt;VLOOKUP(X$5,NFI,5,0),1,0)*Data_NFI_t[[#This Row],[Sewing Kit]],0)</f>
        <v>0</v>
      </c>
      <c r="AQ539" s="734">
        <f>IF(NFI_Expiration=1,IF($A539&lt;VLOOKUP(X$5,NFI,5,0),1,0)*Data_NFI_t[[#This Row],[Solar Lantern]],0)</f>
        <v>0</v>
      </c>
      <c r="AR539" s="105"/>
      <c r="AS539" s="421"/>
      <c r="AT539" s="105"/>
    </row>
    <row r="540" spans="1:46" ht="19.5" customHeight="1" x14ac:dyDescent="0.25">
      <c r="A540"/>
      <c r="B540" s="35"/>
      <c r="C540"/>
      <c r="E540" s="92"/>
      <c r="I540" s="92"/>
      <c r="J540" s="837"/>
      <c r="K540" s="837"/>
      <c r="L540" s="93"/>
      <c r="M540" s="93"/>
      <c r="N540" s="93"/>
      <c r="O540" s="93"/>
      <c r="P540" s="93"/>
      <c r="Q540" s="93"/>
      <c r="R540" s="93"/>
      <c r="S540" s="93"/>
      <c r="T540" s="420"/>
      <c r="U540" s="93"/>
      <c r="V540" s="1004"/>
      <c r="W540" s="1004"/>
      <c r="X540" s="93"/>
      <c r="Y540" s="93"/>
      <c r="Z540" s="93"/>
      <c r="AA540" s="93"/>
      <c r="AB540" s="93"/>
      <c r="AC540"/>
      <c r="AD540"/>
      <c r="AE540"/>
      <c r="AF540"/>
      <c r="AG540"/>
      <c r="AH540"/>
      <c r="AI540"/>
      <c r="AJ540"/>
      <c r="AK540"/>
      <c r="AL540" s="78"/>
      <c r="AM540"/>
      <c r="AN540" s="669"/>
      <c r="AO540" s="669"/>
      <c r="AP540" s="669"/>
      <c r="AQ540" s="669"/>
    </row>
  </sheetData>
  <sortState ref="A5:A1000">
    <sortCondition descending="1" ref="A8"/>
  </sortState>
  <mergeCells count="3">
    <mergeCell ref="A4:D4"/>
    <mergeCell ref="A2:I2"/>
    <mergeCell ref="A3:I3"/>
  </mergeCells>
  <conditionalFormatting sqref="AS138:AS146 AS133 AS540">
    <cfRule type="cellIs" dxfId="636" priority="4" operator="equal">
      <formula>"close"</formula>
    </cfRule>
  </conditionalFormatting>
  <conditionalFormatting sqref="AS147:AS534">
    <cfRule type="cellIs" dxfId="635" priority="2" operator="equal">
      <formula>"close"</formula>
    </cfRule>
  </conditionalFormatting>
  <dataValidations count="5">
    <dataValidation type="list" allowBlank="1" showInputMessage="1" showErrorMessage="1" sqref="D205:D216">
      <formula1>Agency1</formula1>
    </dataValidation>
    <dataValidation type="list" showInputMessage="1" showErrorMessage="1" sqref="JO189 WWA189 WME189 WCI189 VSM189 VIQ189 UYU189 UOY189 UFC189 TVG189 TLK189 TBO189 SRS189 SHW189 RYA189 ROE189 REI189 QUM189 QKQ189 QAU189 PQY189 PHC189 OXG189 ONK189 ODO189 NTS189 NJW189 NAA189 MQE189 MGI189 LWM189 LMQ189 LCU189 KSY189 KJC189 JZG189 JPK189 JFO189 IVS189 ILW189 ICA189 HSE189 HII189 GYM189 GOQ189 GEU189 FUY189 FLC189 FBG189 ERK189 EHO189 DXS189 DNW189 DEA189 CUE189 CKI189 CAM189 BQQ189 BGU189 AWY189 ANC189 ADG189 TK189">
      <formula1>INDIRECT(#REF!)</formula1>
    </dataValidation>
    <dataValidation type="list" allowBlank="1" showInputMessage="1" showErrorMessage="1" sqref="F6:F539">
      <formula1>State</formula1>
    </dataValidation>
    <dataValidation type="list" showInputMessage="1" showErrorMessage="1" sqref="G6:G539">
      <formula1>INDIRECT(F6)</formula1>
    </dataValidation>
    <dataValidation type="list" errorStyle="warning" showInputMessage="1" showErrorMessage="1" sqref="H6:H539">
      <formula1>OFFSET(TCL_T1,MATCH(G6,TCL_T,0)-1,1,COUNTIF(TCL_T,G6),1)</formula1>
    </dataValidation>
  </dataValidations>
  <printOptions gridLines="1"/>
  <pageMargins left="0.25" right="0.25" top="0.75" bottom="0.75" header="0.3" footer="0.3"/>
  <pageSetup paperSize="9" scale="65" orientation="landscape"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M122"/>
  <sheetViews>
    <sheetView showZeros="0" zoomScale="75" zoomScaleNormal="75" workbookViewId="0">
      <selection activeCell="U9" sqref="U9"/>
    </sheetView>
  </sheetViews>
  <sheetFormatPr defaultColWidth="5" defaultRowHeight="51.75" customHeight="1" x14ac:dyDescent="0.25"/>
  <cols>
    <col min="1" max="4" width="11.140625" customWidth="1"/>
    <col min="5" max="5" width="11.5703125" bestFit="1" customWidth="1"/>
    <col min="6" max="6" width="9.5703125" style="48" hidden="1" customWidth="1"/>
    <col min="7" max="7" width="9.5703125" style="1" hidden="1" customWidth="1"/>
    <col min="8" max="8" width="9.5703125" style="49" hidden="1" customWidth="1"/>
    <col min="9" max="9" width="9.85546875" style="48" customWidth="1"/>
    <col min="10" max="10" width="7.7109375" style="1" customWidth="1"/>
    <col min="11" max="11" width="9.5703125" style="49" customWidth="1"/>
    <col min="12" max="12" width="9.5703125" style="48" hidden="1" customWidth="1"/>
    <col min="13" max="13" width="9.5703125" style="1" hidden="1" customWidth="1"/>
    <col min="14" max="14" width="9.5703125" style="49" hidden="1" customWidth="1"/>
    <col min="15" max="20" width="9.5703125" style="1" customWidth="1"/>
    <col min="21" max="21" width="9" style="48" customWidth="1"/>
    <col min="22" max="22" width="8.85546875" style="1" customWidth="1"/>
    <col min="23" max="23" width="6.28515625" style="1" customWidth="1"/>
    <col min="24" max="24" width="10.28515625" style="48" customWidth="1"/>
    <col min="25" max="25" width="10.140625" style="1" customWidth="1"/>
    <col min="26" max="26" width="6.140625" style="49" bestFit="1" customWidth="1"/>
    <col min="27" max="27" width="10.5703125" bestFit="1" customWidth="1"/>
    <col min="28" max="28" width="9.85546875" style="36" customWidth="1"/>
    <col min="29" max="29" width="8.140625" style="36" customWidth="1"/>
    <col min="30" max="30" width="9.7109375" style="48" bestFit="1" customWidth="1"/>
    <col min="31" max="31" width="9.42578125" style="1" customWidth="1"/>
    <col min="32" max="32" width="6.140625" style="49" bestFit="1" customWidth="1"/>
    <col min="33" max="33" width="10.140625" style="48" bestFit="1" customWidth="1"/>
    <col min="34" max="34" width="10.5703125" style="1" bestFit="1" customWidth="1"/>
    <col min="35" max="35" width="6.140625" style="49" bestFit="1" customWidth="1"/>
    <col min="36" max="36" width="9.7109375" style="48" customWidth="1"/>
    <col min="37" max="37" width="9.42578125" style="1" customWidth="1"/>
    <col min="38" max="38" width="6.140625" style="49" customWidth="1"/>
    <col min="39" max="39" width="9.7109375" style="48" customWidth="1"/>
    <col min="40" max="40" width="9.7109375" style="1" customWidth="1"/>
    <col min="41" max="41" width="9.7109375" style="49" customWidth="1"/>
    <col min="42" max="42" width="9.7109375" style="48" customWidth="1"/>
    <col min="43" max="43" width="9.42578125" style="1" customWidth="1"/>
    <col min="44" max="44" width="6.140625" style="49" customWidth="1"/>
    <col min="45" max="45" width="11.28515625" customWidth="1"/>
    <col min="46" max="46" width="9.7109375" customWidth="1"/>
    <col min="47" max="47" width="11.28515625" customWidth="1"/>
  </cols>
  <sheetData>
    <row r="1" spans="1:65" s="1" customFormat="1" ht="36" x14ac:dyDescent="0.25">
      <c r="A1" s="157"/>
      <c r="B1" s="158"/>
      <c r="C1" s="158"/>
      <c r="D1" s="158"/>
      <c r="E1" s="158"/>
      <c r="F1" s="158"/>
      <c r="G1" s="158"/>
      <c r="H1" s="158"/>
      <c r="I1" s="209"/>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56"/>
      <c r="AT1" s="56"/>
      <c r="AU1" s="182"/>
      <c r="BL1" s="57"/>
      <c r="BM1" s="57"/>
    </row>
    <row r="2" spans="1:65" s="1" customFormat="1" ht="86.25" customHeight="1" x14ac:dyDescent="0.25">
      <c r="A2" s="210" t="s">
        <v>481</v>
      </c>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182"/>
      <c r="BL2" s="57"/>
      <c r="BM2" s="57"/>
    </row>
    <row r="3" spans="1:65" s="16" customFormat="1" ht="18" customHeight="1" x14ac:dyDescent="0.25">
      <c r="A3" s="1097">
        <f>Report_Date</f>
        <v>43190</v>
      </c>
      <c r="B3" s="1098"/>
      <c r="C3" s="1098"/>
      <c r="D3" s="1098"/>
      <c r="E3" s="1098"/>
      <c r="F3" s="1098"/>
      <c r="G3" s="1098"/>
      <c r="H3" s="1098"/>
      <c r="I3" s="1098"/>
      <c r="J3" s="1098"/>
      <c r="K3" s="1098"/>
      <c r="L3" s="1098"/>
      <c r="M3" s="1098"/>
      <c r="N3" s="1098"/>
      <c r="O3" s="1098"/>
      <c r="P3" s="1098"/>
      <c r="Q3" s="1098"/>
      <c r="R3" s="1098"/>
      <c r="S3" s="1098"/>
      <c r="T3" s="1098"/>
      <c r="U3" s="1098"/>
      <c r="V3" s="1098"/>
      <c r="W3" s="1098"/>
      <c r="X3" s="1098"/>
      <c r="Y3" s="1098"/>
      <c r="Z3" s="1098"/>
      <c r="AA3" s="1098"/>
      <c r="AB3" s="1098"/>
      <c r="AC3" s="1098"/>
      <c r="AD3" s="1098"/>
      <c r="AE3" s="1098"/>
      <c r="AF3" s="1098"/>
      <c r="AG3" s="1098"/>
      <c r="AH3" s="1098"/>
      <c r="AI3" s="1098"/>
      <c r="AJ3" s="1098"/>
      <c r="AK3" s="1098"/>
      <c r="AL3" s="1098"/>
      <c r="AM3" s="176"/>
      <c r="AN3" s="176"/>
      <c r="AO3" s="176"/>
      <c r="AP3" s="176"/>
      <c r="AQ3" s="176"/>
      <c r="AR3" s="176"/>
      <c r="AS3" s="176"/>
      <c r="AT3" s="176"/>
      <c r="AU3" s="177"/>
      <c r="BL3" s="58"/>
      <c r="BM3" s="58"/>
    </row>
    <row r="4" spans="1:65" s="50" customFormat="1" ht="15.75" customHeight="1" thickBot="1" x14ac:dyDescent="0.3">
      <c r="O4" s="669"/>
      <c r="P4" s="669"/>
      <c r="Q4" s="669"/>
      <c r="R4" s="669"/>
      <c r="S4" s="669"/>
      <c r="T4" s="669"/>
      <c r="AG4" s="78"/>
      <c r="AH4" s="78"/>
      <c r="AI4" s="78"/>
      <c r="AJ4" s="78"/>
      <c r="AK4" s="78"/>
      <c r="AL4" s="78"/>
      <c r="AM4" s="78"/>
      <c r="AN4" s="78"/>
      <c r="AO4" s="78"/>
      <c r="AP4" s="78"/>
      <c r="AQ4" s="78"/>
      <c r="AR4" s="78"/>
    </row>
    <row r="5" spans="1:65" s="43" customFormat="1" ht="72.75" customHeight="1" thickBot="1" x14ac:dyDescent="0.3">
      <c r="A5" s="1194" t="s">
        <v>198</v>
      </c>
      <c r="B5" s="1194" t="s">
        <v>191</v>
      </c>
      <c r="C5" s="211"/>
      <c r="D5" s="1194" t="s">
        <v>10</v>
      </c>
      <c r="E5" s="1194" t="s">
        <v>1</v>
      </c>
      <c r="F5" s="1202" t="s">
        <v>192</v>
      </c>
      <c r="G5" s="1203"/>
      <c r="H5" s="1204"/>
      <c r="I5" s="1205" t="s">
        <v>193</v>
      </c>
      <c r="J5" s="1206"/>
      <c r="K5" s="1207"/>
      <c r="L5" s="1182" t="s">
        <v>194</v>
      </c>
      <c r="M5" s="1183"/>
      <c r="N5" s="1184"/>
      <c r="O5" s="1182" t="s">
        <v>1041</v>
      </c>
      <c r="P5" s="1183"/>
      <c r="Q5" s="1184"/>
      <c r="R5" s="1176" t="s">
        <v>1131</v>
      </c>
      <c r="S5" s="1177"/>
      <c r="T5" s="1178"/>
      <c r="U5" s="1199" t="s">
        <v>195</v>
      </c>
      <c r="V5" s="1200"/>
      <c r="W5" s="1201"/>
      <c r="X5" s="1196" t="s">
        <v>196</v>
      </c>
      <c r="Y5" s="1197"/>
      <c r="Z5" s="1198"/>
      <c r="AA5" s="1203" t="s">
        <v>218</v>
      </c>
      <c r="AB5" s="1203"/>
      <c r="AC5" s="1203"/>
      <c r="AD5" s="1208" t="s">
        <v>219</v>
      </c>
      <c r="AE5" s="1209"/>
      <c r="AF5" s="1210"/>
      <c r="AG5" s="1179" t="s">
        <v>827</v>
      </c>
      <c r="AH5" s="1180"/>
      <c r="AI5" s="1181"/>
      <c r="AJ5" s="1211" t="s">
        <v>535</v>
      </c>
      <c r="AK5" s="1212"/>
      <c r="AL5" s="1213"/>
      <c r="AM5" s="1191" t="s">
        <v>536</v>
      </c>
      <c r="AN5" s="1192"/>
      <c r="AO5" s="1193"/>
      <c r="AP5" s="1188" t="s">
        <v>871</v>
      </c>
      <c r="AQ5" s="1189"/>
      <c r="AR5" s="1190"/>
      <c r="AS5" s="1185" t="s">
        <v>1051</v>
      </c>
      <c r="AT5" s="1186"/>
      <c r="AU5" s="1187"/>
    </row>
    <row r="6" spans="1:65" s="43" customFormat="1" ht="64.5" customHeight="1" thickBot="1" x14ac:dyDescent="0.3">
      <c r="A6" s="1195"/>
      <c r="B6" s="1195"/>
      <c r="C6" s="212" t="s">
        <v>202</v>
      </c>
      <c r="D6" s="1195"/>
      <c r="E6" s="1195"/>
      <c r="F6" s="147" t="s">
        <v>1000</v>
      </c>
      <c r="G6" s="675" t="s">
        <v>199</v>
      </c>
      <c r="H6" s="676" t="s">
        <v>200</v>
      </c>
      <c r="I6" s="147" t="s">
        <v>1000</v>
      </c>
      <c r="J6" s="675" t="s">
        <v>199</v>
      </c>
      <c r="K6" s="676" t="s">
        <v>200</v>
      </c>
      <c r="L6" s="675" t="s">
        <v>197</v>
      </c>
      <c r="M6" s="675" t="s">
        <v>199</v>
      </c>
      <c r="N6" s="676" t="s">
        <v>200</v>
      </c>
      <c r="O6" s="750" t="s">
        <v>1000</v>
      </c>
      <c r="P6" s="676" t="s">
        <v>199</v>
      </c>
      <c r="Q6" s="676" t="s">
        <v>200</v>
      </c>
      <c r="R6" s="750" t="s">
        <v>1000</v>
      </c>
      <c r="S6" s="676" t="s">
        <v>199</v>
      </c>
      <c r="T6" s="676" t="s">
        <v>200</v>
      </c>
      <c r="U6" s="147" t="s">
        <v>197</v>
      </c>
      <c r="V6" s="147" t="s">
        <v>199</v>
      </c>
      <c r="W6" s="147" t="s">
        <v>200</v>
      </c>
      <c r="X6" s="147" t="s">
        <v>197</v>
      </c>
      <c r="Y6" s="147" t="s">
        <v>199</v>
      </c>
      <c r="Z6" s="147" t="s">
        <v>200</v>
      </c>
      <c r="AA6" s="147" t="s">
        <v>197</v>
      </c>
      <c r="AB6" s="147" t="s">
        <v>199</v>
      </c>
      <c r="AC6" s="147" t="s">
        <v>200</v>
      </c>
      <c r="AD6" s="147" t="s">
        <v>197</v>
      </c>
      <c r="AE6" s="147" t="s">
        <v>199</v>
      </c>
      <c r="AF6" s="147" t="s">
        <v>200</v>
      </c>
      <c r="AG6" s="147" t="s">
        <v>197</v>
      </c>
      <c r="AH6" s="147" t="s">
        <v>199</v>
      </c>
      <c r="AI6" s="147" t="s">
        <v>200</v>
      </c>
      <c r="AJ6" s="147" t="s">
        <v>197</v>
      </c>
      <c r="AK6" s="147" t="s">
        <v>199</v>
      </c>
      <c r="AL6" s="147" t="s">
        <v>200</v>
      </c>
      <c r="AM6" s="147" t="s">
        <v>197</v>
      </c>
      <c r="AN6" s="147" t="s">
        <v>199</v>
      </c>
      <c r="AO6" s="147" t="s">
        <v>200</v>
      </c>
      <c r="AP6" s="147" t="s">
        <v>197</v>
      </c>
      <c r="AQ6" s="530" t="s">
        <v>199</v>
      </c>
      <c r="AR6" s="531" t="s">
        <v>200</v>
      </c>
      <c r="AS6" s="147" t="s">
        <v>197</v>
      </c>
      <c r="AT6" s="771" t="s">
        <v>199</v>
      </c>
      <c r="AU6" s="531" t="s">
        <v>200</v>
      </c>
    </row>
    <row r="7" spans="1:65" s="5" customFormat="1" ht="23.25" customHeight="1" x14ac:dyDescent="0.25">
      <c r="A7" s="94">
        <v>42657</v>
      </c>
      <c r="B7" s="95" t="s">
        <v>270</v>
      </c>
      <c r="C7" s="95" t="s">
        <v>270</v>
      </c>
      <c r="D7" s="95" t="s">
        <v>7</v>
      </c>
      <c r="E7" s="95" t="s">
        <v>18</v>
      </c>
      <c r="F7" s="96" t="s">
        <v>999</v>
      </c>
      <c r="G7" s="16"/>
      <c r="H7" s="97"/>
      <c r="I7" s="96">
        <v>494</v>
      </c>
      <c r="J7" s="16"/>
      <c r="K7" s="97"/>
      <c r="L7" s="96">
        <v>599</v>
      </c>
      <c r="M7" s="16"/>
      <c r="N7" s="97"/>
      <c r="O7" s="16"/>
      <c r="P7" s="16"/>
      <c r="Q7" s="16"/>
      <c r="R7" s="992"/>
      <c r="S7" s="993"/>
      <c r="T7" s="994"/>
      <c r="U7" s="773">
        <v>1004</v>
      </c>
      <c r="V7" s="216">
        <v>0</v>
      </c>
      <c r="W7" s="217">
        <v>0</v>
      </c>
      <c r="X7" s="773">
        <v>410</v>
      </c>
      <c r="Y7" s="216">
        <v>0</v>
      </c>
      <c r="Z7" s="217">
        <v>0</v>
      </c>
      <c r="AA7" s="773">
        <v>975</v>
      </c>
      <c r="AB7" s="216">
        <v>0</v>
      </c>
      <c r="AC7" s="217">
        <v>0</v>
      </c>
      <c r="AD7" s="259">
        <v>795</v>
      </c>
      <c r="AE7" s="213">
        <v>0</v>
      </c>
      <c r="AF7" s="214">
        <v>0</v>
      </c>
      <c r="AG7" s="215">
        <v>0</v>
      </c>
      <c r="AH7" s="213">
        <v>0</v>
      </c>
      <c r="AI7" s="214">
        <v>0</v>
      </c>
      <c r="AJ7" s="259">
        <v>439</v>
      </c>
      <c r="AK7" s="213">
        <v>0</v>
      </c>
      <c r="AL7" s="214">
        <v>0</v>
      </c>
      <c r="AM7" s="769">
        <v>2480</v>
      </c>
      <c r="AN7" s="213">
        <v>0</v>
      </c>
      <c r="AO7" s="214">
        <v>0</v>
      </c>
      <c r="AP7" s="259">
        <v>1082</v>
      </c>
      <c r="AQ7" s="213">
        <v>0</v>
      </c>
      <c r="AR7" s="214">
        <v>0</v>
      </c>
      <c r="AS7" s="259"/>
      <c r="AT7" s="213"/>
      <c r="AU7" s="214"/>
    </row>
    <row r="8" spans="1:65" s="5" customFormat="1" ht="23.25" customHeight="1" x14ac:dyDescent="0.25">
      <c r="A8" s="94">
        <v>42657</v>
      </c>
      <c r="B8" s="95" t="s">
        <v>270</v>
      </c>
      <c r="C8" s="95" t="s">
        <v>270</v>
      </c>
      <c r="D8" s="95" t="s">
        <v>7</v>
      </c>
      <c r="E8" s="95" t="s">
        <v>553</v>
      </c>
      <c r="F8" s="96" t="s">
        <v>999</v>
      </c>
      <c r="G8" s="16"/>
      <c r="H8" s="97"/>
      <c r="I8" s="96">
        <v>501</v>
      </c>
      <c r="J8" s="16"/>
      <c r="K8" s="97"/>
      <c r="L8" s="96">
        <v>374</v>
      </c>
      <c r="M8" s="16"/>
      <c r="N8" s="97"/>
      <c r="O8" s="16"/>
      <c r="P8" s="16"/>
      <c r="Q8" s="16"/>
      <c r="R8" s="96"/>
      <c r="S8" s="16"/>
      <c r="T8" s="97"/>
      <c r="U8" s="260">
        <v>999</v>
      </c>
      <c r="V8" s="261">
        <v>0</v>
      </c>
      <c r="W8" s="214">
        <v>0</v>
      </c>
      <c r="X8" s="260">
        <v>981</v>
      </c>
      <c r="Y8" s="261">
        <v>0</v>
      </c>
      <c r="Z8" s="214">
        <v>0</v>
      </c>
      <c r="AA8" s="260">
        <v>1039</v>
      </c>
      <c r="AB8" s="261">
        <v>0</v>
      </c>
      <c r="AC8" s="214">
        <v>0</v>
      </c>
      <c r="AD8" s="259">
        <v>628</v>
      </c>
      <c r="AE8" s="259">
        <v>0</v>
      </c>
      <c r="AF8" s="214">
        <v>0</v>
      </c>
      <c r="AG8" s="215">
        <v>0</v>
      </c>
      <c r="AH8" s="259">
        <v>0</v>
      </c>
      <c r="AI8" s="214">
        <v>0</v>
      </c>
      <c r="AJ8" s="259">
        <v>553</v>
      </c>
      <c r="AK8" s="259">
        <v>0</v>
      </c>
      <c r="AL8" s="214">
        <v>0</v>
      </c>
      <c r="AM8" s="769">
        <v>2515</v>
      </c>
      <c r="AN8" s="213">
        <v>0</v>
      </c>
      <c r="AO8" s="214">
        <v>0</v>
      </c>
      <c r="AP8" s="259">
        <v>1081</v>
      </c>
      <c r="AQ8" s="259">
        <v>0</v>
      </c>
      <c r="AR8" s="214">
        <v>0</v>
      </c>
      <c r="AS8" s="259"/>
      <c r="AT8" s="259"/>
      <c r="AU8" s="214"/>
    </row>
    <row r="9" spans="1:65" s="5" customFormat="1" ht="23.25" customHeight="1" x14ac:dyDescent="0.25">
      <c r="A9" s="94">
        <v>43131</v>
      </c>
      <c r="B9" s="95" t="s">
        <v>270</v>
      </c>
      <c r="C9" s="95" t="s">
        <v>270</v>
      </c>
      <c r="D9" s="95" t="s">
        <v>7</v>
      </c>
      <c r="E9" s="95" t="s">
        <v>17</v>
      </c>
      <c r="F9" s="96">
        <v>68</v>
      </c>
      <c r="G9" s="16"/>
      <c r="H9" s="97"/>
      <c r="I9" s="96"/>
      <c r="J9" s="16"/>
      <c r="K9" s="97"/>
      <c r="L9" s="96">
        <v>21</v>
      </c>
      <c r="M9" s="16"/>
      <c r="N9" s="97"/>
      <c r="O9" s="16">
        <v>1099</v>
      </c>
      <c r="P9" s="16"/>
      <c r="Q9" s="16"/>
      <c r="R9" s="96">
        <v>68</v>
      </c>
      <c r="S9" s="16"/>
      <c r="T9" s="97"/>
      <c r="U9" s="260">
        <v>8818</v>
      </c>
      <c r="V9" s="213">
        <v>0</v>
      </c>
      <c r="W9" s="214">
        <v>0</v>
      </c>
      <c r="X9" s="260">
        <v>4355</v>
      </c>
      <c r="Y9" s="213">
        <v>0</v>
      </c>
      <c r="Z9" s="214">
        <v>0</v>
      </c>
      <c r="AA9" s="260">
        <v>3925</v>
      </c>
      <c r="AB9" s="213">
        <v>0</v>
      </c>
      <c r="AC9" s="214">
        <v>0</v>
      </c>
      <c r="AD9" s="259">
        <v>2221</v>
      </c>
      <c r="AE9" s="213">
        <v>0</v>
      </c>
      <c r="AF9" s="214">
        <v>0</v>
      </c>
      <c r="AG9" s="215">
        <v>8</v>
      </c>
      <c r="AH9" s="213">
        <v>0</v>
      </c>
      <c r="AI9" s="214">
        <v>0</v>
      </c>
      <c r="AJ9" s="259">
        <v>1948</v>
      </c>
      <c r="AK9" s="213">
        <v>0</v>
      </c>
      <c r="AL9" s="214">
        <v>0</v>
      </c>
      <c r="AM9" s="769">
        <v>10113</v>
      </c>
      <c r="AN9" s="213">
        <v>0</v>
      </c>
      <c r="AO9" s="214">
        <v>0</v>
      </c>
      <c r="AP9" s="259">
        <v>245</v>
      </c>
      <c r="AQ9" s="213">
        <v>0</v>
      </c>
      <c r="AR9" s="214">
        <v>0</v>
      </c>
      <c r="AS9" s="259">
        <v>620</v>
      </c>
      <c r="AT9" s="213"/>
      <c r="AU9" s="214"/>
    </row>
    <row r="10" spans="1:65" s="78" customFormat="1" ht="23.25" customHeight="1" x14ac:dyDescent="0.25">
      <c r="A10" s="94"/>
      <c r="B10" s="95"/>
      <c r="C10" s="95"/>
      <c r="D10" s="95"/>
      <c r="E10" s="95"/>
      <c r="F10" s="48"/>
      <c r="G10" s="1"/>
      <c r="H10" s="49"/>
      <c r="I10" s="48"/>
      <c r="J10" s="1"/>
      <c r="K10" s="49"/>
      <c r="L10" s="48"/>
      <c r="M10" s="1"/>
      <c r="N10" s="49"/>
      <c r="O10" s="1"/>
      <c r="P10" s="1"/>
      <c r="Q10" s="1"/>
      <c r="R10" s="48"/>
      <c r="S10" s="1"/>
      <c r="T10" s="49"/>
      <c r="U10" s="262"/>
      <c r="V10" s="263"/>
      <c r="W10" s="264"/>
      <c r="X10" s="262"/>
      <c r="Y10" s="261"/>
      <c r="Z10" s="264"/>
      <c r="AA10" s="262"/>
      <c r="AB10" s="261"/>
      <c r="AC10" s="264"/>
      <c r="AD10" s="262"/>
      <c r="AE10" s="261"/>
      <c r="AF10" s="264"/>
      <c r="AG10" s="262"/>
      <c r="AH10" s="261"/>
      <c r="AI10" s="264"/>
      <c r="AJ10" s="262"/>
      <c r="AK10" s="261"/>
      <c r="AL10" s="264"/>
      <c r="AM10" s="262"/>
      <c r="AN10" s="263"/>
      <c r="AO10" s="264"/>
      <c r="AP10" s="262"/>
      <c r="AQ10" s="261"/>
      <c r="AR10" s="264"/>
      <c r="AS10" s="259"/>
      <c r="AT10" s="213"/>
      <c r="AU10" s="214"/>
    </row>
    <row r="11" spans="1:65" ht="23.25" customHeight="1" x14ac:dyDescent="0.25">
      <c r="A11" s="59" t="s">
        <v>724</v>
      </c>
      <c r="B11" s="59"/>
      <c r="C11" s="59"/>
      <c r="D11" s="59"/>
      <c r="E11" s="59"/>
      <c r="R11" s="48"/>
      <c r="T11" s="49"/>
      <c r="W11" s="49"/>
      <c r="AA11" s="48"/>
      <c r="AB11" s="1"/>
      <c r="AC11" s="49"/>
      <c r="AD11" s="1"/>
      <c r="AM11" s="768"/>
      <c r="AS11" s="259"/>
      <c r="AT11" s="213"/>
      <c r="AU11" s="214"/>
    </row>
    <row r="12" spans="1:65" ht="23.25" customHeight="1" x14ac:dyDescent="0.25">
      <c r="A12" s="59"/>
      <c r="B12" s="59"/>
      <c r="C12" s="59"/>
      <c r="D12" s="59"/>
      <c r="E12" s="59"/>
      <c r="R12" s="48"/>
      <c r="T12" s="49"/>
      <c r="W12" s="49"/>
      <c r="AA12" s="48"/>
      <c r="AB12" s="1"/>
      <c r="AC12" s="49"/>
      <c r="AD12" s="1"/>
      <c r="AS12" s="259"/>
      <c r="AT12" s="213"/>
      <c r="AU12" s="214"/>
    </row>
    <row r="13" spans="1:65" ht="23.25" customHeight="1" x14ac:dyDescent="0.25">
      <c r="A13" s="59"/>
      <c r="B13" s="59"/>
      <c r="C13" s="59"/>
      <c r="D13" s="59"/>
      <c r="E13" s="59"/>
      <c r="R13" s="48"/>
      <c r="T13" s="49"/>
      <c r="W13" s="49"/>
      <c r="AA13" s="48"/>
      <c r="AB13" s="1"/>
      <c r="AC13" s="49"/>
      <c r="AD13" s="1"/>
      <c r="AS13" s="259"/>
      <c r="AT13" s="213"/>
      <c r="AU13" s="214"/>
    </row>
    <row r="14" spans="1:65" ht="23.25" customHeight="1" x14ac:dyDescent="0.25">
      <c r="A14" s="59"/>
      <c r="B14" s="59"/>
      <c r="C14" s="59"/>
      <c r="D14" s="59"/>
      <c r="E14" s="59"/>
      <c r="R14" s="48"/>
      <c r="T14" s="49"/>
      <c r="W14" s="49"/>
      <c r="AA14" s="48"/>
      <c r="AB14" s="1"/>
      <c r="AC14" s="49"/>
      <c r="AD14" s="1"/>
      <c r="AS14" s="259"/>
      <c r="AT14" s="213"/>
      <c r="AU14" s="214"/>
    </row>
    <row r="15" spans="1:65" ht="23.25" customHeight="1" x14ac:dyDescent="0.25">
      <c r="A15" s="59"/>
      <c r="B15" s="59"/>
      <c r="C15" s="59"/>
      <c r="D15" s="59"/>
      <c r="E15" s="59"/>
      <c r="R15" s="48"/>
      <c r="T15" s="49"/>
      <c r="W15" s="49"/>
      <c r="AA15" s="48"/>
      <c r="AB15" s="1"/>
      <c r="AC15" s="49"/>
      <c r="AD15" s="1"/>
      <c r="AS15" s="259"/>
      <c r="AT15" s="213"/>
      <c r="AU15" s="214"/>
    </row>
    <row r="16" spans="1:65" ht="23.25" customHeight="1" x14ac:dyDescent="0.25">
      <c r="A16" s="59"/>
      <c r="B16" s="59"/>
      <c r="C16" s="59"/>
      <c r="D16" s="59"/>
      <c r="E16" s="59"/>
      <c r="R16" s="48"/>
      <c r="T16" s="49"/>
      <c r="W16" s="49"/>
      <c r="AA16" s="48"/>
      <c r="AB16" s="1"/>
      <c r="AC16" s="49"/>
      <c r="AD16" s="1"/>
      <c r="AS16" s="259"/>
      <c r="AT16" s="213"/>
      <c r="AU16" s="214"/>
    </row>
    <row r="17" spans="1:47" ht="23.25" customHeight="1" x14ac:dyDescent="0.25">
      <c r="A17" s="59"/>
      <c r="B17" s="59"/>
      <c r="C17" s="59"/>
      <c r="D17" s="59"/>
      <c r="E17" s="59"/>
      <c r="R17" s="48"/>
      <c r="T17" s="49"/>
      <c r="W17" s="49"/>
      <c r="AA17" s="48"/>
      <c r="AB17" s="1"/>
      <c r="AC17" s="49"/>
      <c r="AD17" s="1"/>
      <c r="AS17" s="259"/>
      <c r="AT17" s="213"/>
      <c r="AU17" s="214"/>
    </row>
    <row r="18" spans="1:47" ht="23.25" customHeight="1" x14ac:dyDescent="0.25">
      <c r="A18" s="59"/>
      <c r="B18" s="59"/>
      <c r="C18" s="59"/>
      <c r="D18" s="59"/>
      <c r="E18" s="59"/>
      <c r="R18" s="48"/>
      <c r="T18" s="49"/>
      <c r="W18" s="49"/>
      <c r="AA18" s="48"/>
      <c r="AB18" s="1"/>
      <c r="AC18" s="49"/>
      <c r="AD18" s="1"/>
      <c r="AS18" s="259"/>
      <c r="AT18" s="213"/>
      <c r="AU18" s="214"/>
    </row>
    <row r="19" spans="1:47" ht="51.75" customHeight="1" x14ac:dyDescent="0.25">
      <c r="A19" s="59"/>
      <c r="B19" s="59"/>
      <c r="C19" s="59"/>
      <c r="D19" s="59"/>
      <c r="E19" s="59"/>
      <c r="R19" s="48"/>
      <c r="T19" s="49"/>
      <c r="W19" s="49"/>
      <c r="AA19" s="48"/>
      <c r="AB19" s="1"/>
      <c r="AC19" s="49"/>
      <c r="AD19" s="1"/>
      <c r="AS19" s="259"/>
      <c r="AT19" s="213"/>
      <c r="AU19" s="214"/>
    </row>
    <row r="20" spans="1:47" ht="51.75" customHeight="1" x14ac:dyDescent="0.25">
      <c r="A20" s="59"/>
      <c r="B20" s="59"/>
      <c r="C20" s="59"/>
      <c r="D20" s="59"/>
      <c r="E20" s="59"/>
      <c r="R20" s="48"/>
      <c r="T20" s="49"/>
      <c r="W20" s="49"/>
      <c r="AA20" s="48"/>
      <c r="AB20" s="1"/>
      <c r="AC20" s="49"/>
      <c r="AD20" s="1"/>
      <c r="AS20" s="259"/>
      <c r="AT20" s="213"/>
      <c r="AU20" s="214"/>
    </row>
    <row r="21" spans="1:47" ht="51.75" customHeight="1" x14ac:dyDescent="0.25">
      <c r="A21" s="59"/>
      <c r="B21" s="59"/>
      <c r="C21" s="59"/>
      <c r="D21" s="59"/>
      <c r="E21" s="59"/>
      <c r="R21" s="48"/>
      <c r="T21" s="49"/>
      <c r="W21" s="49"/>
      <c r="AA21" s="48"/>
      <c r="AB21" s="1"/>
      <c r="AC21" s="49"/>
      <c r="AD21" s="1"/>
      <c r="AS21" s="259"/>
      <c r="AT21" s="213"/>
      <c r="AU21" s="214"/>
    </row>
    <row r="22" spans="1:47" ht="51.75" customHeight="1" x14ac:dyDescent="0.25">
      <c r="A22" s="59"/>
      <c r="B22" s="59"/>
      <c r="C22" s="59"/>
      <c r="D22" s="59"/>
      <c r="E22" s="59"/>
      <c r="R22" s="48"/>
      <c r="T22" s="49"/>
      <c r="W22" s="49"/>
      <c r="AA22" s="48"/>
      <c r="AB22" s="1"/>
      <c r="AC22" s="49"/>
      <c r="AD22" s="1"/>
      <c r="AS22" s="259"/>
      <c r="AT22" s="213"/>
      <c r="AU22" s="214"/>
    </row>
    <row r="23" spans="1:47" ht="51.75" customHeight="1" x14ac:dyDescent="0.25">
      <c r="A23" s="59"/>
      <c r="B23" s="59"/>
      <c r="C23" s="59"/>
      <c r="D23" s="59"/>
      <c r="E23" s="59"/>
      <c r="R23" s="48"/>
      <c r="T23" s="49"/>
      <c r="W23" s="49"/>
      <c r="AA23" s="48"/>
      <c r="AB23" s="1"/>
      <c r="AC23" s="49"/>
      <c r="AD23" s="1"/>
      <c r="AS23" s="259"/>
      <c r="AT23" s="213"/>
      <c r="AU23" s="214"/>
    </row>
    <row r="24" spans="1:47" ht="51.75" customHeight="1" x14ac:dyDescent="0.25">
      <c r="R24" s="48"/>
      <c r="T24" s="49"/>
      <c r="W24" s="49"/>
      <c r="AA24" s="48"/>
      <c r="AB24" s="1"/>
      <c r="AC24" s="49"/>
      <c r="AD24" s="1"/>
      <c r="AS24" s="259"/>
      <c r="AT24" s="213"/>
      <c r="AU24" s="214"/>
    </row>
    <row r="25" spans="1:47" ht="51.75" customHeight="1" x14ac:dyDescent="0.25">
      <c r="R25" s="48"/>
      <c r="T25" s="49"/>
      <c r="W25" s="49"/>
      <c r="AA25" s="48"/>
      <c r="AB25" s="1"/>
      <c r="AC25" s="49"/>
      <c r="AD25" s="1"/>
      <c r="AS25" s="259"/>
      <c r="AT25" s="213"/>
      <c r="AU25" s="214"/>
    </row>
    <row r="26" spans="1:47" ht="51.75" customHeight="1" x14ac:dyDescent="0.25">
      <c r="R26" s="48"/>
      <c r="T26" s="49"/>
      <c r="W26" s="49"/>
      <c r="AA26" s="48"/>
      <c r="AB26" s="1"/>
      <c r="AC26" s="49"/>
      <c r="AD26" s="1"/>
      <c r="AS26" s="259"/>
      <c r="AT26" s="213"/>
      <c r="AU26" s="214"/>
    </row>
    <row r="27" spans="1:47" ht="51.75" customHeight="1" x14ac:dyDescent="0.25">
      <c r="R27" s="48"/>
      <c r="T27" s="49"/>
      <c r="W27" s="49"/>
      <c r="AA27" s="48"/>
      <c r="AB27" s="1"/>
      <c r="AC27" s="49"/>
      <c r="AD27" s="1"/>
      <c r="AS27" s="259"/>
      <c r="AT27" s="213"/>
      <c r="AU27" s="214"/>
    </row>
    <row r="28" spans="1:47" ht="51.75" customHeight="1" x14ac:dyDescent="0.25">
      <c r="R28" s="48"/>
      <c r="T28" s="49"/>
      <c r="W28" s="49"/>
      <c r="AA28" s="48"/>
      <c r="AB28" s="1"/>
      <c r="AC28" s="49"/>
      <c r="AD28" s="1"/>
      <c r="AS28" s="259"/>
      <c r="AT28" s="213"/>
      <c r="AU28" s="214"/>
    </row>
    <row r="29" spans="1:47" ht="51.75" customHeight="1" x14ac:dyDescent="0.25">
      <c r="R29" s="48"/>
      <c r="T29" s="49"/>
      <c r="W29" s="49"/>
      <c r="AA29" s="48"/>
      <c r="AB29" s="1"/>
      <c r="AC29" s="49"/>
      <c r="AD29" s="1"/>
      <c r="AS29" s="259"/>
      <c r="AT29" s="213"/>
      <c r="AU29" s="214"/>
    </row>
    <row r="30" spans="1:47" ht="51.75" customHeight="1" x14ac:dyDescent="0.25">
      <c r="R30" s="48"/>
      <c r="T30" s="49"/>
      <c r="W30" s="49"/>
      <c r="AA30" s="48"/>
      <c r="AB30" s="1"/>
      <c r="AC30" s="49"/>
      <c r="AD30" s="1"/>
      <c r="AS30" s="259"/>
      <c r="AT30" s="213"/>
      <c r="AU30" s="214"/>
    </row>
    <row r="31" spans="1:47" ht="51.75" customHeight="1" x14ac:dyDescent="0.25">
      <c r="R31" s="48"/>
      <c r="T31" s="49"/>
      <c r="W31" s="49"/>
      <c r="AA31" s="48"/>
      <c r="AB31" s="1"/>
      <c r="AC31" s="49"/>
      <c r="AD31" s="1"/>
      <c r="AS31" s="259"/>
      <c r="AT31" s="213"/>
      <c r="AU31" s="214"/>
    </row>
    <row r="32" spans="1:47" ht="51.75" customHeight="1" x14ac:dyDescent="0.25">
      <c r="R32" s="48"/>
      <c r="T32" s="49"/>
      <c r="W32" s="49"/>
      <c r="AA32" s="48"/>
      <c r="AB32" s="1"/>
      <c r="AC32" s="49"/>
      <c r="AD32" s="1"/>
      <c r="AS32" s="259"/>
      <c r="AT32" s="213"/>
      <c r="AU32" s="214"/>
    </row>
    <row r="33" spans="18:47" ht="51.75" customHeight="1" x14ac:dyDescent="0.25">
      <c r="R33" s="48"/>
      <c r="T33" s="49"/>
      <c r="W33" s="49"/>
      <c r="AA33" s="48"/>
      <c r="AB33" s="1"/>
      <c r="AC33" s="49"/>
      <c r="AD33" s="1"/>
      <c r="AS33" s="259"/>
      <c r="AT33" s="213"/>
      <c r="AU33" s="214"/>
    </row>
    <row r="34" spans="18:47" ht="51.75" customHeight="1" x14ac:dyDescent="0.25">
      <c r="R34" s="48"/>
      <c r="T34" s="49"/>
      <c r="W34" s="49"/>
      <c r="AA34" s="48"/>
      <c r="AB34" s="1"/>
      <c r="AC34" s="49"/>
      <c r="AD34" s="1"/>
      <c r="AS34" s="259"/>
      <c r="AT34" s="213"/>
      <c r="AU34" s="214"/>
    </row>
    <row r="35" spans="18:47" ht="51.75" customHeight="1" x14ac:dyDescent="0.25">
      <c r="R35" s="48"/>
      <c r="T35" s="49"/>
      <c r="W35" s="49"/>
      <c r="AA35" s="48"/>
      <c r="AB35" s="1"/>
      <c r="AC35" s="49"/>
      <c r="AD35" s="1"/>
      <c r="AS35" s="259"/>
      <c r="AT35" s="213"/>
      <c r="AU35" s="214"/>
    </row>
    <row r="36" spans="18:47" ht="51.75" customHeight="1" x14ac:dyDescent="0.25">
      <c r="R36" s="48"/>
      <c r="T36" s="49"/>
      <c r="W36" s="49"/>
      <c r="AA36" s="48"/>
      <c r="AB36" s="1"/>
      <c r="AC36" s="49"/>
      <c r="AD36" s="1"/>
      <c r="AS36" s="259"/>
      <c r="AT36" s="213"/>
      <c r="AU36" s="214"/>
    </row>
    <row r="37" spans="18:47" ht="51.75" customHeight="1" x14ac:dyDescent="0.25">
      <c r="R37" s="48"/>
      <c r="T37" s="49"/>
      <c r="W37" s="49"/>
      <c r="AA37" s="48"/>
      <c r="AB37" s="1"/>
      <c r="AC37" s="49"/>
      <c r="AD37" s="1"/>
      <c r="AS37" s="259"/>
      <c r="AT37" s="213"/>
      <c r="AU37" s="214"/>
    </row>
    <row r="38" spans="18:47" ht="51.75" customHeight="1" x14ac:dyDescent="0.25">
      <c r="R38" s="48"/>
      <c r="T38" s="49"/>
      <c r="W38" s="49"/>
      <c r="AA38" s="48"/>
      <c r="AB38" s="1"/>
      <c r="AC38" s="49"/>
      <c r="AD38" s="1"/>
      <c r="AS38" s="259"/>
      <c r="AT38" s="213"/>
      <c r="AU38" s="214"/>
    </row>
    <row r="39" spans="18:47" ht="51.75" customHeight="1" x14ac:dyDescent="0.25">
      <c r="R39" s="48"/>
      <c r="T39" s="49"/>
      <c r="W39" s="49"/>
      <c r="AA39" s="48"/>
      <c r="AB39" s="1"/>
      <c r="AC39" s="49"/>
      <c r="AD39" s="1"/>
      <c r="AS39" s="259"/>
      <c r="AT39" s="213"/>
      <c r="AU39" s="214"/>
    </row>
    <row r="40" spans="18:47" ht="51.75" customHeight="1" x14ac:dyDescent="0.25">
      <c r="R40" s="48"/>
      <c r="T40" s="49"/>
      <c r="W40" s="49"/>
      <c r="AA40" s="48"/>
      <c r="AB40" s="1"/>
      <c r="AC40" s="49"/>
      <c r="AD40" s="1"/>
      <c r="AS40" s="259"/>
      <c r="AT40" s="213"/>
      <c r="AU40" s="214"/>
    </row>
    <row r="41" spans="18:47" ht="51.75" customHeight="1" x14ac:dyDescent="0.25">
      <c r="R41" s="48"/>
      <c r="T41" s="49"/>
      <c r="W41" s="49"/>
      <c r="AA41" s="48"/>
      <c r="AB41" s="1"/>
      <c r="AC41" s="49"/>
      <c r="AD41" s="1"/>
      <c r="AS41" s="259"/>
      <c r="AT41" s="213"/>
      <c r="AU41" s="214"/>
    </row>
    <row r="42" spans="18:47" ht="51.75" customHeight="1" x14ac:dyDescent="0.25">
      <c r="R42" s="48"/>
      <c r="T42" s="49"/>
      <c r="W42" s="49"/>
      <c r="AA42" s="48"/>
      <c r="AB42" s="1"/>
      <c r="AC42" s="49"/>
      <c r="AD42" s="1"/>
      <c r="AS42" s="259"/>
      <c r="AT42" s="213"/>
      <c r="AU42" s="214"/>
    </row>
    <row r="43" spans="18:47" ht="51.75" customHeight="1" x14ac:dyDescent="0.25">
      <c r="R43" s="48"/>
      <c r="T43" s="49"/>
      <c r="W43" s="49"/>
      <c r="AA43" s="48"/>
      <c r="AB43" s="1"/>
      <c r="AC43" s="49"/>
      <c r="AD43" s="1"/>
      <c r="AS43" s="259"/>
      <c r="AT43" s="213"/>
      <c r="AU43" s="214"/>
    </row>
    <row r="44" spans="18:47" ht="51.75" customHeight="1" x14ac:dyDescent="0.25">
      <c r="R44" s="48"/>
      <c r="T44" s="49"/>
      <c r="W44" s="49"/>
      <c r="AA44" s="48"/>
      <c r="AB44" s="1"/>
      <c r="AC44" s="49"/>
      <c r="AD44" s="1"/>
      <c r="AS44" s="259"/>
      <c r="AT44" s="213"/>
      <c r="AU44" s="214"/>
    </row>
    <row r="45" spans="18:47" ht="51.75" customHeight="1" x14ac:dyDescent="0.25">
      <c r="R45" s="48"/>
      <c r="T45" s="49"/>
      <c r="W45" s="49"/>
      <c r="AA45" s="48"/>
      <c r="AB45" s="1"/>
      <c r="AC45" s="49"/>
      <c r="AD45" s="1"/>
      <c r="AS45" s="259"/>
      <c r="AT45" s="213"/>
      <c r="AU45" s="214"/>
    </row>
    <row r="46" spans="18:47" ht="51.75" customHeight="1" x14ac:dyDescent="0.25">
      <c r="R46" s="48"/>
      <c r="T46" s="49"/>
      <c r="W46" s="49"/>
      <c r="AA46" s="48"/>
      <c r="AB46" s="1"/>
      <c r="AC46" s="49"/>
      <c r="AD46" s="1"/>
      <c r="AS46" s="259"/>
      <c r="AT46" s="213"/>
      <c r="AU46" s="214"/>
    </row>
    <row r="47" spans="18:47" ht="51.75" customHeight="1" x14ac:dyDescent="0.25">
      <c r="R47" s="48"/>
      <c r="T47" s="49"/>
      <c r="W47" s="49"/>
      <c r="AA47" s="48"/>
      <c r="AB47" s="1"/>
      <c r="AC47" s="49"/>
      <c r="AD47" s="1"/>
      <c r="AS47" s="259"/>
      <c r="AT47" s="213"/>
      <c r="AU47" s="214"/>
    </row>
    <row r="48" spans="18:47" ht="51.75" customHeight="1" x14ac:dyDescent="0.25">
      <c r="R48" s="48"/>
      <c r="T48" s="49"/>
      <c r="W48" s="49"/>
      <c r="AA48" s="48"/>
      <c r="AB48" s="1"/>
      <c r="AC48" s="49"/>
      <c r="AD48" s="1"/>
      <c r="AS48" s="259"/>
      <c r="AT48" s="213"/>
      <c r="AU48" s="214"/>
    </row>
    <row r="49" spans="18:47" ht="51.75" customHeight="1" x14ac:dyDescent="0.25">
      <c r="R49" s="48"/>
      <c r="T49" s="49"/>
      <c r="W49" s="49"/>
      <c r="AA49" s="48"/>
      <c r="AB49" s="1"/>
      <c r="AC49" s="49"/>
      <c r="AD49" s="1"/>
      <c r="AS49" s="259"/>
      <c r="AT49" s="213"/>
      <c r="AU49" s="214"/>
    </row>
    <row r="50" spans="18:47" ht="51.75" customHeight="1" x14ac:dyDescent="0.25">
      <c r="R50" s="48"/>
      <c r="T50" s="49"/>
      <c r="W50" s="49"/>
      <c r="AA50" s="48"/>
      <c r="AB50" s="1"/>
      <c r="AC50" s="49"/>
      <c r="AD50" s="1"/>
      <c r="AS50" s="259"/>
      <c r="AT50" s="213"/>
      <c r="AU50" s="214"/>
    </row>
    <row r="51" spans="18:47" ht="51.75" customHeight="1" x14ac:dyDescent="0.25">
      <c r="R51" s="48"/>
      <c r="T51" s="49"/>
      <c r="W51" s="49"/>
      <c r="AA51" s="48"/>
      <c r="AB51" s="1"/>
      <c r="AC51" s="49"/>
      <c r="AD51" s="1"/>
      <c r="AS51" s="259"/>
      <c r="AT51" s="213"/>
      <c r="AU51" s="214"/>
    </row>
    <row r="52" spans="18:47" ht="51.75" customHeight="1" x14ac:dyDescent="0.25">
      <c r="R52" s="48"/>
      <c r="T52" s="49"/>
      <c r="W52" s="49"/>
      <c r="AA52" s="48"/>
      <c r="AB52" s="1"/>
      <c r="AC52" s="49"/>
      <c r="AD52" s="1"/>
      <c r="AS52" s="259"/>
      <c r="AT52" s="213"/>
      <c r="AU52" s="214"/>
    </row>
    <row r="53" spans="18:47" ht="51.75" customHeight="1" x14ac:dyDescent="0.25">
      <c r="R53" s="48"/>
      <c r="T53" s="49"/>
      <c r="W53" s="49"/>
      <c r="AA53" s="48"/>
      <c r="AB53" s="1"/>
      <c r="AC53" s="49"/>
      <c r="AD53" s="1"/>
      <c r="AS53" s="259"/>
      <c r="AT53" s="213"/>
      <c r="AU53" s="214"/>
    </row>
    <row r="54" spans="18:47" ht="51.75" customHeight="1" x14ac:dyDescent="0.25">
      <c r="R54" s="48"/>
      <c r="T54" s="49"/>
      <c r="W54" s="49"/>
      <c r="AA54" s="48"/>
      <c r="AB54" s="1"/>
      <c r="AC54" s="49"/>
      <c r="AD54" s="1"/>
      <c r="AS54" s="259"/>
      <c r="AT54" s="213"/>
      <c r="AU54" s="214"/>
    </row>
    <row r="55" spans="18:47" ht="51.75" customHeight="1" x14ac:dyDescent="0.25">
      <c r="R55" s="48"/>
      <c r="T55" s="49"/>
      <c r="W55" s="49"/>
      <c r="AA55" s="48"/>
      <c r="AB55" s="1"/>
      <c r="AC55" s="49"/>
      <c r="AD55" s="1"/>
      <c r="AS55" s="259"/>
      <c r="AT55" s="213"/>
      <c r="AU55" s="214"/>
    </row>
    <row r="56" spans="18:47" ht="51.75" customHeight="1" x14ac:dyDescent="0.25">
      <c r="R56" s="48"/>
      <c r="T56" s="49"/>
      <c r="W56" s="49"/>
      <c r="AA56" s="48"/>
      <c r="AB56" s="1"/>
      <c r="AC56" s="49"/>
      <c r="AD56" s="1"/>
      <c r="AS56" s="259"/>
      <c r="AT56" s="213"/>
      <c r="AU56" s="214"/>
    </row>
    <row r="57" spans="18:47" ht="51.75" customHeight="1" x14ac:dyDescent="0.25">
      <c r="R57" s="48"/>
      <c r="T57" s="49"/>
      <c r="W57" s="49"/>
      <c r="AA57" s="48"/>
      <c r="AB57" s="1"/>
      <c r="AC57" s="49"/>
      <c r="AD57" s="1"/>
      <c r="AS57" s="259"/>
      <c r="AT57" s="213"/>
      <c r="AU57" s="214"/>
    </row>
    <row r="58" spans="18:47" ht="51.75" customHeight="1" x14ac:dyDescent="0.25">
      <c r="R58" s="48"/>
      <c r="T58" s="49"/>
      <c r="W58" s="49"/>
      <c r="AA58" s="48"/>
      <c r="AB58" s="1"/>
      <c r="AC58" s="49"/>
      <c r="AD58" s="1"/>
      <c r="AS58" s="259"/>
      <c r="AT58" s="213"/>
      <c r="AU58" s="214"/>
    </row>
    <row r="59" spans="18:47" ht="51.75" customHeight="1" x14ac:dyDescent="0.25">
      <c r="R59" s="48"/>
      <c r="T59" s="49"/>
      <c r="W59" s="49"/>
      <c r="AA59" s="48"/>
      <c r="AB59" s="1"/>
      <c r="AC59" s="49"/>
      <c r="AD59" s="1"/>
      <c r="AS59" s="259"/>
      <c r="AT59" s="213"/>
      <c r="AU59" s="214"/>
    </row>
    <row r="60" spans="18:47" ht="51.75" customHeight="1" x14ac:dyDescent="0.25">
      <c r="R60" s="48"/>
      <c r="T60" s="49"/>
      <c r="W60" s="49"/>
      <c r="AA60" s="48"/>
      <c r="AB60" s="1"/>
      <c r="AC60" s="49"/>
      <c r="AD60" s="1"/>
      <c r="AS60" s="259"/>
      <c r="AT60" s="213"/>
      <c r="AU60" s="214"/>
    </row>
    <row r="61" spans="18:47" ht="51.75" customHeight="1" x14ac:dyDescent="0.25">
      <c r="R61" s="48"/>
      <c r="T61" s="49"/>
      <c r="W61" s="49"/>
      <c r="AA61" s="48"/>
      <c r="AB61" s="1"/>
      <c r="AC61" s="49"/>
      <c r="AD61" s="1"/>
      <c r="AS61" s="259"/>
      <c r="AT61" s="213"/>
      <c r="AU61" s="214"/>
    </row>
    <row r="62" spans="18:47" ht="51.75" customHeight="1" x14ac:dyDescent="0.25">
      <c r="R62" s="48"/>
      <c r="T62" s="49"/>
      <c r="W62" s="49"/>
      <c r="AA62" s="48"/>
      <c r="AB62" s="1"/>
      <c r="AC62" s="49"/>
      <c r="AD62" s="1"/>
      <c r="AS62" s="259"/>
      <c r="AT62" s="213"/>
      <c r="AU62" s="214"/>
    </row>
    <row r="63" spans="18:47" ht="51.75" customHeight="1" x14ac:dyDescent="0.25">
      <c r="R63" s="48"/>
      <c r="T63" s="49"/>
      <c r="W63" s="49"/>
      <c r="AA63" s="48"/>
      <c r="AB63" s="1"/>
      <c r="AC63" s="49"/>
      <c r="AD63" s="1"/>
      <c r="AS63" s="259"/>
      <c r="AT63" s="213"/>
      <c r="AU63" s="214"/>
    </row>
    <row r="64" spans="18:47" ht="51.75" customHeight="1" x14ac:dyDescent="0.25">
      <c r="R64" s="48"/>
      <c r="T64" s="49"/>
      <c r="W64" s="49"/>
      <c r="AA64" s="48"/>
      <c r="AB64" s="1"/>
      <c r="AC64" s="49"/>
      <c r="AD64" s="1"/>
      <c r="AS64" s="259"/>
      <c r="AT64" s="213"/>
      <c r="AU64" s="214"/>
    </row>
    <row r="65" spans="18:47" ht="51.75" customHeight="1" x14ac:dyDescent="0.25">
      <c r="R65" s="48"/>
      <c r="T65" s="49"/>
      <c r="W65" s="49"/>
      <c r="AA65" s="48"/>
      <c r="AB65" s="1"/>
      <c r="AC65" s="49"/>
      <c r="AD65" s="1"/>
      <c r="AS65" s="259"/>
      <c r="AT65" s="213"/>
      <c r="AU65" s="214"/>
    </row>
    <row r="66" spans="18:47" ht="51.75" customHeight="1" x14ac:dyDescent="0.25">
      <c r="R66" s="48"/>
      <c r="T66" s="49"/>
      <c r="W66" s="49"/>
      <c r="AA66" s="48"/>
      <c r="AB66" s="1"/>
      <c r="AC66" s="49"/>
      <c r="AD66" s="1"/>
      <c r="AS66" s="259"/>
      <c r="AT66" s="213"/>
      <c r="AU66" s="214"/>
    </row>
    <row r="67" spans="18:47" ht="51.75" customHeight="1" x14ac:dyDescent="0.25">
      <c r="R67" s="48"/>
      <c r="T67" s="49"/>
      <c r="W67" s="49"/>
      <c r="AA67" s="48"/>
      <c r="AB67" s="1"/>
      <c r="AC67" s="49"/>
      <c r="AD67" s="1"/>
      <c r="AS67" s="259"/>
      <c r="AT67" s="213"/>
      <c r="AU67" s="214"/>
    </row>
    <row r="68" spans="18:47" ht="51.75" customHeight="1" x14ac:dyDescent="0.25">
      <c r="R68" s="48"/>
      <c r="T68" s="49"/>
      <c r="W68" s="49"/>
      <c r="AA68" s="48"/>
      <c r="AB68" s="1"/>
      <c r="AC68" s="49"/>
      <c r="AD68" s="1"/>
      <c r="AS68" s="259"/>
      <c r="AT68" s="213"/>
      <c r="AU68" s="214"/>
    </row>
    <row r="69" spans="18:47" ht="51.75" customHeight="1" x14ac:dyDescent="0.25">
      <c r="R69" s="48"/>
      <c r="T69" s="49"/>
      <c r="W69" s="49"/>
      <c r="AA69" s="48"/>
      <c r="AB69" s="1"/>
      <c r="AC69" s="49"/>
      <c r="AD69" s="1"/>
      <c r="AS69" s="259"/>
      <c r="AT69" s="213"/>
      <c r="AU69" s="214"/>
    </row>
    <row r="70" spans="18:47" ht="51.75" customHeight="1" x14ac:dyDescent="0.25">
      <c r="R70" s="48"/>
      <c r="T70" s="49"/>
      <c r="W70" s="49"/>
      <c r="AA70" s="48"/>
      <c r="AB70" s="1"/>
      <c r="AC70" s="49"/>
      <c r="AD70" s="1"/>
      <c r="AS70" s="259"/>
      <c r="AT70" s="213"/>
      <c r="AU70" s="214"/>
    </row>
    <row r="71" spans="18:47" ht="51.75" customHeight="1" x14ac:dyDescent="0.25">
      <c r="R71" s="48"/>
      <c r="T71" s="49"/>
      <c r="W71" s="49"/>
      <c r="AA71" s="48"/>
      <c r="AB71" s="1"/>
      <c r="AC71" s="49"/>
      <c r="AD71" s="1"/>
      <c r="AS71" s="259"/>
      <c r="AT71" s="213"/>
      <c r="AU71" s="214"/>
    </row>
    <row r="72" spans="18:47" ht="51.75" customHeight="1" x14ac:dyDescent="0.25">
      <c r="R72" s="48"/>
      <c r="T72" s="49"/>
      <c r="W72" s="49"/>
      <c r="AA72" s="48"/>
      <c r="AB72" s="1"/>
      <c r="AC72" s="49"/>
      <c r="AD72" s="1"/>
      <c r="AS72" s="259"/>
      <c r="AT72" s="213"/>
      <c r="AU72" s="214"/>
    </row>
    <row r="73" spans="18:47" ht="51.75" customHeight="1" x14ac:dyDescent="0.25">
      <c r="R73" s="48"/>
      <c r="T73" s="49"/>
      <c r="W73" s="49"/>
      <c r="AA73" s="48"/>
      <c r="AB73" s="1"/>
      <c r="AC73" s="49"/>
      <c r="AD73" s="1"/>
      <c r="AS73" s="259"/>
      <c r="AT73" s="213"/>
      <c r="AU73" s="214"/>
    </row>
    <row r="74" spans="18:47" ht="51.75" customHeight="1" x14ac:dyDescent="0.25">
      <c r="R74" s="48"/>
      <c r="T74" s="49"/>
      <c r="W74" s="49"/>
      <c r="AA74" s="48"/>
      <c r="AB74" s="1"/>
      <c r="AC74" s="49"/>
      <c r="AD74" s="1"/>
      <c r="AS74" s="259"/>
      <c r="AT74" s="213"/>
      <c r="AU74" s="214"/>
    </row>
    <row r="75" spans="18:47" ht="51.75" customHeight="1" x14ac:dyDescent="0.25">
      <c r="R75" s="48"/>
      <c r="T75" s="49"/>
      <c r="W75" s="49"/>
      <c r="AA75" s="48"/>
      <c r="AB75" s="1"/>
      <c r="AC75" s="49"/>
      <c r="AD75" s="1"/>
      <c r="AS75" s="259"/>
      <c r="AT75" s="213"/>
      <c r="AU75" s="214"/>
    </row>
    <row r="76" spans="18:47" ht="51.75" customHeight="1" x14ac:dyDescent="0.25">
      <c r="R76" s="48"/>
      <c r="T76" s="49"/>
      <c r="W76" s="49"/>
      <c r="AA76" s="48"/>
      <c r="AB76" s="1"/>
      <c r="AC76" s="49"/>
      <c r="AD76" s="1"/>
      <c r="AS76" s="259"/>
      <c r="AT76" s="213"/>
      <c r="AU76" s="214"/>
    </row>
    <row r="77" spans="18:47" ht="51.75" customHeight="1" x14ac:dyDescent="0.25">
      <c r="R77" s="48"/>
      <c r="T77" s="49"/>
      <c r="W77" s="49"/>
      <c r="AA77" s="48"/>
      <c r="AB77" s="1"/>
      <c r="AC77" s="49"/>
      <c r="AD77" s="1"/>
      <c r="AS77" s="259"/>
      <c r="AT77" s="213"/>
      <c r="AU77" s="214"/>
    </row>
    <row r="78" spans="18:47" ht="51.75" customHeight="1" x14ac:dyDescent="0.25">
      <c r="R78" s="48"/>
      <c r="T78" s="49"/>
      <c r="W78" s="49"/>
      <c r="AA78" s="48"/>
      <c r="AB78" s="1"/>
      <c r="AC78" s="49"/>
      <c r="AD78" s="1"/>
      <c r="AS78" s="259"/>
      <c r="AT78" s="213"/>
      <c r="AU78" s="214"/>
    </row>
    <row r="79" spans="18:47" ht="51.75" customHeight="1" x14ac:dyDescent="0.25">
      <c r="R79" s="48"/>
      <c r="T79" s="49"/>
      <c r="W79" s="49"/>
      <c r="AA79" s="48"/>
      <c r="AB79" s="1"/>
      <c r="AC79" s="49"/>
      <c r="AD79" s="1"/>
      <c r="AS79" s="259"/>
      <c r="AT79" s="213"/>
      <c r="AU79" s="214"/>
    </row>
    <row r="80" spans="18:47" ht="51.75" customHeight="1" x14ac:dyDescent="0.25">
      <c r="R80" s="48"/>
      <c r="T80" s="49"/>
      <c r="W80" s="49"/>
      <c r="AA80" s="48"/>
      <c r="AB80" s="1"/>
      <c r="AC80" s="49"/>
      <c r="AD80" s="1"/>
      <c r="AS80" s="259"/>
      <c r="AT80" s="213"/>
      <c r="AU80" s="214"/>
    </row>
    <row r="81" spans="18:47" ht="51.75" customHeight="1" x14ac:dyDescent="0.25">
      <c r="R81" s="48"/>
      <c r="T81" s="49"/>
      <c r="W81" s="49"/>
      <c r="AA81" s="48"/>
      <c r="AB81" s="1"/>
      <c r="AC81" s="49"/>
      <c r="AD81" s="1"/>
      <c r="AS81" s="259"/>
      <c r="AT81" s="213"/>
      <c r="AU81" s="214"/>
    </row>
    <row r="82" spans="18:47" ht="51.75" customHeight="1" x14ac:dyDescent="0.25">
      <c r="R82" s="48"/>
      <c r="T82" s="49"/>
      <c r="W82" s="49"/>
      <c r="AA82" s="48"/>
      <c r="AB82" s="1"/>
      <c r="AC82" s="49"/>
      <c r="AD82" s="1"/>
      <c r="AS82" s="259"/>
      <c r="AT82" s="213"/>
      <c r="AU82" s="214"/>
    </row>
    <row r="83" spans="18:47" ht="51.75" customHeight="1" x14ac:dyDescent="0.25">
      <c r="R83" s="48"/>
      <c r="T83" s="49"/>
      <c r="W83" s="49"/>
      <c r="AA83" s="48"/>
      <c r="AB83" s="1"/>
      <c r="AC83" s="49"/>
      <c r="AD83" s="1"/>
      <c r="AS83" s="259"/>
      <c r="AT83" s="213"/>
      <c r="AU83" s="214"/>
    </row>
    <row r="84" spans="18:47" ht="51.75" customHeight="1" x14ac:dyDescent="0.25">
      <c r="R84" s="48"/>
      <c r="T84" s="49"/>
      <c r="W84" s="49"/>
      <c r="AA84" s="48"/>
      <c r="AB84" s="1"/>
      <c r="AC84" s="49"/>
      <c r="AD84" s="1"/>
      <c r="AS84" s="259"/>
      <c r="AT84" s="213"/>
      <c r="AU84" s="214"/>
    </row>
    <row r="85" spans="18:47" ht="51.75" customHeight="1" x14ac:dyDescent="0.25">
      <c r="R85" s="48"/>
      <c r="T85" s="49"/>
      <c r="W85" s="49"/>
      <c r="AA85" s="48"/>
      <c r="AB85" s="1"/>
      <c r="AC85" s="49"/>
      <c r="AD85" s="1"/>
      <c r="AS85" s="259"/>
      <c r="AT85" s="213"/>
      <c r="AU85" s="214"/>
    </row>
    <row r="86" spans="18:47" ht="51.75" customHeight="1" x14ac:dyDescent="0.25">
      <c r="R86" s="48"/>
      <c r="T86" s="49"/>
      <c r="W86" s="49"/>
      <c r="AA86" s="48"/>
      <c r="AB86" s="1"/>
      <c r="AC86" s="49"/>
      <c r="AD86" s="1"/>
      <c r="AS86" s="259"/>
      <c r="AT86" s="213"/>
      <c r="AU86" s="214"/>
    </row>
    <row r="87" spans="18:47" ht="51.75" customHeight="1" x14ac:dyDescent="0.25">
      <c r="R87" s="48"/>
      <c r="T87" s="49"/>
      <c r="W87" s="49"/>
      <c r="AA87" s="48"/>
      <c r="AB87" s="1"/>
      <c r="AC87" s="49"/>
      <c r="AD87" s="1"/>
      <c r="AS87" s="259"/>
      <c r="AT87" s="213"/>
      <c r="AU87" s="214"/>
    </row>
    <row r="88" spans="18:47" ht="51.75" customHeight="1" x14ac:dyDescent="0.25">
      <c r="R88" s="48"/>
      <c r="T88" s="49"/>
      <c r="W88" s="49"/>
      <c r="AA88" s="48"/>
      <c r="AB88" s="1"/>
      <c r="AC88" s="49"/>
      <c r="AD88" s="1"/>
      <c r="AS88" s="259"/>
      <c r="AT88" s="213"/>
      <c r="AU88" s="214"/>
    </row>
    <row r="89" spans="18:47" ht="51.75" customHeight="1" x14ac:dyDescent="0.25">
      <c r="R89" s="48"/>
      <c r="T89" s="49"/>
      <c r="W89" s="49"/>
      <c r="AA89" s="48"/>
      <c r="AB89" s="1"/>
      <c r="AC89" s="49"/>
      <c r="AD89" s="1"/>
      <c r="AS89" s="259"/>
      <c r="AT89" s="213"/>
      <c r="AU89" s="214"/>
    </row>
    <row r="90" spans="18:47" ht="51.75" customHeight="1" x14ac:dyDescent="0.25">
      <c r="R90" s="48"/>
      <c r="T90" s="49"/>
      <c r="W90" s="49"/>
      <c r="AA90" s="48"/>
      <c r="AB90" s="1"/>
      <c r="AC90" s="49"/>
      <c r="AD90" s="1"/>
      <c r="AS90" s="259"/>
      <c r="AT90" s="213"/>
      <c r="AU90" s="214"/>
    </row>
    <row r="91" spans="18:47" ht="51.75" customHeight="1" x14ac:dyDescent="0.25">
      <c r="R91" s="48"/>
      <c r="T91" s="49"/>
      <c r="W91" s="49"/>
      <c r="AA91" s="48"/>
      <c r="AB91" s="1"/>
      <c r="AC91" s="49"/>
      <c r="AD91" s="1"/>
      <c r="AS91" s="259"/>
      <c r="AT91" s="213"/>
      <c r="AU91" s="214"/>
    </row>
    <row r="92" spans="18:47" ht="51.75" customHeight="1" x14ac:dyDescent="0.25">
      <c r="R92" s="48"/>
      <c r="T92" s="49"/>
      <c r="W92" s="49"/>
      <c r="AA92" s="48"/>
      <c r="AB92" s="1"/>
      <c r="AC92" s="49"/>
      <c r="AD92" s="1"/>
      <c r="AS92" s="259"/>
      <c r="AT92" s="213"/>
      <c r="AU92" s="214"/>
    </row>
    <row r="93" spans="18:47" ht="51.75" customHeight="1" x14ac:dyDescent="0.25">
      <c r="R93" s="48"/>
      <c r="T93" s="49"/>
      <c r="W93" s="49"/>
      <c r="AA93" s="48"/>
      <c r="AB93" s="1"/>
      <c r="AC93" s="49"/>
      <c r="AD93" s="1"/>
      <c r="AS93" s="259"/>
      <c r="AT93" s="213"/>
      <c r="AU93" s="214"/>
    </row>
    <row r="94" spans="18:47" ht="51.75" customHeight="1" x14ac:dyDescent="0.25">
      <c r="R94" s="48"/>
      <c r="T94" s="49"/>
      <c r="W94" s="49"/>
      <c r="AA94" s="48"/>
      <c r="AB94" s="1"/>
      <c r="AC94" s="49"/>
      <c r="AD94" s="1"/>
      <c r="AS94" s="259"/>
      <c r="AT94" s="213"/>
      <c r="AU94" s="214"/>
    </row>
    <row r="95" spans="18:47" ht="51.75" customHeight="1" x14ac:dyDescent="0.25">
      <c r="R95" s="48"/>
      <c r="T95" s="49"/>
      <c r="W95" s="49"/>
      <c r="AA95" s="48"/>
      <c r="AB95" s="1"/>
      <c r="AC95" s="49"/>
      <c r="AD95" s="1"/>
      <c r="AS95" s="259"/>
      <c r="AT95" s="213"/>
      <c r="AU95" s="214"/>
    </row>
    <row r="96" spans="18:47" ht="51.75" customHeight="1" x14ac:dyDescent="0.25">
      <c r="R96" s="48"/>
      <c r="T96" s="49"/>
      <c r="W96" s="49"/>
      <c r="AA96" s="48"/>
      <c r="AB96" s="1"/>
      <c r="AC96" s="49"/>
      <c r="AD96" s="1"/>
      <c r="AS96" s="259"/>
      <c r="AT96" s="213"/>
      <c r="AU96" s="214"/>
    </row>
    <row r="97" spans="18:47" ht="51.75" customHeight="1" x14ac:dyDescent="0.25">
      <c r="R97" s="48"/>
      <c r="T97" s="49"/>
      <c r="W97" s="49"/>
      <c r="AA97" s="48"/>
      <c r="AB97" s="1"/>
      <c r="AC97" s="49"/>
      <c r="AD97" s="1"/>
      <c r="AS97" s="259"/>
      <c r="AT97" s="213"/>
      <c r="AU97" s="214"/>
    </row>
    <row r="98" spans="18:47" ht="51.75" customHeight="1" x14ac:dyDescent="0.25">
      <c r="R98" s="48"/>
      <c r="T98" s="49"/>
      <c r="W98" s="49"/>
      <c r="AA98" s="48"/>
      <c r="AB98" s="1"/>
      <c r="AC98" s="49"/>
      <c r="AD98" s="1"/>
      <c r="AS98" s="259"/>
      <c r="AT98" s="213"/>
      <c r="AU98" s="214"/>
    </row>
    <row r="99" spans="18:47" ht="51.75" customHeight="1" x14ac:dyDescent="0.25">
      <c r="R99" s="48"/>
      <c r="T99" s="49"/>
      <c r="W99" s="49"/>
      <c r="AA99" s="48"/>
      <c r="AB99" s="1"/>
      <c r="AC99" s="49"/>
      <c r="AD99" s="1"/>
      <c r="AS99" s="259"/>
      <c r="AT99" s="213"/>
      <c r="AU99" s="214"/>
    </row>
    <row r="100" spans="18:47" ht="51.75" customHeight="1" x14ac:dyDescent="0.25">
      <c r="R100" s="48"/>
      <c r="T100" s="49"/>
      <c r="W100" s="49"/>
      <c r="AA100" s="48"/>
      <c r="AB100" s="1"/>
      <c r="AC100" s="49"/>
      <c r="AD100" s="1"/>
      <c r="AS100" s="259"/>
      <c r="AT100" s="213"/>
      <c r="AU100" s="214"/>
    </row>
    <row r="101" spans="18:47" ht="51.75" customHeight="1" x14ac:dyDescent="0.25">
      <c r="R101" s="48"/>
      <c r="T101" s="49"/>
      <c r="W101" s="49"/>
      <c r="AA101" s="48"/>
      <c r="AB101" s="1"/>
      <c r="AC101" s="49"/>
      <c r="AD101" s="1"/>
      <c r="AS101" s="259"/>
      <c r="AT101" s="213"/>
      <c r="AU101" s="214"/>
    </row>
    <row r="102" spans="18:47" ht="51.75" customHeight="1" x14ac:dyDescent="0.25">
      <c r="R102" s="48"/>
      <c r="T102" s="49"/>
      <c r="W102" s="49"/>
      <c r="AA102" s="48"/>
      <c r="AB102" s="1"/>
      <c r="AC102" s="49"/>
      <c r="AD102" s="1"/>
      <c r="AS102" s="259"/>
      <c r="AT102" s="213"/>
      <c r="AU102" s="214"/>
    </row>
    <row r="103" spans="18:47" ht="51.75" customHeight="1" x14ac:dyDescent="0.25">
      <c r="R103" s="48"/>
      <c r="T103" s="49"/>
      <c r="W103" s="49"/>
      <c r="AA103" s="48"/>
      <c r="AB103" s="1"/>
      <c r="AC103" s="49"/>
      <c r="AD103" s="1"/>
      <c r="AS103" s="259"/>
      <c r="AT103" s="213"/>
      <c r="AU103" s="214"/>
    </row>
    <row r="104" spans="18:47" ht="51.75" customHeight="1" x14ac:dyDescent="0.25">
      <c r="R104" s="48"/>
      <c r="T104" s="49"/>
      <c r="W104" s="49"/>
      <c r="AA104" s="48"/>
      <c r="AB104" s="1"/>
      <c r="AC104" s="49"/>
      <c r="AD104" s="1"/>
      <c r="AS104" s="259"/>
      <c r="AT104" s="213"/>
      <c r="AU104" s="214"/>
    </row>
    <row r="105" spans="18:47" ht="51.75" customHeight="1" x14ac:dyDescent="0.25">
      <c r="R105" s="48"/>
      <c r="T105" s="49"/>
      <c r="W105" s="49"/>
      <c r="AA105" s="48"/>
      <c r="AB105" s="1"/>
      <c r="AC105" s="49"/>
      <c r="AD105" s="1"/>
      <c r="AS105" s="259"/>
      <c r="AT105" s="213"/>
      <c r="AU105" s="214"/>
    </row>
    <row r="106" spans="18:47" ht="51.75" customHeight="1" thickBot="1" x14ac:dyDescent="0.3">
      <c r="R106" s="48"/>
      <c r="T106" s="49"/>
      <c r="U106" s="218"/>
      <c r="V106" s="219"/>
      <c r="W106" s="220"/>
      <c r="X106" s="218"/>
      <c r="Y106" s="219"/>
      <c r="Z106" s="220"/>
      <c r="AA106" s="218"/>
      <c r="AB106" s="219"/>
      <c r="AC106" s="220"/>
      <c r="AD106" s="1"/>
    </row>
    <row r="107" spans="18:47" ht="51.75" customHeight="1" x14ac:dyDescent="0.25">
      <c r="R107" s="48"/>
      <c r="T107" s="49"/>
    </row>
    <row r="108" spans="18:47" ht="51.75" customHeight="1" x14ac:dyDescent="0.25">
      <c r="R108" s="48"/>
      <c r="T108" s="49"/>
    </row>
    <row r="109" spans="18:47" ht="51.75" customHeight="1" x14ac:dyDescent="0.25">
      <c r="R109" s="48"/>
      <c r="T109" s="49"/>
    </row>
    <row r="110" spans="18:47" ht="51.75" customHeight="1" x14ac:dyDescent="0.25">
      <c r="R110" s="48"/>
      <c r="T110" s="49"/>
    </row>
    <row r="111" spans="18:47" ht="51.75" customHeight="1" x14ac:dyDescent="0.25">
      <c r="R111" s="48"/>
      <c r="T111" s="49"/>
    </row>
    <row r="112" spans="18:47" ht="51.75" customHeight="1" x14ac:dyDescent="0.25">
      <c r="R112" s="48"/>
      <c r="T112" s="49"/>
    </row>
    <row r="113" spans="18:20" ht="51.75" customHeight="1" x14ac:dyDescent="0.25">
      <c r="R113" s="48"/>
      <c r="T113" s="49"/>
    </row>
    <row r="114" spans="18:20" ht="51.75" customHeight="1" x14ac:dyDescent="0.25">
      <c r="R114" s="48"/>
      <c r="T114" s="49"/>
    </row>
    <row r="115" spans="18:20" ht="51.75" customHeight="1" x14ac:dyDescent="0.25">
      <c r="R115" s="48"/>
      <c r="T115" s="49"/>
    </row>
    <row r="116" spans="18:20" ht="51.75" customHeight="1" x14ac:dyDescent="0.25">
      <c r="R116" s="48"/>
      <c r="T116" s="49"/>
    </row>
    <row r="117" spans="18:20" ht="51.75" customHeight="1" x14ac:dyDescent="0.25">
      <c r="R117" s="48"/>
      <c r="T117" s="49"/>
    </row>
    <row r="118" spans="18:20" ht="51.75" customHeight="1" x14ac:dyDescent="0.25">
      <c r="R118" s="48"/>
      <c r="T118" s="49"/>
    </row>
    <row r="119" spans="18:20" ht="51.75" customHeight="1" x14ac:dyDescent="0.25">
      <c r="R119" s="48"/>
      <c r="T119" s="49"/>
    </row>
    <row r="120" spans="18:20" ht="51.75" customHeight="1" x14ac:dyDescent="0.25">
      <c r="R120" s="48"/>
      <c r="T120" s="49"/>
    </row>
    <row r="121" spans="18:20" ht="51.75" customHeight="1" x14ac:dyDescent="0.25">
      <c r="R121" s="48"/>
      <c r="T121" s="49"/>
    </row>
    <row r="122" spans="18:20" ht="51.75" customHeight="1" x14ac:dyDescent="0.25">
      <c r="R122" s="48"/>
      <c r="T122" s="49"/>
    </row>
  </sheetData>
  <mergeCells count="19">
    <mergeCell ref="A3:AL3"/>
    <mergeCell ref="B5:B6"/>
    <mergeCell ref="A5:A6"/>
    <mergeCell ref="X5:Z5"/>
    <mergeCell ref="U5:W5"/>
    <mergeCell ref="L5:N5"/>
    <mergeCell ref="F5:H5"/>
    <mergeCell ref="I5:K5"/>
    <mergeCell ref="AD5:AF5"/>
    <mergeCell ref="AA5:AC5"/>
    <mergeCell ref="E5:E6"/>
    <mergeCell ref="D5:D6"/>
    <mergeCell ref="AJ5:AL5"/>
    <mergeCell ref="R5:T5"/>
    <mergeCell ref="AG5:AI5"/>
    <mergeCell ref="O5:Q5"/>
    <mergeCell ref="AS5:AU5"/>
    <mergeCell ref="AP5:AR5"/>
    <mergeCell ref="AM5:AO5"/>
  </mergeCells>
  <pageMargins left="0.25" right="0.25" top="0.75" bottom="0.75" header="0.3" footer="0.3"/>
  <pageSetup paperSize="9" scale="6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D75115"/>
  </sheetPr>
  <dimension ref="A1:AX131"/>
  <sheetViews>
    <sheetView showZeros="0" zoomScale="80" zoomScaleNormal="80" workbookViewId="0">
      <pane ySplit="2" topLeftCell="A3" activePane="bottomLeft" state="frozen"/>
      <selection activeCell="B14" sqref="B14"/>
      <selection pane="bottomLeft" activeCell="C65" sqref="C65"/>
    </sheetView>
  </sheetViews>
  <sheetFormatPr defaultRowHeight="15" x14ac:dyDescent="0.25"/>
  <cols>
    <col min="1" max="1" width="2.7109375" style="669" customWidth="1"/>
    <col min="2" max="2" width="13" customWidth="1"/>
    <col min="3" max="3" width="20.140625" customWidth="1"/>
    <col min="4" max="4" width="13.42578125" customWidth="1"/>
    <col min="5" max="5" width="15.85546875" customWidth="1"/>
    <col min="6" max="6" width="11.7109375" customWidth="1"/>
    <col min="7" max="7" width="19.28515625" customWidth="1"/>
    <col min="8" max="8" width="12.140625" customWidth="1"/>
    <col min="9" max="9" width="13.5703125" customWidth="1"/>
    <col min="10" max="10" width="20.7109375" customWidth="1"/>
    <col min="11" max="11" width="14.7109375" customWidth="1"/>
    <col min="12" max="12" width="17.5703125" customWidth="1"/>
    <col min="13" max="13" width="12.28515625" style="669" customWidth="1"/>
    <col min="14" max="14" width="14.140625" customWidth="1"/>
    <col min="15" max="15" width="11.85546875" customWidth="1"/>
    <col min="16" max="23" width="10.5703125" customWidth="1"/>
    <col min="24" max="24" width="16" customWidth="1"/>
    <col min="25" max="25" width="13.28515625" customWidth="1"/>
    <col min="26" max="26" width="18.28515625" customWidth="1"/>
    <col min="27" max="27" width="18.42578125" customWidth="1"/>
    <col min="28" max="28" width="8.7109375" customWidth="1"/>
    <col min="29" max="42" width="18.28515625" customWidth="1"/>
    <col min="43" max="43" width="3.85546875" customWidth="1"/>
    <col min="44" max="44" width="2.85546875" customWidth="1"/>
    <col min="45" max="45" width="7.7109375" customWidth="1"/>
    <col min="46" max="46" width="23.42578125" bestFit="1" customWidth="1"/>
    <col min="47" max="48" width="7.85546875" customWidth="1"/>
    <col min="49" max="49" width="7.42578125" customWidth="1"/>
    <col min="50" max="50" width="11.5703125" bestFit="1" customWidth="1"/>
  </cols>
  <sheetData>
    <row r="1" spans="2:38" s="1" customFormat="1" ht="36" customHeight="1" x14ac:dyDescent="0.25">
      <c r="B1" s="157"/>
      <c r="C1" s="158"/>
      <c r="D1" s="158"/>
      <c r="E1" s="158"/>
      <c r="F1" s="158"/>
      <c r="G1" s="158"/>
      <c r="H1" s="158"/>
      <c r="I1" s="158"/>
      <c r="J1" s="158"/>
      <c r="K1" s="158"/>
      <c r="L1" s="158"/>
      <c r="M1" s="56"/>
    </row>
    <row r="2" spans="2:38" s="1" customFormat="1" ht="32.25" customHeight="1" x14ac:dyDescent="0.35">
      <c r="B2" s="1095" t="s">
        <v>1144</v>
      </c>
      <c r="C2" s="1096"/>
      <c r="D2" s="1096"/>
      <c r="E2" s="1096"/>
      <c r="F2" s="1096"/>
      <c r="G2" s="1096"/>
      <c r="H2" s="1096"/>
      <c r="I2" s="1096"/>
      <c r="J2" s="79"/>
      <c r="K2" s="79"/>
      <c r="L2" s="743"/>
      <c r="M2" s="745"/>
      <c r="N2" s="78"/>
      <c r="O2" s="78"/>
      <c r="P2" s="78"/>
      <c r="Q2" s="78"/>
      <c r="R2" s="78"/>
      <c r="S2" s="78"/>
      <c r="T2" s="78"/>
      <c r="U2" s="78"/>
      <c r="V2" s="78"/>
      <c r="W2" s="78"/>
      <c r="X2" s="78"/>
      <c r="Y2" s="78"/>
      <c r="Z2" s="78"/>
      <c r="AA2" s="78"/>
    </row>
    <row r="3" spans="2:38" s="16" customFormat="1" ht="25.5" customHeight="1" x14ac:dyDescent="0.25">
      <c r="B3" s="1222">
        <f>Report_Date</f>
        <v>43190</v>
      </c>
      <c r="C3" s="1222"/>
      <c r="D3" s="1222"/>
      <c r="E3" s="1222"/>
      <c r="F3" s="1222"/>
      <c r="G3" s="1222"/>
      <c r="H3" s="1222"/>
      <c r="I3" s="1165"/>
      <c r="J3" s="184"/>
      <c r="K3" s="184"/>
      <c r="L3" s="184"/>
      <c r="M3" s="184"/>
      <c r="N3" s="78"/>
      <c r="O3" s="78"/>
      <c r="P3" s="78"/>
      <c r="Q3" s="78"/>
      <c r="R3" s="78"/>
      <c r="S3" s="78"/>
      <c r="T3" s="78"/>
      <c r="U3" s="78"/>
      <c r="V3" s="78"/>
      <c r="W3" s="78"/>
      <c r="X3" s="78"/>
      <c r="Y3" s="78"/>
      <c r="Z3" s="78"/>
      <c r="AA3" s="78"/>
    </row>
    <row r="4" spans="2:38" s="16" customFormat="1" ht="33.75" x14ac:dyDescent="0.25">
      <c r="B4" s="170" t="s">
        <v>748</v>
      </c>
      <c r="C4" s="670" t="s">
        <v>718</v>
      </c>
      <c r="D4" s="823"/>
      <c r="E4" s="823"/>
      <c r="F4" s="823"/>
      <c r="G4" s="823"/>
      <c r="H4" s="823"/>
      <c r="I4" s="823"/>
      <c r="J4" s="79"/>
      <c r="K4" s="79"/>
      <c r="L4" s="79"/>
      <c r="M4" s="79"/>
      <c r="N4" s="669"/>
      <c r="O4" s="669"/>
      <c r="P4" s="669"/>
      <c r="Q4" s="669"/>
      <c r="R4" s="669"/>
      <c r="S4" s="669"/>
      <c r="T4" s="669"/>
      <c r="U4" s="669"/>
      <c r="V4" s="669"/>
      <c r="W4" s="669"/>
      <c r="X4" s="669"/>
      <c r="Y4" s="669"/>
      <c r="Z4" s="669"/>
      <c r="AA4" s="669"/>
    </row>
    <row r="5" spans="2:38" s="16" customFormat="1" ht="19.5" customHeight="1" x14ac:dyDescent="0.25">
      <c r="B5" s="677"/>
      <c r="C5" s="1225" t="s">
        <v>1139</v>
      </c>
      <c r="D5" s="1226"/>
      <c r="E5" s="1226"/>
      <c r="F5" s="1226"/>
      <c r="G5" s="1226"/>
      <c r="H5" s="1226"/>
      <c r="I5" s="1226"/>
      <c r="J5" s="1226"/>
      <c r="K5" s="1226"/>
      <c r="L5" s="1226"/>
      <c r="M5" s="1226"/>
      <c r="N5" s="669"/>
      <c r="O5" s="669"/>
      <c r="P5" s="669"/>
      <c r="Q5" s="669"/>
      <c r="R5" s="669"/>
      <c r="S5" s="669"/>
      <c r="T5" s="669"/>
      <c r="U5" s="669"/>
      <c r="V5" s="669"/>
      <c r="W5" s="669"/>
      <c r="X5" s="669"/>
      <c r="Y5" s="669"/>
      <c r="Z5" s="669"/>
      <c r="AA5" s="669"/>
    </row>
    <row r="6" spans="2:38" s="945" customFormat="1" x14ac:dyDescent="0.25">
      <c r="B6" s="971" t="s">
        <v>1</v>
      </c>
      <c r="C6" s="670" t="s">
        <v>1143</v>
      </c>
      <c r="D6" s="670" t="s">
        <v>1104</v>
      </c>
      <c r="E6" s="670" t="s">
        <v>1105</v>
      </c>
      <c r="F6" s="670" t="s">
        <v>1106</v>
      </c>
      <c r="G6" s="670" t="s">
        <v>1107</v>
      </c>
      <c r="H6" s="670" t="s">
        <v>1138</v>
      </c>
      <c r="I6" s="670" t="s">
        <v>1035</v>
      </c>
      <c r="J6" s="670" t="s">
        <v>1034</v>
      </c>
      <c r="K6" s="670" t="s">
        <v>1033</v>
      </c>
      <c r="L6" s="670" t="s">
        <v>1054</v>
      </c>
      <c r="M6" s="670" t="s">
        <v>1133</v>
      </c>
      <c r="N6" s="1"/>
      <c r="O6" s="1"/>
      <c r="P6" s="998"/>
      <c r="Q6" s="946"/>
      <c r="R6" s="946"/>
      <c r="S6" s="946"/>
      <c r="T6" s="946"/>
      <c r="U6" s="946"/>
      <c r="V6" s="946"/>
      <c r="W6" s="946"/>
      <c r="X6" s="946"/>
      <c r="Y6" s="946"/>
      <c r="Z6" s="946"/>
      <c r="AA6" s="946"/>
      <c r="AB6" s="946"/>
      <c r="AC6" s="946"/>
      <c r="AD6" s="946"/>
    </row>
    <row r="7" spans="2:38" s="16" customFormat="1" x14ac:dyDescent="0.25">
      <c r="B7" s="970" t="s">
        <v>817</v>
      </c>
      <c r="C7" s="969">
        <v>0</v>
      </c>
      <c r="D7" s="969">
        <v>0</v>
      </c>
      <c r="E7" s="969">
        <v>0</v>
      </c>
      <c r="F7" s="969">
        <v>0</v>
      </c>
      <c r="G7" s="969">
        <v>0</v>
      </c>
      <c r="H7" s="969">
        <v>0</v>
      </c>
      <c r="I7" s="969">
        <v>0</v>
      </c>
      <c r="J7" s="969">
        <v>0</v>
      </c>
      <c r="K7" s="969">
        <v>0</v>
      </c>
      <c r="L7" s="969">
        <v>0</v>
      </c>
      <c r="M7" s="969">
        <v>0</v>
      </c>
      <c r="N7" s="669"/>
      <c r="O7" s="669"/>
      <c r="P7" s="669"/>
      <c r="Q7" s="669"/>
      <c r="R7" s="669"/>
      <c r="S7" s="669"/>
      <c r="T7" s="669"/>
      <c r="U7" s="669"/>
      <c r="V7" s="669"/>
      <c r="W7" s="669"/>
      <c r="X7" s="669"/>
      <c r="Y7" s="669"/>
      <c r="Z7" s="669"/>
      <c r="AA7" s="669"/>
    </row>
    <row r="8" spans="2:38" s="16" customFormat="1" x14ac:dyDescent="0.25">
      <c r="B8" s="970" t="s">
        <v>13</v>
      </c>
      <c r="C8" s="969">
        <v>5046</v>
      </c>
      <c r="D8" s="969">
        <v>3752</v>
      </c>
      <c r="E8" s="969">
        <v>4516</v>
      </c>
      <c r="F8" s="969">
        <v>2888</v>
      </c>
      <c r="G8" s="969">
        <v>0</v>
      </c>
      <c r="H8" s="969">
        <v>13180</v>
      </c>
      <c r="I8" s="969">
        <v>0</v>
      </c>
      <c r="J8" s="969">
        <v>0</v>
      </c>
      <c r="K8" s="969">
        <v>0</v>
      </c>
      <c r="L8" s="969">
        <v>389</v>
      </c>
      <c r="M8" s="969">
        <v>1440</v>
      </c>
      <c r="N8" s="669"/>
      <c r="O8" s="669"/>
      <c r="P8" s="669"/>
      <c r="Q8" s="669"/>
      <c r="R8" s="669"/>
      <c r="S8" s="669"/>
      <c r="T8" s="669"/>
      <c r="U8" s="669"/>
      <c r="V8" s="669"/>
      <c r="W8" s="669"/>
      <c r="X8" s="669"/>
      <c r="Y8" s="669"/>
      <c r="Z8" s="669"/>
      <c r="AA8" s="669"/>
    </row>
    <row r="9" spans="2:38" s="16" customFormat="1" x14ac:dyDescent="0.25">
      <c r="B9" s="970" t="s">
        <v>15</v>
      </c>
      <c r="C9" s="969">
        <v>0</v>
      </c>
      <c r="D9" s="969">
        <v>502</v>
      </c>
      <c r="E9" s="969">
        <v>0</v>
      </c>
      <c r="F9" s="969">
        <v>0</v>
      </c>
      <c r="G9" s="969">
        <v>0</v>
      </c>
      <c r="H9" s="969">
        <v>0</v>
      </c>
      <c r="I9" s="969">
        <v>0</v>
      </c>
      <c r="J9" s="969">
        <v>0</v>
      </c>
      <c r="K9" s="969">
        <v>0</v>
      </c>
      <c r="L9" s="969">
        <v>0</v>
      </c>
      <c r="M9" s="969">
        <v>0</v>
      </c>
      <c r="N9" s="669"/>
      <c r="O9" s="669"/>
      <c r="P9" s="669"/>
      <c r="Q9" s="669"/>
      <c r="R9" s="669"/>
      <c r="S9" s="669"/>
      <c r="T9" s="669"/>
      <c r="U9" s="669"/>
      <c r="V9" s="669"/>
      <c r="W9" s="669"/>
      <c r="X9" s="669"/>
      <c r="Y9" s="669"/>
      <c r="Z9" s="669"/>
      <c r="AA9" s="669"/>
    </row>
    <row r="10" spans="2:38" s="16" customFormat="1" x14ac:dyDescent="0.25">
      <c r="B10" s="970" t="s">
        <v>17</v>
      </c>
      <c r="C10" s="969">
        <v>6586</v>
      </c>
      <c r="D10" s="969">
        <v>3348</v>
      </c>
      <c r="E10" s="969">
        <v>4729</v>
      </c>
      <c r="F10" s="969">
        <v>3614</v>
      </c>
      <c r="G10" s="969">
        <v>6</v>
      </c>
      <c r="H10" s="969">
        <v>16602.5</v>
      </c>
      <c r="I10" s="969">
        <v>560</v>
      </c>
      <c r="J10" s="969">
        <v>0</v>
      </c>
      <c r="K10" s="969">
        <v>0</v>
      </c>
      <c r="L10" s="969">
        <v>300</v>
      </c>
      <c r="M10" s="969">
        <v>35807</v>
      </c>
      <c r="N10" s="669"/>
      <c r="O10" s="669"/>
      <c r="P10" s="669"/>
      <c r="Q10" s="669"/>
      <c r="R10" s="669"/>
      <c r="S10" s="669"/>
      <c r="T10" s="669"/>
      <c r="U10" s="669"/>
      <c r="V10" s="669"/>
      <c r="W10" s="669"/>
      <c r="X10" s="669"/>
      <c r="Y10" s="669"/>
      <c r="Z10" s="669"/>
      <c r="AA10" s="669"/>
    </row>
    <row r="11" spans="2:38" s="16" customFormat="1" x14ac:dyDescent="0.25">
      <c r="B11" s="970" t="s">
        <v>14</v>
      </c>
      <c r="C11" s="969">
        <v>182</v>
      </c>
      <c r="D11" s="969">
        <v>182</v>
      </c>
      <c r="E11" s="969">
        <v>182</v>
      </c>
      <c r="F11" s="969">
        <v>91</v>
      </c>
      <c r="G11" s="969">
        <v>0</v>
      </c>
      <c r="H11" s="969">
        <v>455</v>
      </c>
      <c r="I11" s="969">
        <v>0</v>
      </c>
      <c r="J11" s="969">
        <v>0</v>
      </c>
      <c r="K11" s="969">
        <v>0</v>
      </c>
      <c r="L11" s="969">
        <v>0</v>
      </c>
      <c r="M11" s="969">
        <v>0</v>
      </c>
      <c r="N11" s="669"/>
      <c r="O11" s="669"/>
      <c r="P11" s="669"/>
      <c r="Q11" s="669"/>
      <c r="R11" s="669"/>
      <c r="S11" s="669"/>
      <c r="T11" s="669"/>
      <c r="U11" s="669"/>
      <c r="V11" s="669"/>
      <c r="W11" s="669"/>
      <c r="X11" s="669"/>
      <c r="Y11" s="669"/>
      <c r="Z11" s="669"/>
      <c r="AA11" s="669"/>
    </row>
    <row r="12" spans="2:38" s="16" customFormat="1" x14ac:dyDescent="0.25">
      <c r="B12" s="968" t="s">
        <v>204</v>
      </c>
      <c r="C12" s="967">
        <v>11814</v>
      </c>
      <c r="D12" s="967">
        <v>7784</v>
      </c>
      <c r="E12" s="967">
        <v>9427</v>
      </c>
      <c r="F12" s="967">
        <v>6593</v>
      </c>
      <c r="G12" s="967">
        <v>6</v>
      </c>
      <c r="H12" s="967">
        <v>30237.5</v>
      </c>
      <c r="I12" s="967">
        <v>560</v>
      </c>
      <c r="J12" s="967">
        <v>0</v>
      </c>
      <c r="K12" s="967">
        <v>0</v>
      </c>
      <c r="L12" s="967">
        <v>689</v>
      </c>
      <c r="M12" s="967">
        <v>37247</v>
      </c>
      <c r="N12" s="669"/>
      <c r="O12" s="669"/>
      <c r="P12" s="669"/>
      <c r="Q12" s="669"/>
      <c r="R12" s="669"/>
      <c r="S12" s="669"/>
      <c r="T12" s="669"/>
      <c r="U12" s="669"/>
      <c r="V12" s="669"/>
      <c r="W12" s="669"/>
      <c r="X12" s="669"/>
      <c r="Y12" s="669"/>
      <c r="Z12" s="669"/>
      <c r="AA12" s="669"/>
    </row>
    <row r="13" spans="2:38" s="16" customFormat="1" ht="21" customHeight="1" x14ac:dyDescent="0.25">
      <c r="B13" s="677"/>
      <c r="C13" s="677"/>
      <c r="D13" s="677"/>
      <c r="E13" s="677"/>
      <c r="F13" s="677"/>
      <c r="G13" s="677"/>
      <c r="H13" s="677"/>
      <c r="I13" s="677"/>
      <c r="J13" s="678"/>
      <c r="K13" s="678"/>
      <c r="L13" s="678"/>
      <c r="M13" s="678"/>
      <c r="N13" s="669"/>
      <c r="O13" s="669"/>
      <c r="P13" s="669"/>
      <c r="Q13" s="669"/>
      <c r="R13" s="669"/>
      <c r="S13" s="669"/>
      <c r="T13" s="669"/>
      <c r="U13" s="669"/>
      <c r="V13" s="669"/>
      <c r="W13" s="669"/>
      <c r="X13" s="669"/>
      <c r="Y13" s="669"/>
      <c r="Z13" s="669"/>
      <c r="AA13" s="669"/>
    </row>
    <row r="14" spans="2:38" s="16" customFormat="1" ht="21" customHeight="1" x14ac:dyDescent="0.25">
      <c r="B14" s="999"/>
      <c r="C14" s="999"/>
      <c r="D14" s="999"/>
      <c r="E14" s="999"/>
      <c r="F14" s="999"/>
      <c r="G14" s="999"/>
      <c r="H14" s="999"/>
      <c r="I14" s="999"/>
      <c r="J14" s="1000"/>
      <c r="K14" s="1000"/>
      <c r="L14" s="1000"/>
      <c r="M14" s="1000"/>
      <c r="N14" s="669"/>
      <c r="O14" s="669"/>
      <c r="P14" s="669"/>
      <c r="Q14" s="669"/>
      <c r="R14" s="669"/>
      <c r="S14" s="669"/>
      <c r="T14" s="669"/>
      <c r="U14" s="669"/>
      <c r="V14" s="669"/>
      <c r="W14" s="669"/>
      <c r="X14" s="669"/>
      <c r="Y14" s="669"/>
      <c r="Z14" s="1217" t="s">
        <v>1</v>
      </c>
      <c r="AA14" s="1214" t="s">
        <v>1119</v>
      </c>
      <c r="AB14" s="1215"/>
      <c r="AC14" s="1215"/>
      <c r="AD14" s="1215"/>
      <c r="AE14" s="1215"/>
      <c r="AF14" s="1215"/>
      <c r="AG14" s="1215"/>
      <c r="AH14" s="1215"/>
      <c r="AI14" s="1215"/>
      <c r="AJ14" s="1215"/>
      <c r="AK14" s="1215"/>
      <c r="AL14" s="1216"/>
    </row>
    <row r="15" spans="2:38" s="669" customFormat="1" ht="25.5" customHeight="1" x14ac:dyDescent="0.25">
      <c r="B15" s="1217" t="s">
        <v>1</v>
      </c>
      <c r="C15" s="1223" t="s">
        <v>1140</v>
      </c>
      <c r="D15" s="1224"/>
      <c r="E15" s="1224"/>
      <c r="F15" s="1224"/>
      <c r="G15" s="1224"/>
      <c r="H15" s="1224"/>
      <c r="I15" s="1224"/>
      <c r="J15" s="1224"/>
      <c r="K15" s="1224"/>
      <c r="L15" s="1224"/>
      <c r="M15" s="1224"/>
      <c r="Z15" s="1218"/>
      <c r="AA15" s="893" t="s">
        <v>309</v>
      </c>
      <c r="AB15" s="893" t="s">
        <v>286</v>
      </c>
      <c r="AC15" s="893" t="s">
        <v>218</v>
      </c>
      <c r="AD15" s="893" t="s">
        <v>219</v>
      </c>
      <c r="AE15" s="893" t="s">
        <v>314</v>
      </c>
      <c r="AF15" s="893" t="s">
        <v>535</v>
      </c>
      <c r="AG15" s="893" t="s">
        <v>871</v>
      </c>
      <c r="AH15" s="893" t="s">
        <v>536</v>
      </c>
      <c r="AI15" s="893" t="s">
        <v>1022</v>
      </c>
      <c r="AJ15" s="893" t="s">
        <v>1023</v>
      </c>
      <c r="AK15" s="894" t="s">
        <v>1024</v>
      </c>
      <c r="AL15" s="894" t="s">
        <v>1052</v>
      </c>
    </row>
    <row r="16" spans="2:38" ht="25.5" customHeight="1" x14ac:dyDescent="0.25">
      <c r="B16" s="1218"/>
      <c r="C16" s="893" t="s">
        <v>309</v>
      </c>
      <c r="D16" s="893" t="s">
        <v>286</v>
      </c>
      <c r="E16" s="893" t="s">
        <v>218</v>
      </c>
      <c r="F16" s="893" t="s">
        <v>219</v>
      </c>
      <c r="G16" s="893" t="s">
        <v>314</v>
      </c>
      <c r="H16" s="893" t="s">
        <v>536</v>
      </c>
      <c r="I16" s="893" t="s">
        <v>1022</v>
      </c>
      <c r="J16" s="893" t="s">
        <v>1023</v>
      </c>
      <c r="K16" s="893" t="s">
        <v>1024</v>
      </c>
      <c r="L16" s="893" t="s">
        <v>1052</v>
      </c>
      <c r="M16" s="894" t="s">
        <v>1133</v>
      </c>
      <c r="Z16" s="1219"/>
      <c r="AA16" s="895" t="s">
        <v>1003</v>
      </c>
      <c r="AB16" s="895" t="s">
        <v>1003</v>
      </c>
      <c r="AC16" s="895" t="s">
        <v>1003</v>
      </c>
      <c r="AD16" s="895" t="s">
        <v>1003</v>
      </c>
      <c r="AE16" s="895" t="s">
        <v>1003</v>
      </c>
      <c r="AF16" s="895" t="s">
        <v>1003</v>
      </c>
      <c r="AG16" s="895" t="s">
        <v>1004</v>
      </c>
      <c r="AH16" s="895" t="s">
        <v>1003</v>
      </c>
      <c r="AI16" s="895" t="s">
        <v>1003</v>
      </c>
      <c r="AJ16" s="895" t="s">
        <v>1003</v>
      </c>
      <c r="AK16" s="895" t="s">
        <v>1003</v>
      </c>
      <c r="AL16" s="895" t="s">
        <v>1003</v>
      </c>
    </row>
    <row r="17" spans="2:41" ht="24.75" customHeight="1" x14ac:dyDescent="0.25">
      <c r="B17" s="1219"/>
      <c r="C17" s="895" t="s">
        <v>1003</v>
      </c>
      <c r="D17" s="895" t="s">
        <v>1003</v>
      </c>
      <c r="E17" s="895" t="s">
        <v>1003</v>
      </c>
      <c r="F17" s="895" t="s">
        <v>1003</v>
      </c>
      <c r="G17" s="895" t="s">
        <v>1003</v>
      </c>
      <c r="H17" s="895" t="s">
        <v>1003</v>
      </c>
      <c r="I17" s="895" t="s">
        <v>1003</v>
      </c>
      <c r="J17" s="895" t="s">
        <v>1003</v>
      </c>
      <c r="K17" s="895" t="s">
        <v>1003</v>
      </c>
      <c r="L17" s="895" t="s">
        <v>1003</v>
      </c>
      <c r="M17" s="895" t="s">
        <v>1003</v>
      </c>
      <c r="Z17" s="892" t="s">
        <v>14</v>
      </c>
      <c r="AA17" s="896">
        <f>SUMIFS(NFI_Household,NFI_Township,Z17,NFI_Mosquito_Track,"&lt;&gt;0" )</f>
        <v>91</v>
      </c>
      <c r="AB17" s="896">
        <f>SUMIFS(NFI_Household,NFI_Township,Z17,NFI_Tarpaulin_Track,"&lt;&gt;0" )</f>
        <v>91</v>
      </c>
      <c r="AC17" s="896">
        <f>SUMIFS(NFI_Household,NFI_Township,Z17,NFI_Blanket_Track,"&lt;&gt;0" )</f>
        <v>91</v>
      </c>
      <c r="AD17" s="896">
        <f>SUMIFS(NFI_Household,NFI_Township,Z17,NFI_Kitchen_Track,"&lt;&gt;0" )</f>
        <v>91</v>
      </c>
      <c r="AE17" s="896">
        <f>SUMIFS(NFI_Household,NFI_Township,Z17,NFI_Complementary_Track,"&lt;&gt;0" )</f>
        <v>0</v>
      </c>
      <c r="AF17" s="896">
        <f>SUMIFS(NFI_Household,NFI_Township,Z17,NFI_Plastic_Bucket_Track,"&lt;&gt;0" )</f>
        <v>0</v>
      </c>
      <c r="AG17" s="896">
        <f>SUMIFS(NFI_Household,NFI_Township,Z17,NFI_JerryCan_Track,"&lt;&gt;0" )</f>
        <v>91</v>
      </c>
      <c r="AH17" s="896">
        <f>SUMIFS(NFI_Household,NFI_Township,Z17,NFI_Plastic_Mat_Track,"&lt;&gt;0" )</f>
        <v>91</v>
      </c>
      <c r="AI17" s="896">
        <f>SUMIFS(NFI_Household,NFI_Township,Z17,NFI_Adult_Clothes_Track,"&lt;&gt;0" )</f>
        <v>0</v>
      </c>
      <c r="AJ17" s="896">
        <f>SUMIFS(NFI_Household,NFI_Township,Z17,NFI_Children_Clothes_Track,"&lt;&gt;0" )</f>
        <v>0</v>
      </c>
      <c r="AK17" s="896">
        <f>SUMIFS(NFI_Household,NFI_Township,Z17,NFI_Sewing_Kit_Track,"&lt;&gt;0" )</f>
        <v>0</v>
      </c>
      <c r="AL17" s="896">
        <f>SUMIFS(NFI_Household,NFI_Township,Z17,NFI_Solar_Lantern_Track,"&lt;&gt;0" )</f>
        <v>0</v>
      </c>
    </row>
    <row r="18" spans="2:41" ht="21.75" customHeight="1" x14ac:dyDescent="0.25">
      <c r="B18" s="892" t="s">
        <v>14</v>
      </c>
      <c r="C18" s="896">
        <f>SUMIFS(NFI_Household,NFI_Township,B18,NFI_Mosquito_Track,"&lt;&gt;0" )</f>
        <v>91</v>
      </c>
      <c r="D18" s="896">
        <f>SUMIFS(NFI_Household,NFI_Township,B18,NFI_Tarpaulin_Track,"&lt;&gt;0" )</f>
        <v>91</v>
      </c>
      <c r="E18" s="896">
        <f>SUMIFS(NFI_Household,NFI_Township,B18,NFI_Blanket_Track,"&lt;&gt;0" )</f>
        <v>91</v>
      </c>
      <c r="F18" s="896">
        <f>SUMIFS(NFI_Household,NFI_Township,B18,NFI_Kitchen_Track,"&lt;&gt;0" )</f>
        <v>91</v>
      </c>
      <c r="G18" s="896">
        <f>SUMIFS(NFI_Household,NFI_Township,B18,NFI_Complementary_Track,"&lt;&gt;0" )</f>
        <v>0</v>
      </c>
      <c r="H18" s="896">
        <f>SUMIFS(NFI_Household,NFI_Township,B18,NFI_Plastic_Mat_Track,"&lt;&gt;0" )</f>
        <v>91</v>
      </c>
      <c r="I18" s="896">
        <f>SUMIFS(NFI_Household,NFI_Township,B18,NFI_Adult_Clothes_Track,"&lt;&gt;0" )</f>
        <v>0</v>
      </c>
      <c r="J18" s="896">
        <f>SUMIFS(NFI_Household,NFI_Township,B18,NFI_Children_Clothes_Track,"&lt;&gt;0" )</f>
        <v>0</v>
      </c>
      <c r="K18" s="896">
        <f>SUMIFS(NFI_Household,NFI_Township,B18,NFI_Sewing_Kit_Track,"&lt;&gt;0" )</f>
        <v>0</v>
      </c>
      <c r="L18" s="896">
        <f>SUMIFS(NFI_Household,NFI_Township,B18,NFI_Solar_Lantern_Track,"&lt;&gt;0" )</f>
        <v>0</v>
      </c>
      <c r="M18" s="896">
        <f>SUMIFS(NFI_Household,NFI_Township,B18,NFI_Core_Track,"&lt;&gt;0" )</f>
        <v>0</v>
      </c>
      <c r="Z18" s="892" t="s">
        <v>817</v>
      </c>
      <c r="AA18" s="896">
        <f>SUMIFS(NFI_Household,NFI_Township,Z18,NFI_Mosquito_Track,"&lt;&gt;0" )</f>
        <v>0</v>
      </c>
      <c r="AB18" s="896">
        <f>SUMIFS(NFI_Household,NFI_Township,Z18,NFI_Tarpaulin_Track,"&lt;&gt;0" )</f>
        <v>0</v>
      </c>
      <c r="AC18" s="896">
        <f>SUMIFS(NFI_Household,NFI_Township,Z18,NFI_Blanket_Track,"&lt;&gt;0" )</f>
        <v>0</v>
      </c>
      <c r="AD18" s="896">
        <f>SUMIFS(NFI_Household,NFI_Township,Z18,NFI_Kitchen_Track,"&lt;&gt;0" )</f>
        <v>0</v>
      </c>
      <c r="AE18" s="896">
        <f>SUMIFS(NFI_Household,NFI_Township,Z18,NFI_Complementary_Track,"&lt;&gt;0" )</f>
        <v>0</v>
      </c>
      <c r="AF18" s="896">
        <f>SUMIFS(NFI_Household,NFI_Township,Z18,NFI_Plastic_Bucket_Track,"&lt;&gt;0" )</f>
        <v>0</v>
      </c>
      <c r="AG18" s="896">
        <f>SUMIFS(NFI_Household,NFI_Township,Z18,NFI_JerryCan_Track,"&lt;&gt;0" )</f>
        <v>0</v>
      </c>
      <c r="AH18" s="896">
        <f>SUMIFS(NFI_Household,NFI_Township,Z18,NFI_Plastic_Mat_Track,"&lt;&gt;0" )</f>
        <v>0</v>
      </c>
      <c r="AI18" s="896">
        <f>SUMIFS(NFI_Household,NFI_Township,Z18,NFI_Adult_Clothes_Track,"&lt;&gt;0" )</f>
        <v>0</v>
      </c>
      <c r="AJ18" s="896">
        <f>SUMIFS(NFI_Household,NFI_Township,Z18,NFI_Children_Clothes_Track,"&lt;&gt;0" )</f>
        <v>0</v>
      </c>
      <c r="AK18" s="896">
        <f>SUMIFS(NFI_Household,NFI_Township,Z18,NFI_Sewing_Kit_Track,"&lt;&gt;0" )</f>
        <v>0</v>
      </c>
      <c r="AL18" s="896">
        <f>SUMIFS(NFI_Household,NFI_Township,Z18,NFI_Solar_Lantern_Track,"&lt;&gt;0" )</f>
        <v>0</v>
      </c>
    </row>
    <row r="19" spans="2:41" ht="21.75" customHeight="1" x14ac:dyDescent="0.25">
      <c r="B19" s="892" t="s">
        <v>817</v>
      </c>
      <c r="C19" s="896">
        <f>SUMIFS(NFI_Household,NFI_Township,B19,NFI_Mosquito_Track,"&lt;&gt;0" )</f>
        <v>0</v>
      </c>
      <c r="D19" s="896">
        <f>SUMIFS(NFI_Household,NFI_Township,B19,NFI_Tarpaulin_Track,"&lt;&gt;0" )</f>
        <v>0</v>
      </c>
      <c r="E19" s="896">
        <f>SUMIFS(NFI_Household,NFI_Township,B19,NFI_Blanket_Track,"&lt;&gt;0" )</f>
        <v>0</v>
      </c>
      <c r="F19" s="896">
        <f>SUMIFS(NFI_Household,NFI_Township,B19,NFI_Kitchen_Track,"&lt;&gt;0" )</f>
        <v>0</v>
      </c>
      <c r="G19" s="896">
        <f>SUMIFS(NFI_Household,NFI_Township,B19,NFI_Complementary_Track,"&lt;&gt;0" )</f>
        <v>0</v>
      </c>
      <c r="H19" s="896">
        <f>SUMIFS(NFI_Household,NFI_Township,B19,NFI_Plastic_Mat_Track,"&lt;&gt;0" )</f>
        <v>0</v>
      </c>
      <c r="I19" s="896">
        <f>SUMIFS(NFI_Household,NFI_Township,B19,NFI_Adult_Clothes_Track,"&lt;&gt;0" )</f>
        <v>0</v>
      </c>
      <c r="J19" s="896">
        <f>SUMIFS(NFI_Household,NFI_Township,B19,NFI_Children_Clothes_Track,"&lt;&gt;0" )</f>
        <v>0</v>
      </c>
      <c r="K19" s="896">
        <f>SUMIFS(NFI_Household,NFI_Township,B19,NFI_Sewing_Kit_Track,"&lt;&gt;0" )</f>
        <v>0</v>
      </c>
      <c r="L19" s="896">
        <f>SUMIFS(NFI_Household,NFI_Township,B19,NFI_Solar_Lantern_Track,"&lt;&gt;0" )</f>
        <v>0</v>
      </c>
      <c r="M19" s="896">
        <f>SUMIFS(NFI_Household,NFI_Township,B19,NFI_Core_Track,"&lt;&gt;0" )</f>
        <v>0</v>
      </c>
      <c r="Z19" s="892" t="s">
        <v>13</v>
      </c>
      <c r="AA19" s="896">
        <f>SUMIFS(NFI_Household,NFI_Township,Z19,NFI_Mosquito_Track,"&lt;&gt;0" )</f>
        <v>2815</v>
      </c>
      <c r="AB19" s="896">
        <f>SUMIFS(NFI_Household,NFI_Township,Z19,NFI_Tarpaulin_Track,"&lt;&gt;0" )</f>
        <v>3702</v>
      </c>
      <c r="AC19" s="896">
        <f>SUMIFS(NFI_Household,NFI_Township,Z19,NFI_Blanket_Track,"&lt;&gt;0" )</f>
        <v>2235</v>
      </c>
      <c r="AD19" s="896">
        <f>SUMIFS(NFI_Household,NFI_Township,Z19,NFI_Kitchen_Track,"&lt;&gt;0" )</f>
        <v>2865</v>
      </c>
      <c r="AE19" s="896">
        <f>SUMIFS(NFI_Household,NFI_Township,Z19,NFI_Complementary_Track,"&lt;&gt;0" )</f>
        <v>0</v>
      </c>
      <c r="AF19" s="896">
        <f>SUMIFS(NFI_Household,NFI_Township,Z19,NFI_Plastic_Bucket_Track,"&lt;&gt;0" )</f>
        <v>1288</v>
      </c>
      <c r="AG19" s="896">
        <f>SUMIFS(NFI_Household,NFI_Township,Z19,NFI_JerryCan_Track,"&lt;&gt;0" )</f>
        <v>680</v>
      </c>
      <c r="AH19" s="896">
        <f>SUMIFS(NFI_Household,NFI_Township,Z19,NFI_Plastic_Mat_Track,"&lt;&gt;0" )</f>
        <v>2865</v>
      </c>
      <c r="AI19" s="896">
        <f>SUMIFS(NFI_Household,NFI_Township,Z19,NFI_Adult_Clothes_Track,"&lt;&gt;0" )</f>
        <v>0</v>
      </c>
      <c r="AJ19" s="896">
        <f>SUMIFS(NFI_Household,NFI_Township,Z19,NFI_Children_Clothes_Track,"&lt;&gt;0" )</f>
        <v>0</v>
      </c>
      <c r="AK19" s="896">
        <f>SUMIFS(NFI_Household,NFI_Township,Z19,NFI_Sewing_Kit_Track,"&lt;&gt;0" )</f>
        <v>0</v>
      </c>
      <c r="AL19" s="896">
        <f>SUMIFS(NFI_Household,NFI_Township,Z19,NFI_Solar_Lantern_Track,"&lt;&gt;0" )</f>
        <v>389</v>
      </c>
    </row>
    <row r="20" spans="2:41" ht="21.75" customHeight="1" x14ac:dyDescent="0.25">
      <c r="B20" s="892" t="s">
        <v>13</v>
      </c>
      <c r="C20" s="896">
        <f>SUMIFS(NFI_Household,NFI_Township,B20,NFI_Mosquito_Track,"&lt;&gt;0" )</f>
        <v>2815</v>
      </c>
      <c r="D20" s="896">
        <f>SUMIFS(NFI_Household,NFI_Township,B20,NFI_Tarpaulin_Track,"&lt;&gt;0" )</f>
        <v>3702</v>
      </c>
      <c r="E20" s="896">
        <f>SUMIFS(NFI_Household,NFI_Township,B20,NFI_Blanket_Track,"&lt;&gt;0" )</f>
        <v>2235</v>
      </c>
      <c r="F20" s="896">
        <f>SUMIFS(NFI_Household,NFI_Township,B20,NFI_Kitchen_Track,"&lt;&gt;0" )</f>
        <v>2865</v>
      </c>
      <c r="G20" s="896">
        <f>SUMIFS(NFI_Household,NFI_Township,B20,NFI_Complementary_Track,"&lt;&gt;0" )</f>
        <v>0</v>
      </c>
      <c r="H20" s="896">
        <f>SUMIFS(NFI_Household,NFI_Township,B20,NFI_Plastic_Mat_Track,"&lt;&gt;0" )</f>
        <v>2865</v>
      </c>
      <c r="I20" s="896">
        <f>SUMIFS(NFI_Household,NFI_Township,B20,NFI_Adult_Clothes_Track,"&lt;&gt;0" )</f>
        <v>0</v>
      </c>
      <c r="J20" s="896">
        <f>SUMIFS(NFI_Household,NFI_Township,B20,NFI_Children_Clothes_Track,"&lt;&gt;0" )</f>
        <v>0</v>
      </c>
      <c r="K20" s="896">
        <f>SUMIFS(NFI_Household,NFI_Township,B20,NFI_Sewing_Kit_Track,"&lt;&gt;0" )</f>
        <v>0</v>
      </c>
      <c r="L20" s="896">
        <f>SUMIFS(NFI_Household,NFI_Township,B20,NFI_Solar_Lantern_Track,"&lt;&gt;0" )</f>
        <v>389</v>
      </c>
      <c r="M20" s="896">
        <f>SUMIFS(NFI_Household,NFI_Township,B20,NFI_Core_Track,"&lt;&gt;0" )</f>
        <v>720</v>
      </c>
      <c r="Z20" s="892" t="s">
        <v>15</v>
      </c>
      <c r="AA20" s="896">
        <f>SUMIFS(NFI_Household,NFI_Township,Z20,NFI_Mosquito_Track,"&lt;&gt;0" )</f>
        <v>0</v>
      </c>
      <c r="AB20" s="896">
        <f>SUMIFS(NFI_Household,NFI_Township,Z20,NFI_Tarpaulin_Track,"&lt;&gt;0" )</f>
        <v>251</v>
      </c>
      <c r="AC20" s="896">
        <f>SUMIFS(NFI_Household,NFI_Township,Z20,NFI_Blanket_Track,"&lt;&gt;0" )</f>
        <v>0</v>
      </c>
      <c r="AD20" s="896">
        <f>SUMIFS(NFI_Household,NFI_Township,Z20,NFI_Kitchen_Track,"&lt;&gt;0" )</f>
        <v>0</v>
      </c>
      <c r="AE20" s="896">
        <f>SUMIFS(NFI_Household,NFI_Township,Z20,NFI_Complementary_Track,"&lt;&gt;0" )</f>
        <v>0</v>
      </c>
      <c r="AF20" s="896">
        <f>SUMIFS(NFI_Household,NFI_Township,Z20,NFI_Plastic_Bucket_Track,"&lt;&gt;0" )</f>
        <v>0</v>
      </c>
      <c r="AG20" s="896">
        <f>SUMIFS(NFI_Household,NFI_Township,Z20,NFI_JerryCan_Track,"&lt;&gt;0" )</f>
        <v>0</v>
      </c>
      <c r="AH20" s="896">
        <f>SUMIFS(NFI_Household,NFI_Township,Z20,NFI_Plastic_Mat_Track,"&lt;&gt;0" )</f>
        <v>0</v>
      </c>
      <c r="AI20" s="896">
        <f>SUMIFS(NFI_Household,NFI_Township,Z20,NFI_Adult_Clothes_Track,"&lt;&gt;0" )</f>
        <v>0</v>
      </c>
      <c r="AJ20" s="896">
        <f>SUMIFS(NFI_Household,NFI_Township,Z20,NFI_Children_Clothes_Track,"&lt;&gt;0" )</f>
        <v>0</v>
      </c>
      <c r="AK20" s="896">
        <f>SUMIFS(NFI_Household,NFI_Township,Z20,NFI_Sewing_Kit_Track,"&lt;&gt;0" )</f>
        <v>0</v>
      </c>
      <c r="AL20" s="896">
        <f>SUMIFS(NFI_Household,NFI_Township,Z20,NFI_Solar_Lantern_Track,"&lt;&gt;0" )</f>
        <v>0</v>
      </c>
    </row>
    <row r="21" spans="2:41" ht="21.75" customHeight="1" x14ac:dyDescent="0.25">
      <c r="B21" s="892" t="s">
        <v>15</v>
      </c>
      <c r="C21" s="896">
        <f>SUMIFS(NFI_Household,NFI_Township,B21,NFI_Mosquito_Track,"&lt;&gt;0" )</f>
        <v>0</v>
      </c>
      <c r="D21" s="896">
        <f>SUMIFS(NFI_Household,NFI_Township,B21,NFI_Tarpaulin_Track,"&lt;&gt;0" )</f>
        <v>251</v>
      </c>
      <c r="E21" s="896">
        <f>SUMIFS(NFI_Household,NFI_Township,B21,NFI_Blanket_Track,"&lt;&gt;0" )</f>
        <v>0</v>
      </c>
      <c r="F21" s="896">
        <f>SUMIFS(NFI_Household,NFI_Township,B21,NFI_Kitchen_Track,"&lt;&gt;0" )</f>
        <v>0</v>
      </c>
      <c r="G21" s="896">
        <f>SUMIFS(NFI_Household,NFI_Township,B21,NFI_Complementary_Track,"&lt;&gt;0" )</f>
        <v>0</v>
      </c>
      <c r="H21" s="896">
        <f>SUMIFS(NFI_Household,NFI_Township,B21,NFI_Plastic_Mat_Track,"&lt;&gt;0" )</f>
        <v>0</v>
      </c>
      <c r="I21" s="896">
        <f>SUMIFS(NFI_Household,NFI_Township,B21,NFI_Adult_Clothes_Track,"&lt;&gt;0" )</f>
        <v>0</v>
      </c>
      <c r="J21" s="896">
        <f>SUMIFS(NFI_Household,NFI_Township,B21,NFI_Children_Clothes_Track,"&lt;&gt;0" )</f>
        <v>0</v>
      </c>
      <c r="K21" s="896">
        <f>SUMIFS(NFI_Household,NFI_Township,B21,NFI_Sewing_Kit_Track,"&lt;&gt;0" )</f>
        <v>0</v>
      </c>
      <c r="L21" s="896">
        <f>SUMIFS(NFI_Household,NFI_Township,B21,NFI_Solar_Lantern_Track,"&lt;&gt;0" )</f>
        <v>0</v>
      </c>
      <c r="M21" s="896">
        <f>SUMIFS(NFI_Household,NFI_Township,B21,NFI_Core_Track,"&lt;&gt;0" )</f>
        <v>0</v>
      </c>
      <c r="Z21" s="892" t="s">
        <v>17</v>
      </c>
      <c r="AA21" s="896">
        <f>SUMIFS(NFI_Household,NFI_Township,Z21,NFI_Mosquito_Track,"&lt;&gt;0" )</f>
        <v>4064</v>
      </c>
      <c r="AB21" s="896">
        <f>SUMIFS(NFI_Household,NFI_Township,Z21,NFI_Tarpaulin_Track,"&lt;&gt;0" )</f>
        <v>3380</v>
      </c>
      <c r="AC21" s="896">
        <f>SUMIFS(NFI_Household,NFI_Township,Z21,NFI_Blanket_Track,"&lt;&gt;0" )</f>
        <v>2427</v>
      </c>
      <c r="AD21" s="896">
        <f>SUMIFS(NFI_Household,NFI_Township,Z21,NFI_Kitchen_Track,"&lt;&gt;0" )</f>
        <v>3614</v>
      </c>
      <c r="AE21" s="896">
        <f>SUMIFS(NFI_Household,NFI_Township,Z21,NFI_Complementary_Track,"&lt;&gt;0" )</f>
        <v>6</v>
      </c>
      <c r="AF21" s="896">
        <f>SUMIFS(NFI_Household,NFI_Township,Z21,NFI_Plastic_Bucket_Track,"&lt;&gt;0" )</f>
        <v>1390</v>
      </c>
      <c r="AG21" s="896">
        <f>SUMIFS(NFI_Household,NFI_Township,Z21,NFI_JerryCan_Track,"&lt;&gt;0" )</f>
        <v>1012</v>
      </c>
      <c r="AH21" s="896">
        <f>SUMIFS(NFI_Household,NFI_Township,Z21,NFI_Plastic_Mat_Track,"&lt;&gt;0" )</f>
        <v>4144</v>
      </c>
      <c r="AI21" s="896">
        <f>SUMIFS(NFI_Household,NFI_Township,Z21,NFI_Adult_Clothes_Track,"&lt;&gt;0" )</f>
        <v>80</v>
      </c>
      <c r="AJ21" s="896">
        <f>SUMIFS(NFI_Household,NFI_Township,Z21,NFI_Children_Clothes_Track,"&lt;&gt;0" )</f>
        <v>0</v>
      </c>
      <c r="AK21" s="896">
        <f>SUMIFS(NFI_Household,NFI_Township,Z21,NFI_Sewing_Kit_Track,"&lt;&gt;0" )</f>
        <v>0</v>
      </c>
      <c r="AL21" s="896">
        <f>SUMIFS(NFI_Household,NFI_Township,Z21,NFI_Solar_Lantern_Track,"&lt;&gt;0" )</f>
        <v>300</v>
      </c>
    </row>
    <row r="22" spans="2:41" ht="21.75" customHeight="1" x14ac:dyDescent="0.25">
      <c r="B22" s="892" t="s">
        <v>17</v>
      </c>
      <c r="C22" s="896">
        <f>SUMIFS(NFI_Household,NFI_Township,B22,NFI_Mosquito_Track,"&lt;&gt;0" )</f>
        <v>4064</v>
      </c>
      <c r="D22" s="896">
        <f>SUMIFS(NFI_Household,NFI_Township,B22,NFI_Tarpaulin_Track,"&lt;&gt;0" )</f>
        <v>3380</v>
      </c>
      <c r="E22" s="896">
        <f>SUMIFS(NFI_Household,NFI_Township,B22,NFI_Blanket_Track,"&lt;&gt;0" )</f>
        <v>2427</v>
      </c>
      <c r="F22" s="896">
        <f>SUMIFS(NFI_Household,NFI_Township,B22,NFI_Kitchen_Track,"&lt;&gt;0" )</f>
        <v>3614</v>
      </c>
      <c r="G22" s="896">
        <f>SUMIFS(NFI_Household,NFI_Township,B22,NFI_Complementary_Track,"&lt;&gt;0" )</f>
        <v>6</v>
      </c>
      <c r="H22" s="896">
        <f>SUMIFS(NFI_Household,NFI_Township,B22,NFI_Plastic_Mat_Track,"&lt;&gt;0" )</f>
        <v>4144</v>
      </c>
      <c r="I22" s="896">
        <f>SUMIFS(NFI_Household,NFI_Township,B22,NFI_Adult_Clothes_Track,"&lt;&gt;0" )</f>
        <v>80</v>
      </c>
      <c r="J22" s="896">
        <f>SUMIFS(NFI_Household,NFI_Township,B22,NFI_Children_Clothes_Track,"&lt;&gt;0" )</f>
        <v>0</v>
      </c>
      <c r="K22" s="896">
        <f>SUMIFS(NFI_Household,NFI_Township,B22,NFI_Sewing_Kit_Track,"&lt;&gt;0" )</f>
        <v>0</v>
      </c>
      <c r="L22" s="896">
        <f>SUMIFS(NFI_Household,NFI_Township,B22,NFI_Solar_Lantern_Track,"&lt;&gt;0" )</f>
        <v>300</v>
      </c>
      <c r="M22" s="896">
        <f>SUMIFS(NFI_Household,NFI_Township,B22,NFI_Core_Track,"&lt;&gt;0" )</f>
        <v>34910</v>
      </c>
      <c r="Z22" s="897" t="s">
        <v>5</v>
      </c>
      <c r="AA22" s="898">
        <f t="shared" ref="AA22:AL22" si="0">SUM(AA17:AA21)</f>
        <v>6970</v>
      </c>
      <c r="AB22" s="898">
        <f t="shared" si="0"/>
        <v>7424</v>
      </c>
      <c r="AC22" s="898">
        <f t="shared" si="0"/>
        <v>4753</v>
      </c>
      <c r="AD22" s="898">
        <f t="shared" si="0"/>
        <v>6570</v>
      </c>
      <c r="AE22" s="898">
        <f t="shared" si="0"/>
        <v>6</v>
      </c>
      <c r="AF22" s="898">
        <f t="shared" si="0"/>
        <v>2678</v>
      </c>
      <c r="AG22" s="898">
        <f t="shared" si="0"/>
        <v>1783</v>
      </c>
      <c r="AH22" s="898">
        <f t="shared" si="0"/>
        <v>7100</v>
      </c>
      <c r="AI22" s="898">
        <f t="shared" si="0"/>
        <v>80</v>
      </c>
      <c r="AJ22" s="898">
        <f t="shared" si="0"/>
        <v>0</v>
      </c>
      <c r="AK22" s="898">
        <f t="shared" si="0"/>
        <v>0</v>
      </c>
      <c r="AL22" s="898">
        <f t="shared" si="0"/>
        <v>689</v>
      </c>
    </row>
    <row r="23" spans="2:41" ht="20.25" customHeight="1" x14ac:dyDescent="0.25">
      <c r="B23" s="926" t="s">
        <v>5</v>
      </c>
      <c r="C23" s="925">
        <f t="shared" ref="C23:M23" si="1">SUM(C18:C22)</f>
        <v>6970</v>
      </c>
      <c r="D23" s="925">
        <f t="shared" si="1"/>
        <v>7424</v>
      </c>
      <c r="E23" s="925">
        <f t="shared" si="1"/>
        <v>4753</v>
      </c>
      <c r="F23" s="925">
        <f t="shared" si="1"/>
        <v>6570</v>
      </c>
      <c r="G23" s="925">
        <f t="shared" si="1"/>
        <v>6</v>
      </c>
      <c r="H23" s="925">
        <f>SUM(H18:H22)</f>
        <v>7100</v>
      </c>
      <c r="I23" s="925">
        <f>SUM(I18:I22)</f>
        <v>80</v>
      </c>
      <c r="J23" s="925">
        <f>SUM(J18:J22)</f>
        <v>0</v>
      </c>
      <c r="K23" s="925"/>
      <c r="L23" s="925">
        <f t="shared" si="1"/>
        <v>689</v>
      </c>
      <c r="M23" s="925">
        <f t="shared" si="1"/>
        <v>35630</v>
      </c>
    </row>
    <row r="24" spans="2:41" ht="30.75" customHeight="1" x14ac:dyDescent="0.25">
      <c r="B24" s="84"/>
      <c r="C24" s="84"/>
      <c r="D24" s="84"/>
      <c r="E24" s="84"/>
      <c r="F24" s="84"/>
      <c r="G24" s="84"/>
      <c r="H24" s="84"/>
      <c r="I24" s="84"/>
      <c r="J24" s="84"/>
      <c r="K24" s="84"/>
      <c r="L24" s="78"/>
      <c r="Z24" s="1217" t="s">
        <v>1</v>
      </c>
      <c r="AA24" s="1217" t="s">
        <v>1005</v>
      </c>
      <c r="AB24" s="1217" t="s">
        <v>214</v>
      </c>
      <c r="AC24" s="1214" t="s">
        <v>1119</v>
      </c>
      <c r="AD24" s="1215"/>
      <c r="AE24" s="1215"/>
      <c r="AF24" s="1215"/>
      <c r="AG24" s="1215"/>
      <c r="AH24" s="1215"/>
      <c r="AI24" s="1215"/>
      <c r="AJ24" s="1215"/>
      <c r="AK24" s="1215"/>
      <c r="AL24" s="1215"/>
      <c r="AM24" s="1215"/>
      <c r="AN24" s="1216"/>
    </row>
    <row r="25" spans="2:41" ht="30" customHeight="1" x14ac:dyDescent="0.25">
      <c r="B25" s="170" t="s">
        <v>748</v>
      </c>
      <c r="C25" s="670" t="s">
        <v>718</v>
      </c>
      <c r="D25" s="84"/>
      <c r="E25" s="84"/>
      <c r="F25" s="84"/>
      <c r="G25" s="84"/>
      <c r="H25" s="84"/>
      <c r="I25" s="84"/>
      <c r="J25" s="84"/>
      <c r="K25" s="84"/>
      <c r="L25" s="78"/>
      <c r="Z25" s="1218"/>
      <c r="AA25" s="1218"/>
      <c r="AB25" s="1218"/>
      <c r="AC25" s="893" t="s">
        <v>309</v>
      </c>
      <c r="AD25" s="893" t="s">
        <v>286</v>
      </c>
      <c r="AE25" s="893" t="s">
        <v>218</v>
      </c>
      <c r="AF25" s="893" t="s">
        <v>219</v>
      </c>
      <c r="AG25" s="893" t="s">
        <v>314</v>
      </c>
      <c r="AH25" s="893" t="s">
        <v>535</v>
      </c>
      <c r="AI25" s="893" t="s">
        <v>871</v>
      </c>
      <c r="AJ25" s="893" t="s">
        <v>536</v>
      </c>
      <c r="AK25" s="893" t="s">
        <v>1022</v>
      </c>
      <c r="AL25" s="893" t="s">
        <v>1023</v>
      </c>
      <c r="AM25" s="894" t="s">
        <v>1024</v>
      </c>
      <c r="AN25" s="894" t="s">
        <v>1052</v>
      </c>
    </row>
    <row r="26" spans="2:41" s="669" customFormat="1" ht="30" customHeight="1" x14ac:dyDescent="0.25">
      <c r="B26" s="84"/>
      <c r="C26" s="1227" t="s">
        <v>1141</v>
      </c>
      <c r="D26" s="1228"/>
      <c r="E26" s="1228"/>
      <c r="F26" s="1228"/>
      <c r="G26" s="1228"/>
      <c r="H26" s="1228"/>
      <c r="I26" s="1228"/>
      <c r="J26" s="1228"/>
      <c r="K26" s="1228"/>
      <c r="L26" s="1228"/>
      <c r="M26" s="1228"/>
      <c r="Z26" s="1219"/>
      <c r="AA26" s="1219"/>
      <c r="AB26" s="1219"/>
      <c r="AC26" s="895" t="s">
        <v>1003</v>
      </c>
      <c r="AD26" s="895" t="s">
        <v>1003</v>
      </c>
      <c r="AE26" s="895" t="s">
        <v>1003</v>
      </c>
      <c r="AF26" s="895" t="s">
        <v>1003</v>
      </c>
      <c r="AG26" s="895" t="s">
        <v>1003</v>
      </c>
      <c r="AH26" s="895" t="s">
        <v>1003</v>
      </c>
      <c r="AI26" s="895" t="s">
        <v>1004</v>
      </c>
      <c r="AJ26" s="895" t="s">
        <v>1003</v>
      </c>
      <c r="AK26" s="895" t="s">
        <v>1003</v>
      </c>
      <c r="AL26" s="895" t="s">
        <v>1003</v>
      </c>
      <c r="AM26" s="895" t="s">
        <v>1003</v>
      </c>
      <c r="AN26" s="895" t="s">
        <v>1003</v>
      </c>
    </row>
    <row r="27" spans="2:41" s="669" customFormat="1" x14ac:dyDescent="0.25">
      <c r="B27" s="944" t="s">
        <v>191</v>
      </c>
      <c r="C27" s="1014" t="s">
        <v>1103</v>
      </c>
      <c r="D27" s="1014" t="s">
        <v>1104</v>
      </c>
      <c r="E27" s="1014" t="s">
        <v>1105</v>
      </c>
      <c r="F27" s="1014" t="s">
        <v>1106</v>
      </c>
      <c r="G27" s="1014" t="s">
        <v>1107</v>
      </c>
      <c r="H27" s="1014" t="s">
        <v>1138</v>
      </c>
      <c r="I27" s="1014" t="s">
        <v>1035</v>
      </c>
      <c r="J27" s="1014" t="s">
        <v>1034</v>
      </c>
      <c r="K27" s="1014" t="s">
        <v>1033</v>
      </c>
      <c r="L27" s="1014" t="s">
        <v>1054</v>
      </c>
      <c r="M27" s="1014" t="s">
        <v>1133</v>
      </c>
      <c r="N27" s="5"/>
      <c r="Z27" s="669" t="s">
        <v>14</v>
      </c>
      <c r="AA27" s="892">
        <f>SUMIFS(Camplist_HH,Camplist_Township,'NFI Distribution by 12 Months'!$Z27,CampList_Status,"Open")</f>
        <v>85</v>
      </c>
      <c r="AB27" s="896">
        <f>SUMIFS(Camplist_Popl,Camplist_Township,'NFI Distribution by 12 Months'!$Z27,CampList_Status,"Open")</f>
        <v>546</v>
      </c>
      <c r="AC27" s="896">
        <f>SUMIFS(Camplist_Popl,Camplist_Township,'NFI Distribution by 12 Months'!$AA27,CampList_Status,"Open")</f>
        <v>0</v>
      </c>
      <c r="AD27" s="896">
        <f>SUMIFS(NFI_Household,NFI_Township,AA27,NFI_Mosquito_Track,"&lt;&gt;0" )</f>
        <v>0</v>
      </c>
      <c r="AE27" s="896">
        <f>SUMIFS(NFI_Household,NFI_Township,AA27,NFI_Tarpaulin_Track,"&lt;&gt;0" )</f>
        <v>0</v>
      </c>
      <c r="AF27" s="896">
        <f>SUMIFS(NFI_Household,NFI_Township,AA27,NFI_Blanket_Track,"&lt;&gt;0" )</f>
        <v>0</v>
      </c>
      <c r="AG27" s="896">
        <f>SUMIFS(NFI_Household,NFI_Township,AA27,NFI_Kitchen_Track,"&lt;&gt;0" )</f>
        <v>0</v>
      </c>
      <c r="AH27" s="896">
        <f>SUMIFS(NFI_Household,NFI_Township,AA27,NFI_Complementary_Track,"&lt;&gt;0" )</f>
        <v>0</v>
      </c>
      <c r="AI27" s="896">
        <f>SUMIFS(NFI_Household,NFI_Township,AA27,NFI_Plastic_Bucket_Track,"&lt;&gt;0" )</f>
        <v>0</v>
      </c>
      <c r="AJ27" s="896">
        <f>SUMIFS(NFI_Household,NFI_Township,AA27,NFI_JerryCan_Track,"&lt;&gt;0" )</f>
        <v>0</v>
      </c>
      <c r="AK27" s="896">
        <f>SUMIFS(NFI_Household,NFI_Township,AA27,NFI_Plastic_Mat_Track,"&lt;&gt;0" )</f>
        <v>0</v>
      </c>
      <c r="AL27" s="896">
        <f>SUMIFS(NFI_Household,NFI_Township,AA27,NFI_Adult_Clothes_Track,"&lt;&gt;0" )</f>
        <v>0</v>
      </c>
      <c r="AM27" s="896">
        <f>SUMIFS(NFI_Household,NFI_Township,AA27,NFI_Children_Clothes_Track,"&lt;&gt;0" )</f>
        <v>0</v>
      </c>
      <c r="AN27" s="896">
        <f>SUMIFS(NFI_Household,NFI_Township,AA27,NFI_Sewing_Kit_Track,"&lt;&gt;0" )</f>
        <v>0</v>
      </c>
      <c r="AO27" s="896">
        <f>SUMIFS(NFI_Household,NFI_Township,AA27,NFI_Solar_Lantern_Track,"&lt;&gt;0" )</f>
        <v>0</v>
      </c>
    </row>
    <row r="28" spans="2:41" s="669" customFormat="1" x14ac:dyDescent="0.25">
      <c r="B28" s="855" t="s">
        <v>273</v>
      </c>
      <c r="C28" s="88">
        <v>0</v>
      </c>
      <c r="D28" s="88">
        <v>0</v>
      </c>
      <c r="E28" s="88">
        <v>0</v>
      </c>
      <c r="F28" s="88">
        <v>0</v>
      </c>
      <c r="G28" s="88">
        <v>0</v>
      </c>
      <c r="H28" s="88">
        <v>0</v>
      </c>
      <c r="I28" s="88">
        <v>560</v>
      </c>
      <c r="J28" s="88">
        <v>0</v>
      </c>
      <c r="K28" s="88">
        <v>0</v>
      </c>
      <c r="L28" s="88">
        <v>0</v>
      </c>
      <c r="M28" s="88">
        <v>0</v>
      </c>
      <c r="Z28" s="892" t="s">
        <v>817</v>
      </c>
      <c r="AA28" s="896">
        <f>SUMIFS(Camplist_HH,Camplist_Township,'NFI Distribution by 12 Months'!$Z28,CampList_Status,"Open")</f>
        <v>687</v>
      </c>
      <c r="AB28" s="896">
        <f>SUMIFS(Camplist_Popl,Camplist_Township,'NFI Distribution by 12 Months'!$Z28,CampList_Status,"Open")</f>
        <v>2606</v>
      </c>
      <c r="AC28" s="896">
        <f>SUMIFS(NFI_Household,NFI_Township,Z28,NFI_Mosquito_Track,"&lt;&gt;0" )</f>
        <v>0</v>
      </c>
      <c r="AD28" s="896">
        <f>SUMIFS(NFI_Household,NFI_Township,Z28,NFI_Tarpaulin_Track,"&lt;&gt;0" )</f>
        <v>0</v>
      </c>
      <c r="AE28" s="896">
        <f>SUMIFS(NFI_Household,NFI_Township,Z28,NFI_Blanket_Track,"&lt;&gt;0" )</f>
        <v>0</v>
      </c>
      <c r="AF28" s="896">
        <f>SUMIFS(NFI_Household,NFI_Township,Z28,NFI_Kitchen_Track,"&lt;&gt;0" )</f>
        <v>0</v>
      </c>
      <c r="AG28" s="896">
        <f>SUMIFS(NFI_Household,NFI_Township,Z28,NFI_Complementary_Track,"&lt;&gt;0" )</f>
        <v>0</v>
      </c>
      <c r="AH28" s="896">
        <f>SUMIFS(NFI_Household,NFI_Township,Z28,NFI_Plastic_Bucket_Track,"&lt;&gt;0" )</f>
        <v>0</v>
      </c>
      <c r="AI28" s="896">
        <f>SUMIFS(NFI_Household,NFI_Township,Z28,NFI_JerryCan_Track,"&lt;&gt;0" )</f>
        <v>0</v>
      </c>
      <c r="AJ28" s="896">
        <f>SUMIFS(NFI_Household,NFI_Township,Z28,NFI_Plastic_Mat_Track,"&lt;&gt;0" )</f>
        <v>0</v>
      </c>
      <c r="AK28" s="896">
        <f>SUMIFS(NFI_Household,NFI_Township,Z28,NFI_Adult_Clothes_Track,"&lt;&gt;0" )</f>
        <v>0</v>
      </c>
      <c r="AL28" s="896">
        <f>SUMIFS(NFI_Household,NFI_Township,Z28,NFI_Children_Clothes_Track,"&lt;&gt;0" )</f>
        <v>0</v>
      </c>
      <c r="AM28" s="896">
        <f>SUMIFS(NFI_Household,NFI_Township,Z28,NFI_Sewing_Kit_Track,"&lt;&gt;0" )</f>
        <v>0</v>
      </c>
      <c r="AN28" s="896">
        <f>SUMIFS(NFI_Household,NFI_Township,Z28,NFI_Solar_Lantern_Track,"&lt;&gt;0" )</f>
        <v>0</v>
      </c>
    </row>
    <row r="29" spans="2:41" s="669" customFormat="1" x14ac:dyDescent="0.25">
      <c r="B29" s="855" t="s">
        <v>1037</v>
      </c>
      <c r="C29" s="900">
        <v>0</v>
      </c>
      <c r="D29" s="900">
        <v>0</v>
      </c>
      <c r="E29" s="900">
        <v>0</v>
      </c>
      <c r="F29" s="900">
        <v>0</v>
      </c>
      <c r="G29" s="900">
        <v>0</v>
      </c>
      <c r="H29" s="900">
        <v>0</v>
      </c>
      <c r="I29" s="900">
        <v>0</v>
      </c>
      <c r="J29" s="900">
        <v>0</v>
      </c>
      <c r="K29" s="900">
        <v>0</v>
      </c>
      <c r="L29" s="900">
        <v>0</v>
      </c>
      <c r="M29" s="900">
        <v>0</v>
      </c>
      <c r="Z29" s="892" t="s">
        <v>13</v>
      </c>
      <c r="AA29" s="896">
        <f>SUMIFS(Camplist_HH,Camplist_Township,'NFI Distribution by 12 Months'!$Z29,CampList_Status,"Open")</f>
        <v>5113</v>
      </c>
      <c r="AB29" s="896">
        <f>SUMIFS(Camplist_Popl,Camplist_Township,'NFI Distribution by 12 Months'!$Z29,CampList_Status,"Open")</f>
        <v>21825</v>
      </c>
      <c r="AC29" s="896">
        <f>SUMIFS(NFI_Household,NFI_Township,Z29,NFI_Mosquito_Track,"&lt;&gt;0" )</f>
        <v>2815</v>
      </c>
      <c r="AD29" s="896">
        <f>SUMIFS(NFI_Household,NFI_Township,Z29,NFI_Tarpaulin_Track,"&lt;&gt;0" )</f>
        <v>3702</v>
      </c>
      <c r="AE29" s="896">
        <f>SUMIFS(NFI_Household,NFI_Township,Z29,NFI_Blanket_Track,"&lt;&gt;0" )</f>
        <v>2235</v>
      </c>
      <c r="AF29" s="896">
        <f>SUMIFS(NFI_Household,NFI_Township,Z29,NFI_Kitchen_Track,"&lt;&gt;0" )</f>
        <v>2865</v>
      </c>
      <c r="AG29" s="896">
        <f>SUMIFS(NFI_Household,NFI_Township,Z29,NFI_Complementary_Track,"&lt;&gt;0" )</f>
        <v>0</v>
      </c>
      <c r="AH29" s="896">
        <f>SUMIFS(NFI_Household,NFI_Township,Z29,NFI_Plastic_Bucket_Track,"&lt;&gt;0" )</f>
        <v>1288</v>
      </c>
      <c r="AI29" s="896">
        <f>SUMIFS(NFI_Household,NFI_Township,Z29,NFI_JerryCan_Track,"&lt;&gt;0" )</f>
        <v>680</v>
      </c>
      <c r="AJ29" s="896">
        <f>SUMIFS(NFI_Household,NFI_Township,Z29,NFI_Plastic_Mat_Track,"&lt;&gt;0" )</f>
        <v>2865</v>
      </c>
      <c r="AK29" s="896">
        <f>SUMIFS(NFI_Household,NFI_Township,Z29,NFI_Adult_Clothes_Track,"&lt;&gt;0" )</f>
        <v>0</v>
      </c>
      <c r="AL29" s="896">
        <f>SUMIFS(NFI_Household,NFI_Township,Z29,NFI_Children_Clothes_Track,"&lt;&gt;0" )</f>
        <v>0</v>
      </c>
      <c r="AM29" s="896">
        <f>SUMIFS(NFI_Household,NFI_Township,Z29,NFI_Sewing_Kit_Track,"&lt;&gt;0" )</f>
        <v>0</v>
      </c>
      <c r="AN29" s="896">
        <f>SUMIFS(NFI_Household,NFI_Township,Z29,NFI_Solar_Lantern_Track,"&lt;&gt;0" )</f>
        <v>389</v>
      </c>
    </row>
    <row r="30" spans="2:41" s="669" customFormat="1" x14ac:dyDescent="0.25">
      <c r="B30" s="855" t="s">
        <v>280</v>
      </c>
      <c r="C30" s="900">
        <v>0</v>
      </c>
      <c r="D30" s="900">
        <v>0</v>
      </c>
      <c r="E30" s="900">
        <v>0</v>
      </c>
      <c r="F30" s="900">
        <v>0</v>
      </c>
      <c r="G30" s="900">
        <v>0</v>
      </c>
      <c r="H30" s="900">
        <v>0</v>
      </c>
      <c r="I30" s="900">
        <v>0</v>
      </c>
      <c r="J30" s="900">
        <v>0</v>
      </c>
      <c r="K30" s="900">
        <v>0</v>
      </c>
      <c r="L30" s="900">
        <v>0</v>
      </c>
      <c r="M30" s="900">
        <v>0</v>
      </c>
      <c r="Z30" s="892" t="s">
        <v>15</v>
      </c>
      <c r="AA30" s="896">
        <f>SUMIFS(Camplist_HH,Camplist_Township,'NFI Distribution by 12 Months'!$Z30,CampList_Status,"Open")</f>
        <v>0</v>
      </c>
      <c r="AB30" s="896">
        <f>SUMIFS(Camplist_Popl,Camplist_Township,'NFI Distribution by 12 Months'!$Z30,CampList_Status,"Open")</f>
        <v>0</v>
      </c>
      <c r="AC30" s="896">
        <f>SUMIFS(NFI_Household,NFI_Township,Z30,NFI_Mosquito_Track,"&lt;&gt;0" )</f>
        <v>0</v>
      </c>
      <c r="AD30" s="896">
        <f>SUMIFS(NFI_Household,NFI_Township,Z30,NFI_Tarpaulin_Track,"&lt;&gt;0" )</f>
        <v>251</v>
      </c>
      <c r="AE30" s="896">
        <f>SUMIFS(NFI_Household,NFI_Township,Z30,NFI_Blanket_Track,"&lt;&gt;0" )</f>
        <v>0</v>
      </c>
      <c r="AF30" s="896">
        <f>SUMIFS(NFI_Household,NFI_Township,Z30,NFI_Kitchen_Track,"&lt;&gt;0" )</f>
        <v>0</v>
      </c>
      <c r="AG30" s="896">
        <f>SUMIFS(NFI_Household,NFI_Township,Z30,NFI_Complementary_Track,"&lt;&gt;0" )</f>
        <v>0</v>
      </c>
      <c r="AH30" s="896">
        <f>SUMIFS(NFI_Household,NFI_Township,Z30,NFI_Plastic_Bucket_Track,"&lt;&gt;0" )</f>
        <v>0</v>
      </c>
      <c r="AI30" s="896">
        <f>SUMIFS(NFI_Household,NFI_Township,Z30,NFI_JerryCan_Track,"&lt;&gt;0" )</f>
        <v>0</v>
      </c>
      <c r="AJ30" s="896">
        <f>SUMIFS(NFI_Household,NFI_Township,Z30,NFI_Plastic_Mat_Track,"&lt;&gt;0" )</f>
        <v>0</v>
      </c>
      <c r="AK30" s="896">
        <f>SUMIFS(NFI_Household,NFI_Township,Z30,NFI_Adult_Clothes_Track,"&lt;&gt;0" )</f>
        <v>0</v>
      </c>
      <c r="AL30" s="896">
        <f>SUMIFS(NFI_Household,NFI_Township,Z30,NFI_Children_Clothes_Track,"&lt;&gt;0" )</f>
        <v>0</v>
      </c>
      <c r="AM30" s="896">
        <f>SUMIFS(NFI_Household,NFI_Township,Z30,NFI_Sewing_Kit_Track,"&lt;&gt;0" )</f>
        <v>0</v>
      </c>
      <c r="AN30" s="896">
        <f>SUMIFS(NFI_Household,NFI_Township,Z30,NFI_Solar_Lantern_Track,"&lt;&gt;0" )</f>
        <v>0</v>
      </c>
    </row>
    <row r="31" spans="2:41" s="669" customFormat="1" x14ac:dyDescent="0.25">
      <c r="B31" s="855" t="s">
        <v>574</v>
      </c>
      <c r="C31" s="900">
        <v>0</v>
      </c>
      <c r="D31" s="900">
        <v>0</v>
      </c>
      <c r="E31" s="900">
        <v>0</v>
      </c>
      <c r="F31" s="900">
        <v>0</v>
      </c>
      <c r="G31" s="900">
        <v>0</v>
      </c>
      <c r="H31" s="900">
        <v>0</v>
      </c>
      <c r="I31" s="900">
        <v>0</v>
      </c>
      <c r="J31" s="900">
        <v>0</v>
      </c>
      <c r="K31" s="900">
        <v>0</v>
      </c>
      <c r="L31" s="900">
        <v>0</v>
      </c>
      <c r="M31" s="900">
        <v>0</v>
      </c>
      <c r="Z31" s="892" t="s">
        <v>17</v>
      </c>
      <c r="AA31" s="896">
        <f>SUMIFS(Camplist_HH,Camplist_Township,'NFI Distribution by 12 Months'!$Z31,CampList_Status,"Open")</f>
        <v>18822</v>
      </c>
      <c r="AB31" s="896">
        <f>SUMIFS(Camplist_Popl,Camplist_Township,'NFI Distribution by 12 Months'!$Z31,CampList_Status,"Open")</f>
        <v>101547</v>
      </c>
      <c r="AC31" s="896">
        <f>SUMIFS(NFI_Household,NFI_Township,Z31,NFI_Mosquito_Track,"&lt;&gt;0" )</f>
        <v>4064</v>
      </c>
      <c r="AD31" s="896">
        <f>SUMIFS(NFI_Household,NFI_Township,Z31,NFI_Tarpaulin_Track,"&lt;&gt;0" )</f>
        <v>3380</v>
      </c>
      <c r="AE31" s="896">
        <f>SUMIFS(NFI_Household,NFI_Township,Z31,NFI_Blanket_Track,"&lt;&gt;0" )</f>
        <v>2427</v>
      </c>
      <c r="AF31" s="896">
        <f>SUMIFS(NFI_Household,NFI_Township,Z31,NFI_Kitchen_Track,"&lt;&gt;0" )</f>
        <v>3614</v>
      </c>
      <c r="AG31" s="896">
        <f>SUMIFS(NFI_Household,NFI_Township,Z31,NFI_Complementary_Track,"&lt;&gt;0" )</f>
        <v>6</v>
      </c>
      <c r="AH31" s="896">
        <f>SUMIFS(NFI_Household,NFI_Township,Z31,NFI_Plastic_Bucket_Track,"&lt;&gt;0" )</f>
        <v>1390</v>
      </c>
      <c r="AI31" s="896">
        <f>SUMIFS(NFI_Household,NFI_Township,Z31,NFI_JerryCan_Track,"&lt;&gt;0" )</f>
        <v>1012</v>
      </c>
      <c r="AJ31" s="896">
        <f>SUMIFS(NFI_Household,NFI_Township,Z31,NFI_Plastic_Mat_Track,"&lt;&gt;0" )</f>
        <v>4144</v>
      </c>
      <c r="AK31" s="896">
        <f>SUMIFS(NFI_Household,NFI_Township,Z31,NFI_Adult_Clothes_Track,"&lt;&gt;0" )</f>
        <v>80</v>
      </c>
      <c r="AL31" s="896">
        <f>SUMIFS(NFI_Household,NFI_Township,Z31,NFI_Children_Clothes_Track,"&lt;&gt;0" )</f>
        <v>0</v>
      </c>
      <c r="AM31" s="896">
        <f>SUMIFS(NFI_Household,NFI_Township,Z31,NFI_Sewing_Kit_Track,"&lt;&gt;0" )</f>
        <v>0</v>
      </c>
      <c r="AN31" s="896">
        <f>SUMIFS(NFI_Household,NFI_Township,Z31,NFI_Solar_Lantern_Track,"&lt;&gt;0" )</f>
        <v>300</v>
      </c>
    </row>
    <row r="32" spans="2:41" s="669" customFormat="1" x14ac:dyDescent="0.25">
      <c r="B32" s="855" t="s">
        <v>913</v>
      </c>
      <c r="C32" s="900">
        <v>0</v>
      </c>
      <c r="D32" s="900">
        <v>722</v>
      </c>
      <c r="E32" s="900">
        <v>0</v>
      </c>
      <c r="F32" s="900">
        <v>0</v>
      </c>
      <c r="G32" s="900">
        <v>0</v>
      </c>
      <c r="H32" s="900">
        <v>0</v>
      </c>
      <c r="I32" s="900">
        <v>0</v>
      </c>
      <c r="J32" s="900">
        <v>0</v>
      </c>
      <c r="K32" s="900">
        <v>0</v>
      </c>
      <c r="L32" s="900">
        <v>0</v>
      </c>
      <c r="M32" s="900">
        <v>30</v>
      </c>
      <c r="Z32" s="897" t="s">
        <v>5</v>
      </c>
      <c r="AA32" s="898">
        <f t="shared" ref="AA32:AN32" si="2">SUM(AA27:AA31)</f>
        <v>24707</v>
      </c>
      <c r="AB32" s="898">
        <f t="shared" si="2"/>
        <v>126524</v>
      </c>
      <c r="AC32" s="898">
        <f t="shared" si="2"/>
        <v>6879</v>
      </c>
      <c r="AD32" s="898">
        <f t="shared" si="2"/>
        <v>7333</v>
      </c>
      <c r="AE32" s="898">
        <f t="shared" si="2"/>
        <v>4662</v>
      </c>
      <c r="AF32" s="898">
        <f t="shared" si="2"/>
        <v>6479</v>
      </c>
      <c r="AG32" s="898">
        <f t="shared" si="2"/>
        <v>6</v>
      </c>
      <c r="AH32" s="898">
        <f t="shared" si="2"/>
        <v>2678</v>
      </c>
      <c r="AI32" s="898">
        <f t="shared" si="2"/>
        <v>1692</v>
      </c>
      <c r="AJ32" s="898">
        <f t="shared" si="2"/>
        <v>7009</v>
      </c>
      <c r="AK32" s="898">
        <f t="shared" si="2"/>
        <v>80</v>
      </c>
      <c r="AL32" s="898">
        <f t="shared" si="2"/>
        <v>0</v>
      </c>
      <c r="AM32" s="898">
        <f t="shared" si="2"/>
        <v>0</v>
      </c>
      <c r="AN32" s="898">
        <f t="shared" si="2"/>
        <v>689</v>
      </c>
    </row>
    <row r="33" spans="2:50" s="669" customFormat="1" x14ac:dyDescent="0.25">
      <c r="B33" s="855" t="s">
        <v>658</v>
      </c>
      <c r="C33" s="900">
        <v>0</v>
      </c>
      <c r="D33" s="900">
        <v>0</v>
      </c>
      <c r="E33" s="900">
        <v>0</v>
      </c>
      <c r="F33" s="900">
        <v>0</v>
      </c>
      <c r="G33" s="900">
        <v>0</v>
      </c>
      <c r="H33" s="900">
        <v>0</v>
      </c>
      <c r="I33" s="900">
        <v>0</v>
      </c>
      <c r="J33" s="900">
        <v>0</v>
      </c>
      <c r="K33" s="900">
        <v>0</v>
      </c>
      <c r="L33" s="900">
        <v>0</v>
      </c>
      <c r="M33" s="900">
        <v>0</v>
      </c>
    </row>
    <row r="34" spans="2:50" s="669" customFormat="1" x14ac:dyDescent="0.25">
      <c r="B34" s="855" t="s">
        <v>1044</v>
      </c>
      <c r="C34" s="900">
        <v>0</v>
      </c>
      <c r="D34" s="900">
        <v>0</v>
      </c>
      <c r="E34" s="900">
        <v>0</v>
      </c>
      <c r="F34" s="900">
        <v>0</v>
      </c>
      <c r="G34" s="900">
        <v>6</v>
      </c>
      <c r="H34" s="900">
        <v>0</v>
      </c>
      <c r="I34" s="900">
        <v>0</v>
      </c>
      <c r="J34" s="900">
        <v>0</v>
      </c>
      <c r="K34" s="900">
        <v>0</v>
      </c>
      <c r="L34" s="900">
        <v>0</v>
      </c>
      <c r="M34" s="900">
        <v>1440</v>
      </c>
    </row>
    <row r="35" spans="2:50" s="669" customFormat="1" x14ac:dyDescent="0.25">
      <c r="B35" s="855" t="s">
        <v>1025</v>
      </c>
      <c r="C35" s="900">
        <v>0</v>
      </c>
      <c r="D35" s="900">
        <v>0</v>
      </c>
      <c r="E35" s="900">
        <v>0</v>
      </c>
      <c r="F35" s="900">
        <v>0</v>
      </c>
      <c r="G35" s="900">
        <v>0</v>
      </c>
      <c r="H35" s="900">
        <v>0</v>
      </c>
      <c r="I35" s="900">
        <v>0</v>
      </c>
      <c r="J35" s="900">
        <v>0</v>
      </c>
      <c r="K35" s="900">
        <v>0</v>
      </c>
      <c r="L35" s="900">
        <v>0</v>
      </c>
      <c r="M35" s="900">
        <v>0</v>
      </c>
    </row>
    <row r="36" spans="2:50" s="669" customFormat="1" x14ac:dyDescent="0.25">
      <c r="B36" s="855" t="s">
        <v>270</v>
      </c>
      <c r="C36" s="900">
        <v>11214</v>
      </c>
      <c r="D36" s="900">
        <v>4040</v>
      </c>
      <c r="E36" s="900">
        <v>9427</v>
      </c>
      <c r="F36" s="900">
        <v>6293</v>
      </c>
      <c r="G36" s="900">
        <v>0</v>
      </c>
      <c r="H36" s="900">
        <v>29937.5</v>
      </c>
      <c r="I36" s="900">
        <v>0</v>
      </c>
      <c r="J36" s="900">
        <v>0</v>
      </c>
      <c r="K36" s="900">
        <v>0</v>
      </c>
      <c r="L36" s="900">
        <v>389</v>
      </c>
      <c r="M36" s="900">
        <v>0</v>
      </c>
    </row>
    <row r="37" spans="2:50" s="669" customFormat="1" x14ac:dyDescent="0.25">
      <c r="B37" s="855" t="s">
        <v>272</v>
      </c>
      <c r="C37" s="88">
        <v>0</v>
      </c>
      <c r="D37" s="88">
        <v>1238</v>
      </c>
      <c r="E37" s="88">
        <v>0</v>
      </c>
      <c r="F37" s="88">
        <v>0</v>
      </c>
      <c r="G37" s="88">
        <v>0</v>
      </c>
      <c r="H37" s="88">
        <v>0</v>
      </c>
      <c r="I37" s="88">
        <v>0</v>
      </c>
      <c r="J37" s="88">
        <v>0</v>
      </c>
      <c r="K37" s="88">
        <v>0</v>
      </c>
      <c r="L37" s="88">
        <v>0</v>
      </c>
      <c r="M37" s="88">
        <v>0</v>
      </c>
    </row>
    <row r="38" spans="2:50" s="669" customFormat="1" x14ac:dyDescent="0.25">
      <c r="B38" s="855" t="s">
        <v>1046</v>
      </c>
      <c r="C38" s="900">
        <v>0</v>
      </c>
      <c r="D38" s="900">
        <v>0</v>
      </c>
      <c r="E38" s="900">
        <v>0</v>
      </c>
      <c r="F38" s="900">
        <v>0</v>
      </c>
      <c r="G38" s="900">
        <v>0</v>
      </c>
      <c r="H38" s="900">
        <v>0</v>
      </c>
      <c r="I38" s="900">
        <v>0</v>
      </c>
      <c r="J38" s="900">
        <v>0</v>
      </c>
      <c r="K38" s="900">
        <v>0</v>
      </c>
      <c r="L38" s="900">
        <v>0</v>
      </c>
      <c r="M38" s="900">
        <v>0</v>
      </c>
      <c r="Z38" s="39" t="s">
        <v>1134</v>
      </c>
      <c r="AA38"/>
      <c r="AB38"/>
      <c r="AC38"/>
      <c r="AD38"/>
      <c r="AE38"/>
      <c r="AF38"/>
      <c r="AG38"/>
      <c r="AH38"/>
      <c r="AI38"/>
      <c r="AJ38"/>
      <c r="AK38"/>
      <c r="AL38"/>
      <c r="AM38"/>
      <c r="AN38"/>
      <c r="AO38"/>
      <c r="AP38"/>
      <c r="AQ38"/>
      <c r="AR38"/>
      <c r="AS38"/>
      <c r="AT38"/>
      <c r="AU38"/>
      <c r="AV38"/>
      <c r="AW38"/>
      <c r="AX38"/>
    </row>
    <row r="39" spans="2:50" s="669" customFormat="1" x14ac:dyDescent="0.25">
      <c r="B39" s="855" t="s">
        <v>520</v>
      </c>
      <c r="C39" s="88">
        <v>0</v>
      </c>
      <c r="D39" s="88">
        <v>1784</v>
      </c>
      <c r="E39" s="88">
        <v>0</v>
      </c>
      <c r="F39" s="88">
        <v>0</v>
      </c>
      <c r="G39" s="88">
        <v>0</v>
      </c>
      <c r="H39" s="88">
        <v>0</v>
      </c>
      <c r="I39" s="88">
        <v>0</v>
      </c>
      <c r="J39" s="88">
        <v>0</v>
      </c>
      <c r="K39" s="88">
        <v>0</v>
      </c>
      <c r="L39" s="88">
        <v>0</v>
      </c>
      <c r="M39" s="88">
        <v>0</v>
      </c>
      <c r="Z39"/>
      <c r="AA39"/>
      <c r="AB39" t="s">
        <v>5</v>
      </c>
      <c r="AC39"/>
      <c r="AD39"/>
      <c r="AE39"/>
      <c r="AF39"/>
      <c r="AG39"/>
      <c r="AH39"/>
      <c r="AI39"/>
      <c r="AJ39"/>
      <c r="AK39"/>
      <c r="AL39"/>
      <c r="AM39"/>
      <c r="AN39"/>
      <c r="AO39"/>
      <c r="AP39"/>
      <c r="AQ39"/>
      <c r="AR39"/>
      <c r="AS39"/>
      <c r="AT39"/>
      <c r="AU39"/>
      <c r="AV39"/>
      <c r="AW39"/>
      <c r="AX39"/>
    </row>
    <row r="40" spans="2:50" s="669" customFormat="1" x14ac:dyDescent="0.25">
      <c r="B40" s="855" t="s">
        <v>1129</v>
      </c>
      <c r="C40" s="88">
        <v>0</v>
      </c>
      <c r="D40" s="88">
        <v>0</v>
      </c>
      <c r="E40" s="88">
        <v>0</v>
      </c>
      <c r="F40" s="88">
        <v>0</v>
      </c>
      <c r="G40" s="88">
        <v>0</v>
      </c>
      <c r="H40" s="88">
        <v>0</v>
      </c>
      <c r="I40" s="88">
        <v>0</v>
      </c>
      <c r="J40" s="88">
        <v>0</v>
      </c>
      <c r="K40" s="88">
        <v>0</v>
      </c>
      <c r="L40" s="88">
        <v>0</v>
      </c>
      <c r="M40" s="88">
        <v>0</v>
      </c>
      <c r="Z40" s="669" t="s">
        <v>561</v>
      </c>
      <c r="AA40" s="669" t="s">
        <v>270</v>
      </c>
      <c r="AB40" s="4"/>
      <c r="AC40"/>
      <c r="AD40"/>
      <c r="AE40"/>
      <c r="AF40"/>
      <c r="AG40"/>
      <c r="AH40"/>
      <c r="AI40"/>
      <c r="AJ40"/>
      <c r="AK40"/>
      <c r="AL40"/>
      <c r="AM40"/>
      <c r="AN40"/>
      <c r="AO40"/>
      <c r="AP40"/>
      <c r="AQ40"/>
      <c r="AR40"/>
      <c r="AS40"/>
      <c r="AT40"/>
      <c r="AU40"/>
      <c r="AV40"/>
      <c r="AW40"/>
      <c r="AX40"/>
    </row>
    <row r="41" spans="2:50" s="669" customFormat="1" x14ac:dyDescent="0.25">
      <c r="B41" s="855" t="s">
        <v>1130</v>
      </c>
      <c r="C41" s="88">
        <v>0</v>
      </c>
      <c r="D41" s="88">
        <v>0</v>
      </c>
      <c r="E41" s="88">
        <v>0</v>
      </c>
      <c r="F41" s="88">
        <v>0</v>
      </c>
      <c r="G41" s="88">
        <v>0</v>
      </c>
      <c r="H41" s="88">
        <v>0</v>
      </c>
      <c r="I41" s="88">
        <v>0</v>
      </c>
      <c r="J41" s="88">
        <v>0</v>
      </c>
      <c r="K41" s="88">
        <v>0</v>
      </c>
      <c r="L41" s="88">
        <v>0</v>
      </c>
      <c r="M41" s="88">
        <v>35777</v>
      </c>
      <c r="Z41"/>
      <c r="AA41" s="669" t="s">
        <v>272</v>
      </c>
      <c r="AB41" s="4"/>
      <c r="AC41"/>
      <c r="AD41"/>
      <c r="AE41"/>
      <c r="AF41"/>
      <c r="AG41"/>
      <c r="AH41"/>
      <c r="AI41"/>
      <c r="AJ41"/>
      <c r="AK41"/>
      <c r="AL41"/>
      <c r="AM41"/>
      <c r="AN41"/>
      <c r="AO41"/>
      <c r="AP41"/>
      <c r="AQ41"/>
      <c r="AR41"/>
      <c r="AS41"/>
      <c r="AT41"/>
      <c r="AU41"/>
      <c r="AV41"/>
      <c r="AW41"/>
      <c r="AX41"/>
    </row>
    <row r="42" spans="2:50" s="669" customFormat="1" x14ac:dyDescent="0.25">
      <c r="B42" s="855" t="s">
        <v>282</v>
      </c>
      <c r="C42" s="88">
        <v>600</v>
      </c>
      <c r="D42" s="88">
        <v>0</v>
      </c>
      <c r="E42" s="88">
        <v>0</v>
      </c>
      <c r="F42" s="88">
        <v>300</v>
      </c>
      <c r="G42" s="88">
        <v>0</v>
      </c>
      <c r="H42" s="88">
        <v>300</v>
      </c>
      <c r="I42" s="88">
        <v>0</v>
      </c>
      <c r="J42" s="88">
        <v>0</v>
      </c>
      <c r="K42" s="88">
        <v>0</v>
      </c>
      <c r="L42" s="88">
        <v>300</v>
      </c>
      <c r="M42" s="88">
        <v>0</v>
      </c>
      <c r="Z42" s="669" t="s">
        <v>942</v>
      </c>
      <c r="AB42" s="4"/>
      <c r="AC42"/>
      <c r="AD42"/>
      <c r="AE42"/>
      <c r="AF42"/>
      <c r="AG42"/>
      <c r="AH42"/>
      <c r="AI42"/>
      <c r="AJ42"/>
      <c r="AK42"/>
      <c r="AL42"/>
      <c r="AM42"/>
      <c r="AN42"/>
      <c r="AO42"/>
      <c r="AP42"/>
      <c r="AQ42"/>
      <c r="AR42"/>
      <c r="AS42"/>
      <c r="AT42"/>
      <c r="AU42"/>
      <c r="AV42"/>
      <c r="AW42"/>
      <c r="AX42"/>
    </row>
    <row r="43" spans="2:50" s="669" customFormat="1" x14ac:dyDescent="0.25">
      <c r="B43" s="853" t="s">
        <v>204</v>
      </c>
      <c r="C43" s="966">
        <v>11814</v>
      </c>
      <c r="D43" s="966">
        <v>7784</v>
      </c>
      <c r="E43" s="966">
        <v>9427</v>
      </c>
      <c r="F43" s="966">
        <v>6593</v>
      </c>
      <c r="G43" s="966">
        <v>6</v>
      </c>
      <c r="H43" s="966">
        <v>30237.5</v>
      </c>
      <c r="I43" s="966">
        <v>560</v>
      </c>
      <c r="J43" s="966">
        <v>0</v>
      </c>
      <c r="K43" s="966">
        <v>0</v>
      </c>
      <c r="L43" s="966">
        <v>689</v>
      </c>
      <c r="M43" s="966">
        <v>37247</v>
      </c>
      <c r="Z43" s="669" t="s">
        <v>14</v>
      </c>
      <c r="AA43" s="669" t="s">
        <v>474</v>
      </c>
      <c r="AB43" s="4"/>
      <c r="AC43"/>
      <c r="AD43"/>
      <c r="AE43"/>
      <c r="AF43"/>
      <c r="AG43"/>
      <c r="AH43"/>
      <c r="AI43"/>
      <c r="AJ43"/>
      <c r="AK43"/>
      <c r="AL43"/>
      <c r="AM43"/>
      <c r="AN43"/>
      <c r="AO43"/>
      <c r="AP43"/>
      <c r="AQ43"/>
      <c r="AR43"/>
      <c r="AS43"/>
      <c r="AT43"/>
      <c r="AU43"/>
      <c r="AV43"/>
      <c r="AW43"/>
      <c r="AX43"/>
    </row>
    <row r="44" spans="2:50" s="669" customFormat="1" x14ac:dyDescent="0.25">
      <c r="B44"/>
      <c r="C44"/>
      <c r="D44"/>
      <c r="E44"/>
      <c r="F44"/>
      <c r="G44"/>
      <c r="H44"/>
      <c r="I44"/>
      <c r="J44"/>
      <c r="K44"/>
      <c r="L44"/>
      <c r="M44"/>
      <c r="Z44"/>
      <c r="AA44" s="669" t="s">
        <v>270</v>
      </c>
      <c r="AB44" s="4">
        <v>500</v>
      </c>
      <c r="AC44"/>
      <c r="AD44"/>
      <c r="AE44"/>
      <c r="AF44"/>
      <c r="AG44"/>
      <c r="AH44"/>
      <c r="AI44"/>
      <c r="AJ44"/>
      <c r="AK44"/>
      <c r="AL44"/>
      <c r="AM44"/>
      <c r="AN44"/>
      <c r="AO44"/>
      <c r="AP44"/>
      <c r="AQ44"/>
      <c r="AR44"/>
      <c r="AS44"/>
      <c r="AT44"/>
      <c r="AU44"/>
      <c r="AV44"/>
      <c r="AW44"/>
      <c r="AX44"/>
    </row>
    <row r="45" spans="2:50" s="669" customFormat="1" x14ac:dyDescent="0.25">
      <c r="B45" s="972"/>
      <c r="C45" s="973"/>
      <c r="D45" s="974"/>
      <c r="E45" s="973"/>
      <c r="F45" s="973"/>
      <c r="G45" s="973"/>
      <c r="H45" s="973"/>
      <c r="I45" s="973"/>
      <c r="J45" s="973"/>
      <c r="K45" s="973"/>
      <c r="L45" s="973"/>
      <c r="M45" s="973"/>
      <c r="Z45" s="669" t="s">
        <v>920</v>
      </c>
      <c r="AB45" s="4">
        <v>500</v>
      </c>
      <c r="AC45"/>
      <c r="AD45"/>
      <c r="AE45"/>
      <c r="AF45"/>
      <c r="AG45"/>
      <c r="AH45"/>
      <c r="AI45"/>
      <c r="AJ45"/>
      <c r="AK45"/>
      <c r="AL45"/>
      <c r="AM45"/>
      <c r="AN45"/>
      <c r="AO45"/>
      <c r="AP45"/>
      <c r="AQ45"/>
      <c r="AR45"/>
      <c r="AS45"/>
      <c r="AT45"/>
      <c r="AU45"/>
      <c r="AV45"/>
      <c r="AW45"/>
      <c r="AX45"/>
    </row>
    <row r="46" spans="2:50" s="669" customFormat="1" ht="23.25" customHeight="1" x14ac:dyDescent="0.25">
      <c r="B46" s="39" t="s">
        <v>748</v>
      </c>
      <c r="C46" s="669" t="s">
        <v>718</v>
      </c>
      <c r="D46" s="1220" t="s">
        <v>1142</v>
      </c>
      <c r="E46" s="1221"/>
      <c r="F46" s="1221"/>
      <c r="G46" s="1221"/>
      <c r="H46" s="1221"/>
      <c r="I46" s="1221"/>
      <c r="J46" s="1221"/>
      <c r="K46" s="1221"/>
      <c r="L46" s="1221"/>
      <c r="M46" s="1221"/>
      <c r="Z46" s="669" t="s">
        <v>18</v>
      </c>
      <c r="AA46" s="669" t="s">
        <v>828</v>
      </c>
      <c r="AB46" s="4"/>
      <c r="AC46"/>
      <c r="AD46"/>
      <c r="AE46"/>
      <c r="AF46"/>
      <c r="AG46"/>
      <c r="AH46"/>
      <c r="AI46"/>
      <c r="AJ46"/>
      <c r="AK46"/>
      <c r="AL46"/>
      <c r="AM46"/>
      <c r="AN46"/>
      <c r="AO46"/>
      <c r="AP46"/>
      <c r="AQ46"/>
      <c r="AR46"/>
      <c r="AS46"/>
      <c r="AT46"/>
      <c r="AU46"/>
      <c r="AV46"/>
      <c r="AW46"/>
      <c r="AX46"/>
    </row>
    <row r="47" spans="2:50" s="669" customFormat="1" ht="30" customHeight="1" x14ac:dyDescent="0.25">
      <c r="C47" s="893" t="s">
        <v>309</v>
      </c>
      <c r="D47" s="893" t="s">
        <v>286</v>
      </c>
      <c r="E47" s="893" t="s">
        <v>218</v>
      </c>
      <c r="F47" s="893" t="s">
        <v>219</v>
      </c>
      <c r="G47" s="893" t="s">
        <v>314</v>
      </c>
      <c r="H47" s="893" t="s">
        <v>536</v>
      </c>
      <c r="I47" s="893" t="s">
        <v>1022</v>
      </c>
      <c r="J47" s="893" t="s">
        <v>1023</v>
      </c>
      <c r="K47" s="893" t="s">
        <v>1024</v>
      </c>
      <c r="L47" s="893" t="s">
        <v>1052</v>
      </c>
      <c r="M47" s="893" t="s">
        <v>1133</v>
      </c>
      <c r="Z47"/>
      <c r="AA47" s="669" t="s">
        <v>270</v>
      </c>
      <c r="AB47" s="4"/>
      <c r="AC47"/>
      <c r="AD47"/>
      <c r="AE47"/>
      <c r="AF47"/>
      <c r="AG47"/>
      <c r="AH47"/>
      <c r="AI47"/>
      <c r="AJ47"/>
      <c r="AK47"/>
      <c r="AL47"/>
      <c r="AM47"/>
      <c r="AN47"/>
      <c r="AO47"/>
      <c r="AP47"/>
      <c r="AQ47"/>
      <c r="AR47"/>
      <c r="AS47"/>
      <c r="AT47"/>
      <c r="AU47"/>
      <c r="AV47"/>
      <c r="AW47"/>
      <c r="AX47"/>
    </row>
    <row r="48" spans="2:50" s="669" customFormat="1" ht="25.5" customHeight="1" x14ac:dyDescent="0.25">
      <c r="B48" s="856" t="s">
        <v>191</v>
      </c>
      <c r="C48" s="895" t="s">
        <v>1003</v>
      </c>
      <c r="D48" s="895" t="s">
        <v>1003</v>
      </c>
      <c r="E48" s="895" t="s">
        <v>1003</v>
      </c>
      <c r="F48" s="895" t="s">
        <v>1003</v>
      </c>
      <c r="G48" s="895" t="s">
        <v>1003</v>
      </c>
      <c r="H48" s="895" t="s">
        <v>1003</v>
      </c>
      <c r="I48" s="895" t="s">
        <v>1003</v>
      </c>
      <c r="J48" s="895" t="s">
        <v>1003</v>
      </c>
      <c r="K48" s="895" t="s">
        <v>1003</v>
      </c>
      <c r="L48" s="895" t="s">
        <v>1003</v>
      </c>
      <c r="M48" s="895" t="s">
        <v>1003</v>
      </c>
      <c r="Z48" s="669" t="s">
        <v>597</v>
      </c>
      <c r="AB48" s="4"/>
      <c r="AC48"/>
      <c r="AD48"/>
      <c r="AE48"/>
      <c r="AF48"/>
      <c r="AG48"/>
      <c r="AH48"/>
      <c r="AI48"/>
      <c r="AJ48"/>
      <c r="AK48"/>
      <c r="AL48"/>
      <c r="AM48"/>
      <c r="AN48"/>
      <c r="AO48"/>
      <c r="AP48"/>
      <c r="AQ48"/>
      <c r="AR48"/>
      <c r="AS48"/>
      <c r="AT48"/>
      <c r="AU48"/>
      <c r="AV48"/>
      <c r="AW48"/>
      <c r="AX48"/>
    </row>
    <row r="49" spans="2:50" s="669" customFormat="1" x14ac:dyDescent="0.25">
      <c r="B49" s="902" t="s">
        <v>476</v>
      </c>
      <c r="C49" s="891">
        <f>SUMIFS(NFI_Household,NFI_Org,B49,NFI_Mosquito_Track,"&lt;&gt;0" )</f>
        <v>0</v>
      </c>
      <c r="D49" s="891">
        <f t="shared" ref="D49:D64" si="3">SUMIFS(NFI_Household,NFI_Org,B49,NFI_Tarpaulin_Track,"&lt;&gt;0" )</f>
        <v>0</v>
      </c>
      <c r="E49" s="899">
        <f t="shared" ref="E49:E59" si="4">SUMIFS(NFI_Household,NFI_Org,B49,NFI_Blanket_Track,"&lt;&gt;0" )</f>
        <v>0</v>
      </c>
      <c r="F49" s="899">
        <f t="shared" ref="F49:F59" si="5">SUMIFS(NFI_Household,NFI_Org,B49,NFI_Kitchen_Track,"&lt;&gt;0" )</f>
        <v>0</v>
      </c>
      <c r="G49" s="899">
        <f t="shared" ref="G49:G59" si="6">SUMIFS(NFI_Household,NFI_Org,B49,NFI_Complementary_Track,"&lt;&gt;0" )</f>
        <v>0</v>
      </c>
      <c r="H49" s="899">
        <f t="shared" ref="H49:H64" si="7">SUMIFS(NFI_Household,NFI_Org,B49,NFI_Plastic_Mat_Track,"&lt;&gt;0" )</f>
        <v>0</v>
      </c>
      <c r="I49" s="899">
        <f t="shared" ref="I49:I64" si="8">SUMIFS(NFI_Household,NFI_Org,B49,NFI_Adult_Clothes_Track,"&lt;&gt;0" )</f>
        <v>0</v>
      </c>
      <c r="J49" s="899">
        <f t="shared" ref="J49:J64" si="9">SUMIFS(NFI_Household,NFI_Org,B49,NFI_Children_Clothes_Track,"&lt;&gt;0" )</f>
        <v>0</v>
      </c>
      <c r="K49" s="899">
        <f t="shared" ref="K49:K64" si="10">SUMIFS(NFI_Household,NFI_Org,B49,NFI_Sewing_Kit_Track,"&lt;&gt;0" )</f>
        <v>0</v>
      </c>
      <c r="L49" s="891">
        <f t="shared" ref="L49:L64" si="11">SUMIFS(NFI_Household,NFI_Org,B49,NFI_Solar_Lantern_Track,"&lt;&gt;0" )</f>
        <v>0</v>
      </c>
      <c r="M49" s="891">
        <f t="shared" ref="M49:M64" si="12">SUMIFS(NFI_Household,NFI_Org,B49,NFI_Core_Track,"&lt;&gt;0" )</f>
        <v>0</v>
      </c>
      <c r="Z49" s="669" t="s">
        <v>11</v>
      </c>
      <c r="AA49" s="669" t="s">
        <v>475</v>
      </c>
      <c r="AB49" s="4"/>
      <c r="AC49"/>
      <c r="AD49"/>
      <c r="AE49"/>
      <c r="AF49"/>
      <c r="AG49"/>
      <c r="AH49"/>
      <c r="AI49"/>
      <c r="AJ49"/>
      <c r="AK49"/>
      <c r="AL49"/>
      <c r="AM49"/>
      <c r="AN49"/>
      <c r="AO49"/>
      <c r="AP49"/>
      <c r="AQ49"/>
      <c r="AR49"/>
      <c r="AS49"/>
      <c r="AT49"/>
      <c r="AU49"/>
      <c r="AV49"/>
      <c r="AW49"/>
      <c r="AX49"/>
    </row>
    <row r="50" spans="2:50" s="669" customFormat="1" x14ac:dyDescent="0.25">
      <c r="B50" s="957" t="s">
        <v>273</v>
      </c>
      <c r="C50" s="891">
        <f t="shared" ref="C50:C64" si="13">SUMIFS(NFI_Household,NFI_Org,B50,NFI_Mosquito_Track,"&lt;&gt;0" )</f>
        <v>0</v>
      </c>
      <c r="D50" s="891">
        <f t="shared" si="3"/>
        <v>0</v>
      </c>
      <c r="E50" s="899">
        <f t="shared" si="4"/>
        <v>0</v>
      </c>
      <c r="F50" s="899">
        <f t="shared" si="5"/>
        <v>0</v>
      </c>
      <c r="G50" s="899">
        <f t="shared" si="6"/>
        <v>0</v>
      </c>
      <c r="H50" s="899">
        <f t="shared" si="7"/>
        <v>0</v>
      </c>
      <c r="I50" s="899">
        <f t="shared" si="8"/>
        <v>80</v>
      </c>
      <c r="J50" s="899">
        <f t="shared" si="9"/>
        <v>0</v>
      </c>
      <c r="K50" s="899">
        <f t="shared" si="10"/>
        <v>0</v>
      </c>
      <c r="L50" s="891">
        <f t="shared" si="11"/>
        <v>0</v>
      </c>
      <c r="M50" s="891">
        <f t="shared" si="12"/>
        <v>0</v>
      </c>
      <c r="Z50"/>
      <c r="AA50" s="669" t="s">
        <v>270</v>
      </c>
      <c r="AB50" s="4"/>
      <c r="AC50"/>
      <c r="AD50"/>
      <c r="AE50"/>
      <c r="AF50"/>
      <c r="AG50"/>
      <c r="AH50"/>
      <c r="AI50"/>
      <c r="AJ50"/>
      <c r="AK50"/>
      <c r="AL50"/>
      <c r="AM50"/>
      <c r="AN50"/>
      <c r="AO50"/>
      <c r="AP50"/>
      <c r="AQ50"/>
      <c r="AR50"/>
      <c r="AS50"/>
      <c r="AT50"/>
      <c r="AU50"/>
      <c r="AV50"/>
      <c r="AW50"/>
      <c r="AX50"/>
    </row>
    <row r="51" spans="2:50" s="669" customFormat="1" x14ac:dyDescent="0.25">
      <c r="B51" s="902" t="s">
        <v>1037</v>
      </c>
      <c r="C51" s="891">
        <f t="shared" si="13"/>
        <v>0</v>
      </c>
      <c r="D51" s="891">
        <f t="shared" si="3"/>
        <v>0</v>
      </c>
      <c r="E51" s="899">
        <f t="shared" si="4"/>
        <v>0</v>
      </c>
      <c r="F51" s="899">
        <f t="shared" si="5"/>
        <v>0</v>
      </c>
      <c r="G51" s="899">
        <f t="shared" si="6"/>
        <v>0</v>
      </c>
      <c r="H51" s="899">
        <f t="shared" si="7"/>
        <v>0</v>
      </c>
      <c r="I51" s="899">
        <f t="shared" si="8"/>
        <v>0</v>
      </c>
      <c r="J51" s="899">
        <f t="shared" si="9"/>
        <v>0</v>
      </c>
      <c r="K51" s="899">
        <f t="shared" si="10"/>
        <v>0</v>
      </c>
      <c r="L51" s="891">
        <f t="shared" si="11"/>
        <v>0</v>
      </c>
      <c r="M51" s="891">
        <f t="shared" si="12"/>
        <v>0</v>
      </c>
      <c r="Z51"/>
      <c r="AA51" s="669" t="s">
        <v>272</v>
      </c>
      <c r="AB51" s="4"/>
      <c r="AC51"/>
      <c r="AD51"/>
      <c r="AE51"/>
      <c r="AF51"/>
      <c r="AG51"/>
      <c r="AH51"/>
      <c r="AI51"/>
      <c r="AJ51"/>
      <c r="AK51"/>
      <c r="AL51"/>
      <c r="AM51"/>
      <c r="AN51"/>
      <c r="AO51"/>
      <c r="AP51"/>
      <c r="AQ51"/>
      <c r="AR51"/>
      <c r="AS51"/>
      <c r="AT51"/>
      <c r="AU51"/>
      <c r="AV51"/>
      <c r="AW51"/>
      <c r="AX51"/>
    </row>
    <row r="52" spans="2:50" s="669" customFormat="1" x14ac:dyDescent="0.25">
      <c r="B52" s="902" t="s">
        <v>1036</v>
      </c>
      <c r="C52" s="891">
        <f t="shared" si="13"/>
        <v>0</v>
      </c>
      <c r="D52" s="891">
        <f t="shared" si="3"/>
        <v>0</v>
      </c>
      <c r="E52" s="899">
        <f t="shared" si="4"/>
        <v>0</v>
      </c>
      <c r="F52" s="899">
        <f t="shared" si="5"/>
        <v>0</v>
      </c>
      <c r="G52" s="899">
        <f t="shared" si="6"/>
        <v>0</v>
      </c>
      <c r="H52" s="899">
        <f t="shared" si="7"/>
        <v>0</v>
      </c>
      <c r="I52" s="899">
        <f t="shared" si="8"/>
        <v>0</v>
      </c>
      <c r="J52" s="899">
        <f t="shared" si="9"/>
        <v>0</v>
      </c>
      <c r="K52" s="899">
        <f t="shared" si="10"/>
        <v>0</v>
      </c>
      <c r="L52" s="891">
        <f t="shared" si="11"/>
        <v>0</v>
      </c>
      <c r="M52" s="891">
        <f t="shared" si="12"/>
        <v>0</v>
      </c>
      <c r="Z52" s="669" t="s">
        <v>949</v>
      </c>
      <c r="AB52" s="4"/>
      <c r="AC52"/>
      <c r="AD52"/>
      <c r="AE52"/>
      <c r="AF52"/>
      <c r="AG52"/>
      <c r="AH52"/>
    </row>
    <row r="53" spans="2:50" s="669" customFormat="1" x14ac:dyDescent="0.25">
      <c r="B53" s="902" t="s">
        <v>574</v>
      </c>
      <c r="C53" s="891">
        <f t="shared" si="13"/>
        <v>0</v>
      </c>
      <c r="D53" s="891">
        <f t="shared" si="3"/>
        <v>0</v>
      </c>
      <c r="E53" s="899">
        <f t="shared" si="4"/>
        <v>0</v>
      </c>
      <c r="F53" s="899">
        <f t="shared" si="5"/>
        <v>0</v>
      </c>
      <c r="G53" s="899">
        <f t="shared" si="6"/>
        <v>0</v>
      </c>
      <c r="H53" s="899">
        <f t="shared" si="7"/>
        <v>0</v>
      </c>
      <c r="I53" s="899">
        <f t="shared" si="8"/>
        <v>0</v>
      </c>
      <c r="J53" s="899">
        <f t="shared" si="9"/>
        <v>0</v>
      </c>
      <c r="K53" s="899">
        <f t="shared" si="10"/>
        <v>0</v>
      </c>
      <c r="L53" s="891">
        <f t="shared" si="11"/>
        <v>0</v>
      </c>
      <c r="M53" s="891">
        <f t="shared" si="12"/>
        <v>0</v>
      </c>
      <c r="Z53" s="669" t="s">
        <v>941</v>
      </c>
      <c r="AA53" s="669" t="s">
        <v>270</v>
      </c>
      <c r="AB53" s="4"/>
      <c r="AC53"/>
      <c r="AD53"/>
      <c r="AE53"/>
      <c r="AF53"/>
      <c r="AG53"/>
      <c r="AH53"/>
    </row>
    <row r="54" spans="2:50" s="669" customFormat="1" x14ac:dyDescent="0.25">
      <c r="B54" s="902" t="s">
        <v>913</v>
      </c>
      <c r="C54" s="891">
        <f t="shared" si="13"/>
        <v>0</v>
      </c>
      <c r="D54" s="891">
        <f t="shared" si="3"/>
        <v>722</v>
      </c>
      <c r="E54" s="899">
        <f t="shared" si="4"/>
        <v>0</v>
      </c>
      <c r="F54" s="899">
        <f t="shared" si="5"/>
        <v>0</v>
      </c>
      <c r="G54" s="899">
        <f t="shared" si="6"/>
        <v>0</v>
      </c>
      <c r="H54" s="899">
        <f t="shared" si="7"/>
        <v>0</v>
      </c>
      <c r="I54" s="899">
        <f t="shared" si="8"/>
        <v>0</v>
      </c>
      <c r="J54" s="899">
        <f t="shared" si="9"/>
        <v>0</v>
      </c>
      <c r="K54" s="899">
        <f t="shared" si="10"/>
        <v>0</v>
      </c>
      <c r="L54" s="891">
        <f t="shared" si="11"/>
        <v>0</v>
      </c>
      <c r="M54" s="891">
        <f t="shared" si="12"/>
        <v>30</v>
      </c>
      <c r="Z54"/>
      <c r="AA54" s="669" t="s">
        <v>272</v>
      </c>
      <c r="AB54" s="4"/>
      <c r="AC54"/>
      <c r="AD54"/>
      <c r="AE54"/>
      <c r="AF54"/>
      <c r="AG54"/>
      <c r="AH54"/>
    </row>
    <row r="55" spans="2:50" s="669" customFormat="1" x14ac:dyDescent="0.25">
      <c r="B55" s="902" t="s">
        <v>658</v>
      </c>
      <c r="C55" s="891">
        <f t="shared" si="13"/>
        <v>0</v>
      </c>
      <c r="D55" s="891">
        <f t="shared" si="3"/>
        <v>0</v>
      </c>
      <c r="E55" s="899">
        <f t="shared" si="4"/>
        <v>0</v>
      </c>
      <c r="F55" s="899">
        <f t="shared" si="5"/>
        <v>0</v>
      </c>
      <c r="G55" s="899">
        <f t="shared" si="6"/>
        <v>0</v>
      </c>
      <c r="H55" s="899">
        <f t="shared" si="7"/>
        <v>0</v>
      </c>
      <c r="I55" s="899">
        <f t="shared" si="8"/>
        <v>0</v>
      </c>
      <c r="J55" s="899">
        <f t="shared" si="9"/>
        <v>0</v>
      </c>
      <c r="K55" s="899">
        <f t="shared" si="10"/>
        <v>0</v>
      </c>
      <c r="L55" s="891">
        <f t="shared" si="11"/>
        <v>0</v>
      </c>
      <c r="M55" s="891">
        <f t="shared" si="12"/>
        <v>0</v>
      </c>
      <c r="Z55" s="669" t="s">
        <v>947</v>
      </c>
      <c r="AB55" s="4"/>
      <c r="AC55"/>
      <c r="AD55"/>
      <c r="AE55"/>
      <c r="AF55"/>
      <c r="AG55"/>
      <c r="AH55"/>
    </row>
    <row r="56" spans="2:50" s="669" customFormat="1" ht="14.25" customHeight="1" x14ac:dyDescent="0.25">
      <c r="B56" s="902" t="s">
        <v>1044</v>
      </c>
      <c r="C56" s="891">
        <f t="shared" si="13"/>
        <v>0</v>
      </c>
      <c r="D56" s="891">
        <f t="shared" si="3"/>
        <v>0</v>
      </c>
      <c r="E56" s="899">
        <f t="shared" si="4"/>
        <v>0</v>
      </c>
      <c r="F56" s="899">
        <f t="shared" si="5"/>
        <v>0</v>
      </c>
      <c r="G56" s="899">
        <f t="shared" si="6"/>
        <v>6</v>
      </c>
      <c r="H56" s="899">
        <f t="shared" si="7"/>
        <v>0</v>
      </c>
      <c r="I56" s="899">
        <f t="shared" si="8"/>
        <v>0</v>
      </c>
      <c r="J56" s="899">
        <f t="shared" si="9"/>
        <v>0</v>
      </c>
      <c r="K56" s="899">
        <f t="shared" si="10"/>
        <v>0</v>
      </c>
      <c r="L56" s="891">
        <f t="shared" si="11"/>
        <v>0</v>
      </c>
      <c r="M56" s="891">
        <f t="shared" si="12"/>
        <v>720</v>
      </c>
      <c r="Z56" s="669" t="s">
        <v>817</v>
      </c>
      <c r="AA56" s="669" t="s">
        <v>1036</v>
      </c>
      <c r="AB56" s="4">
        <v>3795</v>
      </c>
      <c r="AC56"/>
      <c r="AD56"/>
      <c r="AE56"/>
      <c r="AF56"/>
      <c r="AG56"/>
      <c r="AH56"/>
    </row>
    <row r="57" spans="2:50" s="669" customFormat="1" x14ac:dyDescent="0.25">
      <c r="B57" s="902" t="s">
        <v>1025</v>
      </c>
      <c r="C57" s="891">
        <f t="shared" si="13"/>
        <v>0</v>
      </c>
      <c r="D57" s="891">
        <f t="shared" si="3"/>
        <v>0</v>
      </c>
      <c r="E57" s="899">
        <f t="shared" si="4"/>
        <v>0</v>
      </c>
      <c r="F57" s="899">
        <f t="shared" si="5"/>
        <v>0</v>
      </c>
      <c r="G57" s="899">
        <f t="shared" si="6"/>
        <v>0</v>
      </c>
      <c r="H57" s="899">
        <f t="shared" si="7"/>
        <v>0</v>
      </c>
      <c r="I57" s="899">
        <f t="shared" si="8"/>
        <v>0</v>
      </c>
      <c r="J57" s="899">
        <f t="shared" si="9"/>
        <v>0</v>
      </c>
      <c r="K57" s="899">
        <f t="shared" si="10"/>
        <v>0</v>
      </c>
      <c r="L57" s="891">
        <f t="shared" si="11"/>
        <v>0</v>
      </c>
      <c r="M57" s="891">
        <f t="shared" si="12"/>
        <v>0</v>
      </c>
      <c r="Z57"/>
      <c r="AA57" s="669" t="s">
        <v>658</v>
      </c>
      <c r="AB57" s="4">
        <v>5636</v>
      </c>
      <c r="AC57"/>
      <c r="AD57"/>
      <c r="AE57"/>
      <c r="AF57"/>
      <c r="AG57"/>
      <c r="AH57"/>
    </row>
    <row r="58" spans="2:50" s="669" customFormat="1" x14ac:dyDescent="0.25">
      <c r="B58" s="902" t="s">
        <v>270</v>
      </c>
      <c r="C58" s="891">
        <f t="shared" si="13"/>
        <v>6670</v>
      </c>
      <c r="D58" s="891">
        <f t="shared" si="3"/>
        <v>3680</v>
      </c>
      <c r="E58" s="899">
        <f t="shared" si="4"/>
        <v>4753</v>
      </c>
      <c r="F58" s="899">
        <f t="shared" si="5"/>
        <v>6270</v>
      </c>
      <c r="G58" s="899">
        <f t="shared" si="6"/>
        <v>0</v>
      </c>
      <c r="H58" s="899">
        <f t="shared" si="7"/>
        <v>6800</v>
      </c>
      <c r="I58" s="899">
        <f t="shared" si="8"/>
        <v>0</v>
      </c>
      <c r="J58" s="899">
        <f t="shared" si="9"/>
        <v>0</v>
      </c>
      <c r="K58" s="899">
        <f t="shared" si="10"/>
        <v>0</v>
      </c>
      <c r="L58" s="891">
        <f t="shared" si="11"/>
        <v>389</v>
      </c>
      <c r="M58" s="891">
        <f t="shared" si="12"/>
        <v>0</v>
      </c>
      <c r="Z58"/>
      <c r="AA58" s="669" t="s">
        <v>270</v>
      </c>
      <c r="AB58" s="4"/>
      <c r="AC58"/>
      <c r="AD58"/>
      <c r="AE58"/>
      <c r="AF58"/>
      <c r="AG58"/>
      <c r="AH58"/>
    </row>
    <row r="59" spans="2:50" s="669" customFormat="1" ht="28.5" customHeight="1" x14ac:dyDescent="0.25">
      <c r="B59" s="957" t="s">
        <v>272</v>
      </c>
      <c r="C59" s="891">
        <f t="shared" si="13"/>
        <v>0</v>
      </c>
      <c r="D59" s="891">
        <f t="shared" si="3"/>
        <v>1238</v>
      </c>
      <c r="E59" s="899">
        <f t="shared" si="4"/>
        <v>0</v>
      </c>
      <c r="F59" s="899">
        <f t="shared" si="5"/>
        <v>0</v>
      </c>
      <c r="G59" s="899">
        <f t="shared" si="6"/>
        <v>0</v>
      </c>
      <c r="H59" s="899">
        <f t="shared" si="7"/>
        <v>0</v>
      </c>
      <c r="I59" s="899">
        <f t="shared" si="8"/>
        <v>0</v>
      </c>
      <c r="J59" s="899">
        <f t="shared" si="9"/>
        <v>0</v>
      </c>
      <c r="K59" s="899">
        <f t="shared" si="10"/>
        <v>0</v>
      </c>
      <c r="L59" s="891">
        <f t="shared" si="11"/>
        <v>0</v>
      </c>
      <c r="M59" s="891">
        <f t="shared" si="12"/>
        <v>0</v>
      </c>
      <c r="Z59"/>
      <c r="AA59" s="669" t="s">
        <v>272</v>
      </c>
      <c r="AB59" s="4"/>
      <c r="AC59"/>
      <c r="AD59"/>
      <c r="AE59"/>
      <c r="AF59"/>
      <c r="AG59"/>
      <c r="AH59"/>
    </row>
    <row r="60" spans="2:50" s="669" customFormat="1" x14ac:dyDescent="0.25">
      <c r="B60" s="902" t="s">
        <v>1046</v>
      </c>
      <c r="C60" s="891">
        <f t="shared" si="13"/>
        <v>0</v>
      </c>
      <c r="D60" s="891">
        <f t="shared" si="3"/>
        <v>0</v>
      </c>
      <c r="E60" s="899">
        <f t="shared" ref="E60:E62" si="14">SUMIFS(NFI_Household,NFI_Org,B60,NFI_Blanket_Track,"&lt;&gt;0" )</f>
        <v>0</v>
      </c>
      <c r="F60" s="899">
        <f t="shared" ref="F60:F62" si="15">SUMIFS(NFI_Household,NFI_Org,B60,NFI_Kitchen_Track,"&lt;&gt;0" )</f>
        <v>0</v>
      </c>
      <c r="G60" s="899">
        <f t="shared" ref="G60:G62" si="16">SUMIFS(NFI_Household,NFI_Org,B60,NFI_Complementary_Track,"&lt;&gt;0" )</f>
        <v>0</v>
      </c>
      <c r="H60" s="899">
        <f t="shared" si="7"/>
        <v>0</v>
      </c>
      <c r="I60" s="899">
        <f t="shared" si="8"/>
        <v>0</v>
      </c>
      <c r="J60" s="899">
        <f t="shared" si="9"/>
        <v>0</v>
      </c>
      <c r="K60" s="899">
        <f t="shared" si="10"/>
        <v>0</v>
      </c>
      <c r="L60" s="891">
        <f t="shared" si="11"/>
        <v>0</v>
      </c>
      <c r="M60" s="891">
        <f t="shared" si="12"/>
        <v>0</v>
      </c>
      <c r="Z60" s="669" t="s">
        <v>818</v>
      </c>
      <c r="AB60" s="4">
        <v>9431</v>
      </c>
      <c r="AC60"/>
      <c r="AD60"/>
      <c r="AE60"/>
      <c r="AF60"/>
      <c r="AG60"/>
      <c r="AH60"/>
    </row>
    <row r="61" spans="2:50" s="669" customFormat="1" x14ac:dyDescent="0.25">
      <c r="B61" s="997" t="s">
        <v>520</v>
      </c>
      <c r="C61" s="891">
        <f t="shared" si="13"/>
        <v>0</v>
      </c>
      <c r="D61" s="891">
        <f t="shared" si="3"/>
        <v>1784</v>
      </c>
      <c r="E61" s="899">
        <f t="shared" si="14"/>
        <v>0</v>
      </c>
      <c r="F61" s="899">
        <f t="shared" si="15"/>
        <v>0</v>
      </c>
      <c r="G61" s="899">
        <f t="shared" si="16"/>
        <v>0</v>
      </c>
      <c r="H61" s="899">
        <f t="shared" si="7"/>
        <v>0</v>
      </c>
      <c r="I61" s="899">
        <f t="shared" si="8"/>
        <v>0</v>
      </c>
      <c r="J61" s="899">
        <f t="shared" si="9"/>
        <v>0</v>
      </c>
      <c r="K61" s="899">
        <f t="shared" si="10"/>
        <v>0</v>
      </c>
      <c r="L61" s="891">
        <f t="shared" si="11"/>
        <v>0</v>
      </c>
      <c r="M61" s="891">
        <f t="shared" si="12"/>
        <v>0</v>
      </c>
      <c r="Z61" s="669" t="s">
        <v>13</v>
      </c>
      <c r="AA61" s="669" t="s">
        <v>828</v>
      </c>
      <c r="AB61" s="4"/>
      <c r="AC61"/>
      <c r="AD61"/>
      <c r="AE61"/>
      <c r="AF61"/>
      <c r="AG61"/>
      <c r="AH61"/>
    </row>
    <row r="62" spans="2:50" s="669" customFormat="1" x14ac:dyDescent="0.25">
      <c r="B62" s="902" t="s">
        <v>1129</v>
      </c>
      <c r="C62" s="891">
        <f t="shared" si="13"/>
        <v>0</v>
      </c>
      <c r="D62" s="891">
        <f t="shared" si="3"/>
        <v>0</v>
      </c>
      <c r="E62" s="899">
        <f t="shared" si="14"/>
        <v>0</v>
      </c>
      <c r="F62" s="899">
        <f t="shared" si="15"/>
        <v>0</v>
      </c>
      <c r="G62" s="899">
        <f t="shared" si="16"/>
        <v>0</v>
      </c>
      <c r="H62" s="899">
        <f t="shared" si="7"/>
        <v>0</v>
      </c>
      <c r="I62" s="899">
        <f t="shared" si="8"/>
        <v>0</v>
      </c>
      <c r="J62" s="899">
        <f t="shared" si="9"/>
        <v>0</v>
      </c>
      <c r="K62" s="899">
        <f t="shared" si="10"/>
        <v>0</v>
      </c>
      <c r="L62" s="891">
        <f t="shared" si="11"/>
        <v>0</v>
      </c>
      <c r="M62" s="891">
        <f t="shared" si="12"/>
        <v>0</v>
      </c>
      <c r="Z62"/>
      <c r="AA62" s="669" t="s">
        <v>520</v>
      </c>
      <c r="AB62" s="4">
        <v>9088</v>
      </c>
      <c r="AC62"/>
      <c r="AD62"/>
      <c r="AE62"/>
      <c r="AF62"/>
      <c r="AG62"/>
      <c r="AH62"/>
    </row>
    <row r="63" spans="2:50" s="669" customFormat="1" x14ac:dyDescent="0.25">
      <c r="B63" s="997" t="s">
        <v>1130</v>
      </c>
      <c r="C63" s="891">
        <f t="shared" si="13"/>
        <v>0</v>
      </c>
      <c r="D63" s="891">
        <f t="shared" si="3"/>
        <v>0</v>
      </c>
      <c r="E63" s="899">
        <f t="shared" ref="E63:E64" si="17">SUMIFS(NFI_Household,NFI_Org,B63,NFI_Blanket_Track,"&lt;&gt;0" )</f>
        <v>0</v>
      </c>
      <c r="F63" s="899">
        <f t="shared" ref="F63:F64" si="18">SUMIFS(NFI_Household,NFI_Org,B63,NFI_Kitchen_Track,"&lt;&gt;0" )</f>
        <v>0</v>
      </c>
      <c r="G63" s="899">
        <f t="shared" ref="G63:G64" si="19">SUMIFS(NFI_Household,NFI_Org,B63,NFI_Complementary_Track,"&lt;&gt;0" )</f>
        <v>0</v>
      </c>
      <c r="H63" s="899">
        <f t="shared" si="7"/>
        <v>0</v>
      </c>
      <c r="I63" s="899">
        <f t="shared" si="8"/>
        <v>0</v>
      </c>
      <c r="J63" s="899">
        <f t="shared" si="9"/>
        <v>0</v>
      </c>
      <c r="K63" s="899">
        <f t="shared" si="10"/>
        <v>0</v>
      </c>
      <c r="L63" s="891">
        <f t="shared" si="11"/>
        <v>0</v>
      </c>
      <c r="M63" s="891">
        <f t="shared" si="12"/>
        <v>34880</v>
      </c>
      <c r="Z63"/>
      <c r="AA63" s="669" t="s">
        <v>880</v>
      </c>
      <c r="AB63" s="4"/>
      <c r="AC63"/>
      <c r="AD63"/>
      <c r="AE63"/>
      <c r="AF63"/>
      <c r="AG63"/>
      <c r="AH63"/>
    </row>
    <row r="64" spans="2:50" s="669" customFormat="1" x14ac:dyDescent="0.25">
      <c r="B64" s="902" t="s">
        <v>282</v>
      </c>
      <c r="C64" s="891">
        <f t="shared" si="13"/>
        <v>300</v>
      </c>
      <c r="D64" s="891">
        <f t="shared" si="3"/>
        <v>0</v>
      </c>
      <c r="E64" s="899">
        <f t="shared" si="17"/>
        <v>0</v>
      </c>
      <c r="F64" s="899">
        <f t="shared" si="18"/>
        <v>300</v>
      </c>
      <c r="G64" s="899">
        <f t="shared" si="19"/>
        <v>0</v>
      </c>
      <c r="H64" s="899">
        <f t="shared" si="7"/>
        <v>300</v>
      </c>
      <c r="I64" s="899">
        <f t="shared" si="8"/>
        <v>0</v>
      </c>
      <c r="J64" s="899">
        <f t="shared" si="9"/>
        <v>0</v>
      </c>
      <c r="K64" s="899">
        <f t="shared" si="10"/>
        <v>0</v>
      </c>
      <c r="L64" s="891">
        <f t="shared" si="11"/>
        <v>300</v>
      </c>
      <c r="M64" s="891">
        <f t="shared" si="12"/>
        <v>0</v>
      </c>
      <c r="Z64"/>
      <c r="AA64" s="669" t="s">
        <v>575</v>
      </c>
      <c r="AB64" s="4"/>
      <c r="AC64"/>
      <c r="AD64"/>
      <c r="AE64"/>
      <c r="AF64"/>
      <c r="AG64"/>
      <c r="AH64"/>
    </row>
    <row r="65" spans="2:34" s="669" customFormat="1" x14ac:dyDescent="0.25">
      <c r="B65" s="901" t="s">
        <v>204</v>
      </c>
      <c r="C65" s="956">
        <f>SUM(C49:C64)</f>
        <v>6970</v>
      </c>
      <c r="D65" s="956">
        <f>SUM(D49:D64)</f>
        <v>7424</v>
      </c>
      <c r="E65" s="956">
        <f>SUM(E49:E64)</f>
        <v>4753</v>
      </c>
      <c r="F65" s="956">
        <f>SUM(F49:F64)</f>
        <v>6570</v>
      </c>
      <c r="G65" s="956">
        <f t="shared" ref="G65" si="20">SUM(G50:G64)</f>
        <v>6</v>
      </c>
      <c r="H65" s="956">
        <f t="shared" ref="H65:M65" si="21">SUM(H49:H64)</f>
        <v>7100</v>
      </c>
      <c r="I65" s="956">
        <f t="shared" si="21"/>
        <v>80</v>
      </c>
      <c r="J65" s="956">
        <f t="shared" si="21"/>
        <v>0</v>
      </c>
      <c r="K65" s="956">
        <f t="shared" si="21"/>
        <v>0</v>
      </c>
      <c r="L65" s="956">
        <f t="shared" si="21"/>
        <v>689</v>
      </c>
      <c r="M65" s="956">
        <f t="shared" si="21"/>
        <v>35630</v>
      </c>
      <c r="Z65"/>
      <c r="AA65" s="669" t="s">
        <v>473</v>
      </c>
      <c r="AB65" s="4"/>
      <c r="AC65"/>
      <c r="AD65"/>
      <c r="AE65"/>
      <c r="AF65"/>
      <c r="AG65"/>
      <c r="AH65"/>
    </row>
    <row r="66" spans="2:34" s="669" customFormat="1" x14ac:dyDescent="0.25">
      <c r="B66"/>
      <c r="E66" s="84"/>
      <c r="F66" s="84"/>
      <c r="G66" s="84"/>
      <c r="H66" s="84"/>
      <c r="I66" s="84"/>
      <c r="J66" s="84"/>
      <c r="K66" s="84"/>
      <c r="Z66"/>
      <c r="AA66" s="669" t="s">
        <v>1044</v>
      </c>
      <c r="AB66" s="4">
        <v>5620</v>
      </c>
      <c r="AC66"/>
      <c r="AD66"/>
      <c r="AE66"/>
      <c r="AF66"/>
      <c r="AG66"/>
      <c r="AH66"/>
    </row>
    <row r="67" spans="2:34" s="669" customFormat="1" x14ac:dyDescent="0.25">
      <c r="E67" s="84"/>
      <c r="F67" s="84"/>
      <c r="G67" s="84"/>
      <c r="H67" s="84"/>
      <c r="I67" s="84"/>
      <c r="J67" s="84"/>
      <c r="K67" s="84"/>
      <c r="Z67"/>
      <c r="AA67" s="669" t="s">
        <v>1025</v>
      </c>
      <c r="AB67" s="4"/>
      <c r="AC67"/>
      <c r="AD67"/>
      <c r="AE67"/>
      <c r="AF67"/>
      <c r="AG67"/>
      <c r="AH67"/>
    </row>
    <row r="68" spans="2:34" s="669" customFormat="1" x14ac:dyDescent="0.25">
      <c r="E68" s="84"/>
      <c r="F68" s="84"/>
      <c r="G68" s="84"/>
      <c r="H68" s="84"/>
      <c r="I68" s="84"/>
      <c r="J68" s="84"/>
      <c r="K68" s="84"/>
      <c r="Z68"/>
      <c r="AA68" s="669" t="s">
        <v>270</v>
      </c>
      <c r="AB68" s="4">
        <v>27690</v>
      </c>
      <c r="AC68"/>
      <c r="AD68"/>
      <c r="AE68"/>
      <c r="AF68"/>
      <c r="AG68"/>
      <c r="AH68"/>
    </row>
    <row r="69" spans="2:34" s="669" customFormat="1" x14ac:dyDescent="0.25">
      <c r="E69" s="84"/>
      <c r="F69" s="84"/>
      <c r="G69" s="84"/>
      <c r="H69" s="84"/>
      <c r="I69" s="84"/>
      <c r="J69" s="84"/>
      <c r="K69" s="84"/>
      <c r="Z69"/>
      <c r="AA69" s="669" t="s">
        <v>272</v>
      </c>
      <c r="AB69" s="4">
        <v>10771</v>
      </c>
      <c r="AC69"/>
      <c r="AD69"/>
      <c r="AE69"/>
      <c r="AF69"/>
      <c r="AG69"/>
      <c r="AH69"/>
    </row>
    <row r="70" spans="2:34" s="669" customFormat="1" x14ac:dyDescent="0.25">
      <c r="E70" s="84"/>
      <c r="F70" s="84"/>
      <c r="G70" s="84"/>
      <c r="H70" s="84"/>
      <c r="I70" s="84"/>
      <c r="J70" s="84"/>
      <c r="K70" s="84"/>
      <c r="Z70"/>
      <c r="AA70" s="669" t="s">
        <v>1046</v>
      </c>
      <c r="AB70" s="4">
        <v>2070</v>
      </c>
      <c r="AC70"/>
      <c r="AD70"/>
      <c r="AE70"/>
      <c r="AF70"/>
      <c r="AG70"/>
      <c r="AH70"/>
    </row>
    <row r="71" spans="2:34" s="669" customFormat="1" x14ac:dyDescent="0.25">
      <c r="E71" s="84"/>
      <c r="F71" s="84"/>
      <c r="G71" s="84"/>
      <c r="H71" s="84"/>
      <c r="I71" s="84"/>
      <c r="J71" s="84"/>
      <c r="K71" s="84"/>
      <c r="Z71" s="669" t="s">
        <v>598</v>
      </c>
      <c r="AB71" s="4">
        <v>55239</v>
      </c>
      <c r="AC71"/>
      <c r="AD71"/>
      <c r="AE71"/>
      <c r="AF71"/>
      <c r="AG71"/>
      <c r="AH71"/>
    </row>
    <row r="72" spans="2:34" s="669" customFormat="1" x14ac:dyDescent="0.25">
      <c r="E72" s="84"/>
      <c r="F72" s="84"/>
      <c r="G72" s="84"/>
      <c r="H72" s="84"/>
      <c r="I72" s="84"/>
      <c r="J72" s="84"/>
      <c r="K72" s="84"/>
      <c r="Z72" s="669" t="s">
        <v>16</v>
      </c>
      <c r="AA72" s="669" t="s">
        <v>270</v>
      </c>
      <c r="AB72" s="4"/>
      <c r="AC72"/>
      <c r="AD72"/>
      <c r="AE72"/>
      <c r="AF72"/>
      <c r="AG72"/>
      <c r="AH72"/>
    </row>
    <row r="73" spans="2:34" s="669" customFormat="1" x14ac:dyDescent="0.25">
      <c r="E73" s="84"/>
      <c r="F73" s="84"/>
      <c r="G73" s="84"/>
      <c r="H73" s="84"/>
      <c r="I73" s="84"/>
      <c r="J73" s="84"/>
      <c r="K73" s="84"/>
      <c r="Z73"/>
      <c r="AA73" s="669" t="s">
        <v>272</v>
      </c>
      <c r="AB73" s="4"/>
      <c r="AC73"/>
      <c r="AD73"/>
      <c r="AE73"/>
      <c r="AF73"/>
      <c r="AG73"/>
      <c r="AH73"/>
    </row>
    <row r="74" spans="2:34" s="669" customFormat="1" x14ac:dyDescent="0.25">
      <c r="E74" s="84"/>
      <c r="F74" s="84"/>
      <c r="G74" s="84"/>
      <c r="H74" s="84"/>
      <c r="I74" s="84"/>
      <c r="J74" s="84"/>
      <c r="K74" s="84"/>
      <c r="Z74" s="669" t="s">
        <v>599</v>
      </c>
      <c r="AB74" s="4"/>
      <c r="AC74"/>
      <c r="AD74"/>
      <c r="AE74"/>
      <c r="AF74"/>
      <c r="AG74"/>
      <c r="AH74"/>
    </row>
    <row r="75" spans="2:34" s="669" customFormat="1" x14ac:dyDescent="0.25">
      <c r="E75" s="84"/>
      <c r="F75" s="84"/>
      <c r="G75" s="84"/>
      <c r="H75" s="84"/>
      <c r="I75" s="84"/>
      <c r="J75" s="84"/>
      <c r="K75" s="84"/>
      <c r="Z75" s="669" t="s">
        <v>15</v>
      </c>
      <c r="AA75" s="669" t="s">
        <v>913</v>
      </c>
      <c r="AB75" s="4">
        <v>1485</v>
      </c>
      <c r="AC75"/>
      <c r="AD75"/>
      <c r="AE75"/>
      <c r="AF75"/>
      <c r="AG75"/>
      <c r="AH75"/>
    </row>
    <row r="76" spans="2:34" s="669" customFormat="1" x14ac:dyDescent="0.25">
      <c r="E76" s="84"/>
      <c r="F76" s="84"/>
      <c r="G76" s="84"/>
      <c r="H76" s="84"/>
      <c r="I76" s="84"/>
      <c r="J76" s="84"/>
      <c r="K76" s="84"/>
      <c r="Z76"/>
      <c r="AA76" s="669" t="s">
        <v>270</v>
      </c>
      <c r="AB76" s="4">
        <v>4443</v>
      </c>
      <c r="AC76"/>
      <c r="AD76"/>
      <c r="AE76"/>
      <c r="AF76"/>
      <c r="AG76"/>
      <c r="AH76"/>
    </row>
    <row r="77" spans="2:34" s="669" customFormat="1" x14ac:dyDescent="0.25">
      <c r="E77" s="84"/>
      <c r="F77" s="84"/>
      <c r="G77" s="84"/>
      <c r="H77" s="84"/>
      <c r="I77" s="84"/>
      <c r="J77" s="84"/>
      <c r="K77" s="84"/>
      <c r="Z77" s="669" t="s">
        <v>600</v>
      </c>
      <c r="AB77" s="4">
        <v>5928</v>
      </c>
      <c r="AC77"/>
      <c r="AD77"/>
      <c r="AE77"/>
      <c r="AF77"/>
      <c r="AG77"/>
      <c r="AH77"/>
    </row>
    <row r="78" spans="2:34" s="669" customFormat="1" x14ac:dyDescent="0.25">
      <c r="E78" s="84"/>
      <c r="F78" s="84"/>
      <c r="G78" s="84"/>
      <c r="H78" s="84"/>
      <c r="I78" s="84"/>
      <c r="J78" s="84"/>
      <c r="K78" s="84"/>
      <c r="Z78" s="669" t="s">
        <v>17</v>
      </c>
      <c r="AA78" s="669" t="s">
        <v>475</v>
      </c>
      <c r="AB78" s="4"/>
      <c r="AC78"/>
      <c r="AD78"/>
      <c r="AE78"/>
      <c r="AF78"/>
      <c r="AG78"/>
      <c r="AH78"/>
    </row>
    <row r="79" spans="2:34" s="669" customFormat="1" x14ac:dyDescent="0.25">
      <c r="E79" s="84"/>
      <c r="F79" s="84"/>
      <c r="G79" s="84"/>
      <c r="H79" s="84"/>
      <c r="I79" s="84"/>
      <c r="J79" s="84"/>
      <c r="K79" s="84"/>
      <c r="Z79"/>
      <c r="AA79" s="669" t="s">
        <v>476</v>
      </c>
      <c r="AB79" s="4">
        <v>8431.5</v>
      </c>
      <c r="AC79"/>
      <c r="AD79"/>
      <c r="AE79"/>
      <c r="AF79"/>
      <c r="AG79"/>
      <c r="AH79"/>
    </row>
    <row r="80" spans="2:34" s="669" customFormat="1" x14ac:dyDescent="0.25">
      <c r="E80" s="84"/>
      <c r="F80" s="84"/>
      <c r="G80" s="84"/>
      <c r="H80" s="84"/>
      <c r="I80" s="84"/>
      <c r="J80" s="84"/>
      <c r="K80" s="84"/>
      <c r="Z80"/>
      <c r="AA80" s="669" t="s">
        <v>273</v>
      </c>
      <c r="AB80" s="4">
        <v>29552</v>
      </c>
      <c r="AC80"/>
      <c r="AD80"/>
      <c r="AE80"/>
      <c r="AF80"/>
      <c r="AG80"/>
      <c r="AH80"/>
    </row>
    <row r="81" spans="5:34" s="669" customFormat="1" x14ac:dyDescent="0.25">
      <c r="E81" s="84"/>
      <c r="F81" s="84"/>
      <c r="G81" s="84"/>
      <c r="H81" s="84"/>
      <c r="I81" s="84"/>
      <c r="J81" s="84"/>
      <c r="K81" s="84"/>
      <c r="Z81"/>
      <c r="AA81" s="669" t="s">
        <v>1037</v>
      </c>
      <c r="AB81" s="4">
        <v>1925</v>
      </c>
      <c r="AC81"/>
      <c r="AD81"/>
      <c r="AE81"/>
      <c r="AF81"/>
      <c r="AG81"/>
      <c r="AH81"/>
    </row>
    <row r="82" spans="5:34" s="669" customFormat="1" x14ac:dyDescent="0.25">
      <c r="E82" s="84"/>
      <c r="F82" s="84"/>
      <c r="G82" s="84"/>
      <c r="H82" s="84"/>
      <c r="I82" s="84"/>
      <c r="J82" s="84"/>
      <c r="K82" s="84"/>
      <c r="Z82"/>
      <c r="AA82" s="669" t="s">
        <v>274</v>
      </c>
      <c r="AB82" s="4"/>
      <c r="AC82"/>
      <c r="AD82"/>
      <c r="AE82"/>
      <c r="AF82"/>
      <c r="AG82"/>
      <c r="AH82"/>
    </row>
    <row r="83" spans="5:34" s="669" customFormat="1" x14ac:dyDescent="0.25">
      <c r="E83" s="84"/>
      <c r="F83" s="84"/>
      <c r="G83" s="84"/>
      <c r="H83" s="84"/>
      <c r="I83" s="84"/>
      <c r="J83" s="84"/>
      <c r="K83" s="84"/>
      <c r="Z83"/>
      <c r="AA83" s="669" t="s">
        <v>575</v>
      </c>
      <c r="AB83" s="4"/>
      <c r="AC83"/>
      <c r="AD83"/>
      <c r="AE83"/>
      <c r="AF83"/>
      <c r="AG83"/>
      <c r="AH83"/>
    </row>
    <row r="84" spans="5:34" s="669" customFormat="1" x14ac:dyDescent="0.25">
      <c r="E84" s="84"/>
      <c r="F84" s="84"/>
      <c r="G84" s="84"/>
      <c r="H84" s="84"/>
      <c r="I84" s="84"/>
      <c r="J84" s="84"/>
      <c r="K84" s="84"/>
      <c r="Z84"/>
      <c r="AA84" s="669" t="s">
        <v>280</v>
      </c>
      <c r="AB84" s="4">
        <v>2009</v>
      </c>
      <c r="AC84"/>
      <c r="AD84"/>
      <c r="AE84"/>
      <c r="AF84"/>
      <c r="AG84"/>
      <c r="AH84"/>
    </row>
    <row r="85" spans="5:34" s="669" customFormat="1" x14ac:dyDescent="0.25">
      <c r="E85" s="84"/>
      <c r="F85" s="84"/>
      <c r="G85" s="84"/>
      <c r="H85" s="84"/>
      <c r="I85" s="84"/>
      <c r="J85" s="84"/>
      <c r="K85" s="84"/>
      <c r="Z85"/>
      <c r="AA85" s="669" t="s">
        <v>279</v>
      </c>
      <c r="AB85" s="4"/>
      <c r="AC85"/>
      <c r="AD85"/>
      <c r="AE85"/>
      <c r="AF85"/>
      <c r="AG85"/>
      <c r="AH85"/>
    </row>
    <row r="86" spans="5:34" s="669" customFormat="1" x14ac:dyDescent="0.25">
      <c r="E86" s="84"/>
      <c r="F86" s="84"/>
      <c r="G86" s="84"/>
      <c r="H86" s="84"/>
      <c r="I86" s="84"/>
      <c r="J86" s="84"/>
      <c r="K86" s="84"/>
      <c r="Z86"/>
      <c r="AA86" s="669" t="s">
        <v>574</v>
      </c>
      <c r="AB86" s="4">
        <v>3987</v>
      </c>
      <c r="AC86"/>
      <c r="AD86"/>
      <c r="AE86"/>
      <c r="AF86"/>
      <c r="AG86"/>
      <c r="AH86"/>
    </row>
    <row r="87" spans="5:34" s="669" customFormat="1" x14ac:dyDescent="0.25">
      <c r="E87" s="84"/>
      <c r="F87" s="84"/>
      <c r="G87" s="84"/>
      <c r="H87" s="84"/>
      <c r="I87" s="84"/>
      <c r="J87" s="84"/>
      <c r="K87" s="84"/>
      <c r="Z87"/>
      <c r="AA87" s="669" t="s">
        <v>271</v>
      </c>
      <c r="AB87" s="4"/>
      <c r="AC87"/>
      <c r="AD87"/>
      <c r="AE87"/>
      <c r="AF87"/>
      <c r="AG87"/>
      <c r="AH87"/>
    </row>
    <row r="88" spans="5:34" s="669" customFormat="1" x14ac:dyDescent="0.25">
      <c r="E88" s="84"/>
      <c r="F88" s="84"/>
      <c r="G88" s="84"/>
      <c r="H88" s="84"/>
      <c r="I88" s="84"/>
      <c r="J88" s="84"/>
      <c r="K88" s="84"/>
      <c r="Z88"/>
      <c r="AA88" s="669" t="s">
        <v>913</v>
      </c>
      <c r="AB88" s="4">
        <v>4545</v>
      </c>
      <c r="AC88"/>
      <c r="AD88"/>
      <c r="AE88"/>
      <c r="AF88"/>
      <c r="AG88"/>
      <c r="AH88"/>
    </row>
    <row r="89" spans="5:34" s="669" customFormat="1" x14ac:dyDescent="0.25">
      <c r="E89" s="84"/>
      <c r="F89" s="84"/>
      <c r="G89" s="84"/>
      <c r="H89" s="84"/>
      <c r="I89" s="84"/>
      <c r="J89" s="84"/>
      <c r="K89" s="84"/>
      <c r="Z89"/>
      <c r="AA89" s="669" t="s">
        <v>1130</v>
      </c>
      <c r="AB89" s="4">
        <v>187535</v>
      </c>
      <c r="AC89"/>
      <c r="AD89"/>
      <c r="AE89"/>
      <c r="AF89"/>
      <c r="AG89"/>
      <c r="AH89"/>
    </row>
    <row r="90" spans="5:34" s="669" customFormat="1" x14ac:dyDescent="0.25">
      <c r="E90" s="84"/>
      <c r="F90" s="84"/>
      <c r="G90" s="84"/>
      <c r="H90" s="84"/>
      <c r="I90" s="84"/>
      <c r="J90" s="84"/>
      <c r="K90" s="84"/>
      <c r="Z90"/>
      <c r="AA90" s="669" t="s">
        <v>473</v>
      </c>
      <c r="AB90" s="4"/>
      <c r="AC90"/>
      <c r="AD90"/>
      <c r="AE90"/>
      <c r="AF90"/>
      <c r="AG90"/>
      <c r="AH90"/>
    </row>
    <row r="91" spans="5:34" s="669" customFormat="1" x14ac:dyDescent="0.25">
      <c r="E91" s="84"/>
      <c r="F91" s="84"/>
      <c r="G91" s="84"/>
      <c r="H91" s="84"/>
      <c r="I91" s="84"/>
      <c r="J91" s="84"/>
      <c r="K91" s="84"/>
      <c r="Z91"/>
      <c r="AA91" s="669" t="s">
        <v>1044</v>
      </c>
      <c r="AB91" s="4">
        <v>80772.5</v>
      </c>
      <c r="AC91"/>
      <c r="AD91"/>
      <c r="AE91"/>
      <c r="AF91"/>
      <c r="AG91"/>
      <c r="AH91"/>
    </row>
    <row r="92" spans="5:34" s="669" customFormat="1" x14ac:dyDescent="0.25">
      <c r="E92" s="84"/>
      <c r="F92" s="84"/>
      <c r="G92" s="84"/>
      <c r="H92" s="84"/>
      <c r="I92" s="84"/>
      <c r="J92" s="84"/>
      <c r="K92" s="84"/>
      <c r="Z92"/>
      <c r="AA92" s="669" t="s">
        <v>1025</v>
      </c>
      <c r="AB92" s="4">
        <v>69099</v>
      </c>
      <c r="AC92"/>
      <c r="AD92"/>
      <c r="AE92"/>
      <c r="AF92"/>
      <c r="AG92"/>
      <c r="AH92"/>
    </row>
    <row r="93" spans="5:34" s="669" customFormat="1" x14ac:dyDescent="0.25">
      <c r="E93" s="84"/>
      <c r="F93" s="84"/>
      <c r="G93" s="84"/>
      <c r="H93" s="84"/>
      <c r="I93" s="84"/>
      <c r="J93" s="84"/>
      <c r="K93" s="84"/>
      <c r="Z93"/>
      <c r="AA93" s="669" t="s">
        <v>1129</v>
      </c>
      <c r="AB93" s="4">
        <v>4471</v>
      </c>
      <c r="AC93"/>
      <c r="AD93"/>
      <c r="AE93"/>
      <c r="AF93"/>
      <c r="AG93"/>
      <c r="AH93"/>
    </row>
    <row r="94" spans="5:34" s="669" customFormat="1" x14ac:dyDescent="0.25">
      <c r="E94" s="84"/>
      <c r="F94" s="84"/>
      <c r="G94" s="84"/>
      <c r="H94" s="84"/>
      <c r="I94" s="84"/>
      <c r="J94" s="84"/>
      <c r="K94" s="84"/>
      <c r="Z94"/>
      <c r="AA94" s="669" t="s">
        <v>270</v>
      </c>
      <c r="AB94" s="4">
        <v>46462</v>
      </c>
      <c r="AC94"/>
      <c r="AD94"/>
      <c r="AE94"/>
      <c r="AF94"/>
      <c r="AG94"/>
      <c r="AH94"/>
    </row>
    <row r="95" spans="5:34" s="669" customFormat="1" x14ac:dyDescent="0.25">
      <c r="E95" s="84"/>
      <c r="F95" s="84"/>
      <c r="G95" s="84"/>
      <c r="H95" s="84"/>
      <c r="I95" s="84"/>
      <c r="J95" s="84"/>
      <c r="K95" s="84"/>
      <c r="Z95"/>
      <c r="AA95" s="669" t="s">
        <v>1046</v>
      </c>
      <c r="AB95" s="4">
        <v>5033</v>
      </c>
      <c r="AC95"/>
      <c r="AD95"/>
      <c r="AE95"/>
      <c r="AF95"/>
      <c r="AG95"/>
      <c r="AH95"/>
    </row>
    <row r="96" spans="5:34" s="669" customFormat="1" x14ac:dyDescent="0.25">
      <c r="E96" s="84"/>
      <c r="F96" s="84"/>
      <c r="G96" s="84"/>
      <c r="H96" s="84"/>
      <c r="I96" s="84"/>
      <c r="J96" s="84"/>
      <c r="K96" s="84"/>
      <c r="Z96"/>
      <c r="AA96" s="669" t="s">
        <v>282</v>
      </c>
      <c r="AB96" s="4">
        <v>1500</v>
      </c>
      <c r="AC96"/>
      <c r="AD96"/>
      <c r="AE96"/>
      <c r="AF96"/>
      <c r="AG96"/>
      <c r="AH96"/>
    </row>
    <row r="97" spans="2:34" s="669" customFormat="1" x14ac:dyDescent="0.25">
      <c r="E97" s="84"/>
      <c r="F97" s="84"/>
      <c r="G97" s="84"/>
      <c r="H97" s="84"/>
      <c r="I97" s="84"/>
      <c r="J97" s="84"/>
      <c r="K97" s="84"/>
      <c r="Z97" s="669" t="s">
        <v>596</v>
      </c>
      <c r="AB97" s="4">
        <v>445322</v>
      </c>
      <c r="AC97"/>
      <c r="AD97"/>
      <c r="AE97"/>
      <c r="AF97"/>
      <c r="AG97"/>
      <c r="AH97"/>
    </row>
    <row r="98" spans="2:34" s="669" customFormat="1" x14ac:dyDescent="0.25">
      <c r="E98" s="84"/>
      <c r="F98" s="84"/>
      <c r="G98" s="84"/>
      <c r="H98" s="84"/>
      <c r="I98" s="84"/>
      <c r="J98" s="84"/>
      <c r="K98" s="84"/>
      <c r="Z98" s="669" t="s">
        <v>938</v>
      </c>
      <c r="AA98" s="669" t="s">
        <v>938</v>
      </c>
      <c r="AB98" s="4"/>
      <c r="AC98"/>
      <c r="AD98"/>
      <c r="AE98"/>
      <c r="AF98"/>
      <c r="AG98"/>
      <c r="AH98"/>
    </row>
    <row r="99" spans="2:34" s="669" customFormat="1" x14ac:dyDescent="0.25">
      <c r="E99" s="84"/>
      <c r="F99" s="84"/>
      <c r="G99" s="84"/>
      <c r="H99" s="84"/>
      <c r="I99" s="84"/>
      <c r="J99" s="84"/>
      <c r="K99" s="84"/>
      <c r="Z99" s="669" t="s">
        <v>939</v>
      </c>
      <c r="AB99" s="4"/>
      <c r="AC99"/>
      <c r="AD99"/>
      <c r="AE99"/>
      <c r="AF99"/>
      <c r="AG99"/>
      <c r="AH99"/>
    </row>
    <row r="100" spans="2:34" s="669" customFormat="1" x14ac:dyDescent="0.25">
      <c r="E100" s="84"/>
      <c r="F100" s="84"/>
      <c r="G100" s="84"/>
      <c r="H100" s="84"/>
      <c r="I100" s="84"/>
      <c r="J100" s="84"/>
      <c r="K100" s="84"/>
      <c r="Z100" s="669" t="s">
        <v>204</v>
      </c>
      <c r="AA100"/>
      <c r="AB100" s="4">
        <v>516420</v>
      </c>
      <c r="AC100"/>
      <c r="AD100"/>
      <c r="AE100"/>
      <c r="AF100"/>
      <c r="AG100"/>
      <c r="AH100"/>
    </row>
    <row r="101" spans="2:34" s="669" customFormat="1" x14ac:dyDescent="0.25">
      <c r="E101" s="84"/>
      <c r="F101" s="84"/>
      <c r="G101" s="84"/>
      <c r="H101" s="84"/>
      <c r="I101" s="84"/>
      <c r="J101" s="84"/>
      <c r="K101" s="84"/>
      <c r="Z101"/>
      <c r="AA101"/>
      <c r="AB101"/>
      <c r="AC101"/>
      <c r="AD101"/>
      <c r="AE101"/>
      <c r="AF101"/>
      <c r="AG101"/>
      <c r="AH101"/>
    </row>
    <row r="102" spans="2:34" s="669" customFormat="1" x14ac:dyDescent="0.25">
      <c r="E102" s="84"/>
      <c r="F102" s="84"/>
      <c r="G102" s="84"/>
      <c r="H102" s="84"/>
      <c r="I102" s="84"/>
      <c r="J102" s="84"/>
      <c r="K102" s="84"/>
      <c r="Z102"/>
      <c r="AA102"/>
      <c r="AB102"/>
      <c r="AC102"/>
      <c r="AD102"/>
      <c r="AE102"/>
      <c r="AF102"/>
      <c r="AG102"/>
      <c r="AH102"/>
    </row>
    <row r="103" spans="2:34" s="669" customFormat="1" x14ac:dyDescent="0.25">
      <c r="E103" s="84"/>
      <c r="F103" s="84"/>
      <c r="G103" s="84"/>
      <c r="H103" s="84"/>
      <c r="I103" s="84"/>
      <c r="J103" s="84"/>
      <c r="K103" s="84"/>
      <c r="Z103"/>
      <c r="AA103"/>
      <c r="AB103"/>
      <c r="AC103"/>
      <c r="AD103"/>
      <c r="AE103"/>
      <c r="AF103"/>
      <c r="AG103"/>
      <c r="AH103"/>
    </row>
    <row r="104" spans="2:34" s="669" customFormat="1" x14ac:dyDescent="0.25">
      <c r="E104" s="84"/>
      <c r="F104" s="84"/>
      <c r="G104" s="84"/>
      <c r="H104" s="84"/>
      <c r="I104" s="84"/>
      <c r="J104" s="84"/>
      <c r="K104" s="84"/>
      <c r="Z104"/>
      <c r="AA104"/>
      <c r="AB104"/>
      <c r="AC104"/>
      <c r="AD104"/>
      <c r="AE104"/>
      <c r="AF104"/>
      <c r="AG104"/>
      <c r="AH104"/>
    </row>
    <row r="105" spans="2:34" s="669" customFormat="1" x14ac:dyDescent="0.25">
      <c r="E105" s="84"/>
      <c r="F105" s="84"/>
      <c r="G105" s="84"/>
      <c r="H105" s="84"/>
      <c r="I105" s="84"/>
      <c r="J105" s="84"/>
      <c r="K105" s="84"/>
      <c r="Z105"/>
      <c r="AA105"/>
      <c r="AB105"/>
      <c r="AC105"/>
      <c r="AD105"/>
      <c r="AE105"/>
      <c r="AF105"/>
      <c r="AG105"/>
      <c r="AH105"/>
    </row>
    <row r="106" spans="2:34" s="669" customFormat="1" x14ac:dyDescent="0.25">
      <c r="B106"/>
      <c r="C106"/>
      <c r="D106"/>
      <c r="E106" s="84"/>
      <c r="F106" s="84"/>
      <c r="G106" s="84"/>
      <c r="H106" s="84"/>
      <c r="I106" s="84"/>
      <c r="J106" s="84"/>
      <c r="K106" s="84"/>
      <c r="Z106"/>
      <c r="AA106"/>
      <c r="AB106"/>
      <c r="AC106"/>
      <c r="AD106"/>
      <c r="AE106"/>
      <c r="AF106"/>
      <c r="AG106"/>
      <c r="AH106"/>
    </row>
    <row r="107" spans="2:34" s="669" customFormat="1" x14ac:dyDescent="0.25">
      <c r="B107"/>
      <c r="C107"/>
      <c r="D107"/>
      <c r="E107" s="84"/>
      <c r="F107" s="84"/>
      <c r="G107" s="84"/>
      <c r="H107" s="84"/>
      <c r="I107" s="84"/>
      <c r="J107" s="84"/>
      <c r="K107" s="84"/>
      <c r="Z107"/>
      <c r="AA107"/>
      <c r="AB107"/>
      <c r="AC107"/>
      <c r="AD107"/>
      <c r="AE107"/>
      <c r="AF107"/>
      <c r="AG107"/>
      <c r="AH107"/>
    </row>
    <row r="108" spans="2:34" s="669" customFormat="1" x14ac:dyDescent="0.25">
      <c r="B108"/>
      <c r="C108"/>
      <c r="D108"/>
      <c r="E108" s="84"/>
      <c r="F108" s="84"/>
      <c r="G108" s="84"/>
      <c r="H108" s="84"/>
      <c r="I108" s="84"/>
      <c r="J108" s="84"/>
      <c r="K108" s="84"/>
      <c r="Z108"/>
      <c r="AA108"/>
      <c r="AB108"/>
      <c r="AC108"/>
      <c r="AD108"/>
      <c r="AE108"/>
      <c r="AF108"/>
      <c r="AG108"/>
      <c r="AH108"/>
    </row>
    <row r="109" spans="2:34" s="669" customFormat="1" x14ac:dyDescent="0.25">
      <c r="B109"/>
      <c r="E109" s="84"/>
      <c r="F109" s="84"/>
      <c r="G109" s="84"/>
      <c r="H109" s="84"/>
      <c r="I109" s="84"/>
      <c r="J109" s="84"/>
      <c r="K109" s="84"/>
      <c r="Z109"/>
      <c r="AA109"/>
      <c r="AB109"/>
      <c r="AC109"/>
      <c r="AD109"/>
      <c r="AE109"/>
      <c r="AF109"/>
      <c r="AG109"/>
      <c r="AH109"/>
    </row>
    <row r="110" spans="2:34" s="669" customFormat="1" x14ac:dyDescent="0.25">
      <c r="B110"/>
      <c r="E110" s="84"/>
      <c r="F110" s="84"/>
      <c r="G110" s="84"/>
      <c r="H110" s="84"/>
      <c r="I110" s="84"/>
      <c r="J110" s="84"/>
      <c r="K110" s="84"/>
      <c r="Z110"/>
      <c r="AA110"/>
      <c r="AB110"/>
      <c r="AC110"/>
      <c r="AD110"/>
      <c r="AE110"/>
      <c r="AF110"/>
      <c r="AG110"/>
      <c r="AH110"/>
    </row>
    <row r="111" spans="2:34" s="669" customFormat="1" x14ac:dyDescent="0.25">
      <c r="B111"/>
      <c r="E111" s="84"/>
      <c r="F111" s="84"/>
      <c r="G111" s="84"/>
      <c r="H111" s="84"/>
      <c r="I111" s="84"/>
      <c r="J111" s="84"/>
      <c r="K111" s="84"/>
      <c r="Z111"/>
      <c r="AA111"/>
      <c r="AB111"/>
      <c r="AC111"/>
      <c r="AD111"/>
      <c r="AE111"/>
      <c r="AF111"/>
      <c r="AG111"/>
      <c r="AH111"/>
    </row>
    <row r="112" spans="2:34" s="669" customFormat="1" x14ac:dyDescent="0.25">
      <c r="B112"/>
      <c r="C112"/>
      <c r="D112"/>
      <c r="E112" s="84"/>
      <c r="F112" s="84"/>
      <c r="G112" s="84"/>
      <c r="H112" s="84"/>
      <c r="I112" s="84"/>
      <c r="J112" s="84"/>
      <c r="K112" s="84"/>
      <c r="Z112"/>
      <c r="AA112"/>
      <c r="AB112"/>
      <c r="AC112"/>
      <c r="AD112"/>
      <c r="AE112"/>
      <c r="AF112"/>
      <c r="AG112"/>
      <c r="AH112"/>
    </row>
    <row r="113" spans="2:34" s="669" customFormat="1" x14ac:dyDescent="0.25">
      <c r="B113"/>
      <c r="C113"/>
      <c r="D113"/>
      <c r="E113" s="84"/>
      <c r="F113" s="84"/>
      <c r="G113" s="84"/>
      <c r="H113" s="84"/>
      <c r="I113" s="84"/>
      <c r="J113" s="84"/>
      <c r="K113" s="84"/>
      <c r="Z113"/>
      <c r="AA113"/>
      <c r="AB113"/>
      <c r="AC113"/>
      <c r="AD113"/>
      <c r="AE113"/>
      <c r="AF113"/>
      <c r="AG113"/>
      <c r="AH113"/>
    </row>
    <row r="116" spans="2:34" x14ac:dyDescent="0.25">
      <c r="B116" s="39" t="s">
        <v>748</v>
      </c>
      <c r="C116" s="669" t="s">
        <v>718</v>
      </c>
    </row>
    <row r="118" spans="2:34" x14ac:dyDescent="0.25">
      <c r="B118" s="39" t="s">
        <v>203</v>
      </c>
      <c r="C118" t="s">
        <v>1115</v>
      </c>
    </row>
    <row r="119" spans="2:34" x14ac:dyDescent="0.25">
      <c r="B119" s="20" t="s">
        <v>14</v>
      </c>
      <c r="C119" s="669">
        <f>SUMIFS(Camplist_Popl,Camplist_Township,'NFI Distribution by 12 Months'!$B119,CampList_Status,"Open")</f>
        <v>546</v>
      </c>
    </row>
    <row r="120" spans="2:34" x14ac:dyDescent="0.25">
      <c r="B120" s="20" t="s">
        <v>817</v>
      </c>
      <c r="C120" s="669">
        <f>SUMIFS(Camplist_Popl,Camplist_Township,'NFI Distribution by 12 Months'!$B120,CampList_Status,"Open")</f>
        <v>2606</v>
      </c>
    </row>
    <row r="121" spans="2:34" x14ac:dyDescent="0.25">
      <c r="B121" s="20" t="s">
        <v>13</v>
      </c>
      <c r="C121" s="669">
        <f>SUMIFS(Camplist_Popl,Camplist_Township,'NFI Distribution by 12 Months'!$B121,CampList_Status,"Open")</f>
        <v>21825</v>
      </c>
    </row>
    <row r="122" spans="2:34" x14ac:dyDescent="0.25">
      <c r="B122" s="20" t="s">
        <v>15</v>
      </c>
      <c r="C122" s="669">
        <f>SUMIFS(Camplist_Popl,Camplist_Township,'NFI Distribution by 12 Months'!$B122,CampList_Status,"Open")</f>
        <v>0</v>
      </c>
    </row>
    <row r="123" spans="2:34" x14ac:dyDescent="0.25">
      <c r="B123" s="20" t="s">
        <v>17</v>
      </c>
      <c r="C123" s="669">
        <f>SUMIFS(Camplist_Popl,Camplist_Township,'NFI Distribution by 12 Months'!$B123,CampList_Status,"Open")</f>
        <v>101547</v>
      </c>
    </row>
    <row r="124" spans="2:34" x14ac:dyDescent="0.25">
      <c r="B124" s="20" t="s">
        <v>204</v>
      </c>
      <c r="C124" s="15">
        <f>SUM(C119:C123)</f>
        <v>126524</v>
      </c>
    </row>
    <row r="130" spans="2:13" x14ac:dyDescent="0.25">
      <c r="C130" s="854" t="s">
        <v>1103</v>
      </c>
      <c r="D130" s="854" t="s">
        <v>1104</v>
      </c>
      <c r="E130" s="854" t="s">
        <v>1105</v>
      </c>
      <c r="F130" s="854" t="s">
        <v>1106</v>
      </c>
      <c r="G130" s="854" t="s">
        <v>1107</v>
      </c>
      <c r="H130" s="854" t="s">
        <v>1108</v>
      </c>
      <c r="I130" s="854" t="s">
        <v>1035</v>
      </c>
      <c r="J130" s="854" t="s">
        <v>1034</v>
      </c>
      <c r="K130" s="854" t="s">
        <v>1033</v>
      </c>
      <c r="L130" s="1015" t="s">
        <v>1054</v>
      </c>
      <c r="M130" s="1016" t="s">
        <v>1133</v>
      </c>
    </row>
    <row r="131" spans="2:13" x14ac:dyDescent="0.25">
      <c r="B131" s="857" t="s">
        <v>204</v>
      </c>
      <c r="C131" s="1001">
        <f>GETPIVOTDATA("Mosquito net  ",$B$6)</f>
        <v>11814</v>
      </c>
      <c r="D131" s="1001">
        <f>GETPIVOTDATA("Tarpaulin ",$B$6)</f>
        <v>7784</v>
      </c>
      <c r="E131" s="1001">
        <f>GETPIVOTDATA("Blanket ",$B$6)</f>
        <v>9427</v>
      </c>
      <c r="F131" s="1001">
        <f>GETPIVOTDATA("Kitchen Set ",$B$6)</f>
        <v>6593</v>
      </c>
      <c r="G131" s="1001">
        <f>GETPIVOTDATA("Complementary Kit ",$B$6)</f>
        <v>6</v>
      </c>
      <c r="H131" s="1001">
        <f>GETPIVOTDATA("Plastic  Mat ",$B$6)</f>
        <v>30237.5</v>
      </c>
      <c r="I131" s="1001">
        <f>GETPIVOTDATA("Adult Clothes ",$B$6)</f>
        <v>560</v>
      </c>
      <c r="J131" s="1001">
        <f>GETPIVOTDATA("Children Clothes ",$B$6)</f>
        <v>0</v>
      </c>
      <c r="K131" s="1001">
        <f>GETPIVOTDATA("Sewing Kit ",$B$6)</f>
        <v>0</v>
      </c>
      <c r="L131" s="1001">
        <f>GETPIVOTDATA("Solar Lantern ",$B$6)</f>
        <v>689</v>
      </c>
      <c r="M131" s="1001">
        <f>GETPIVOTDATA("NFI Core Kit ",$B$6)</f>
        <v>37247</v>
      </c>
    </row>
  </sheetData>
  <mergeCells count="13">
    <mergeCell ref="D46:M46"/>
    <mergeCell ref="B2:I2"/>
    <mergeCell ref="B3:I3"/>
    <mergeCell ref="B15:B17"/>
    <mergeCell ref="C15:M15"/>
    <mergeCell ref="C5:M5"/>
    <mergeCell ref="C26:M26"/>
    <mergeCell ref="AC24:AN24"/>
    <mergeCell ref="AB24:AB26"/>
    <mergeCell ref="AA24:AA26"/>
    <mergeCell ref="Z24:Z26"/>
    <mergeCell ref="Z14:Z16"/>
    <mergeCell ref="AA14:AL14"/>
  </mergeCells>
  <pageMargins left="0.23622047244094491" right="0.23622047244094491" top="0.15748031496062992" bottom="0.55118110236220474" header="0" footer="0"/>
  <pageSetup paperSize="9" orientation="portrait" r:id="rId6"/>
  <drawing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D75115"/>
    <pageSetUpPr fitToPage="1"/>
  </sheetPr>
  <dimension ref="A1:BE100"/>
  <sheetViews>
    <sheetView zoomScale="78" zoomScaleNormal="78" workbookViewId="0">
      <pane ySplit="3" topLeftCell="A4" activePane="bottomLeft" state="frozen"/>
      <selection activeCell="B14" sqref="B14"/>
      <selection pane="bottomLeft" activeCell="N21" sqref="N21"/>
    </sheetView>
  </sheetViews>
  <sheetFormatPr defaultColWidth="11.42578125" defaultRowHeight="15" x14ac:dyDescent="0.25"/>
  <cols>
    <col min="1" max="1" width="3" style="78" customWidth="1"/>
    <col min="2" max="2" width="1.28515625" style="78" customWidth="1"/>
    <col min="3" max="3" width="2.7109375" style="37" customWidth="1"/>
    <col min="4" max="4" width="19.42578125" style="36" customWidth="1"/>
    <col min="5" max="5" width="16.140625" style="36" customWidth="1"/>
    <col min="6" max="6" width="16" style="36" customWidth="1"/>
    <col min="7" max="7" width="14.7109375" style="36" customWidth="1"/>
    <col min="8" max="8" width="18.28515625" style="36" customWidth="1"/>
    <col min="9" max="9" width="15.42578125" style="36" customWidth="1"/>
    <col min="10" max="10" width="16.140625" style="36" customWidth="1"/>
    <col min="11" max="11" width="17.5703125" style="36" customWidth="1"/>
    <col min="12" max="12" width="16" style="36" customWidth="1"/>
    <col min="13" max="13" width="16.28515625" style="36" customWidth="1"/>
    <col min="14" max="14" width="15" style="37" customWidth="1"/>
    <col min="15" max="15" width="22.42578125" style="883" customWidth="1"/>
    <col min="16" max="16" width="36.5703125" style="883" customWidth="1"/>
    <col min="17" max="24" width="11.42578125" style="37" customWidth="1"/>
    <col min="25" max="25" width="11.42578125" style="36" customWidth="1"/>
    <col min="26" max="254" width="11.42578125" style="36"/>
    <col min="255" max="255" width="5.28515625" style="36" customWidth="1"/>
    <col min="256" max="256" width="15.28515625" style="36" customWidth="1"/>
    <col min="257" max="257" width="14.42578125" style="36" bestFit="1" customWidth="1"/>
    <col min="258" max="258" width="10.42578125" style="36" bestFit="1" customWidth="1"/>
    <col min="259" max="259" width="12.28515625" style="36" customWidth="1"/>
    <col min="260" max="264" width="11.42578125" style="36" customWidth="1"/>
    <col min="265" max="266" width="10.5703125" style="36" bestFit="1" customWidth="1"/>
    <col min="267" max="268" width="11.42578125" style="36" customWidth="1"/>
    <col min="269" max="269" width="6.140625" style="36" customWidth="1"/>
    <col min="270" max="280" width="11.42578125" style="36" customWidth="1"/>
    <col min="281" max="510" width="11.42578125" style="36"/>
    <col min="511" max="511" width="5.28515625" style="36" customWidth="1"/>
    <col min="512" max="512" width="15.28515625" style="36" customWidth="1"/>
    <col min="513" max="513" width="14.42578125" style="36" bestFit="1" customWidth="1"/>
    <col min="514" max="514" width="10.42578125" style="36" bestFit="1" customWidth="1"/>
    <col min="515" max="515" width="12.28515625" style="36" customWidth="1"/>
    <col min="516" max="520" width="11.42578125" style="36" customWidth="1"/>
    <col min="521" max="522" width="10.5703125" style="36" bestFit="1" customWidth="1"/>
    <col min="523" max="524" width="11.42578125" style="36" customWidth="1"/>
    <col min="525" max="525" width="6.140625" style="36" customWidth="1"/>
    <col min="526" max="536" width="11.42578125" style="36" customWidth="1"/>
    <col min="537" max="766" width="11.42578125" style="36"/>
    <col min="767" max="767" width="5.28515625" style="36" customWidth="1"/>
    <col min="768" max="768" width="15.28515625" style="36" customWidth="1"/>
    <col min="769" max="769" width="14.42578125" style="36" bestFit="1" customWidth="1"/>
    <col min="770" max="770" width="10.42578125" style="36" bestFit="1" customWidth="1"/>
    <col min="771" max="771" width="12.28515625" style="36" customWidth="1"/>
    <col min="772" max="776" width="11.42578125" style="36" customWidth="1"/>
    <col min="777" max="778" width="10.5703125" style="36" bestFit="1" customWidth="1"/>
    <col min="779" max="780" width="11.42578125" style="36" customWidth="1"/>
    <col min="781" max="781" width="6.140625" style="36" customWidth="1"/>
    <col min="782" max="792" width="11.42578125" style="36" customWidth="1"/>
    <col min="793" max="1022" width="11.42578125" style="36"/>
    <col min="1023" max="1023" width="5.28515625" style="36" customWidth="1"/>
    <col min="1024" max="1024" width="15.28515625" style="36" customWidth="1"/>
    <col min="1025" max="1025" width="14.42578125" style="36" bestFit="1" customWidth="1"/>
    <col min="1026" max="1026" width="10.42578125" style="36" bestFit="1" customWidth="1"/>
    <col min="1027" max="1027" width="12.28515625" style="36" customWidth="1"/>
    <col min="1028" max="1032" width="11.42578125" style="36" customWidth="1"/>
    <col min="1033" max="1034" width="10.5703125" style="36" bestFit="1" customWidth="1"/>
    <col min="1035" max="1036" width="11.42578125" style="36" customWidth="1"/>
    <col min="1037" max="1037" width="6.140625" style="36" customWidth="1"/>
    <col min="1038" max="1048" width="11.42578125" style="36" customWidth="1"/>
    <col min="1049" max="1278" width="11.42578125" style="36"/>
    <col min="1279" max="1279" width="5.28515625" style="36" customWidth="1"/>
    <col min="1280" max="1280" width="15.28515625" style="36" customWidth="1"/>
    <col min="1281" max="1281" width="14.42578125" style="36" bestFit="1" customWidth="1"/>
    <col min="1282" max="1282" width="10.42578125" style="36" bestFit="1" customWidth="1"/>
    <col min="1283" max="1283" width="12.28515625" style="36" customWidth="1"/>
    <col min="1284" max="1288" width="11.42578125" style="36" customWidth="1"/>
    <col min="1289" max="1290" width="10.5703125" style="36" bestFit="1" customWidth="1"/>
    <col min="1291" max="1292" width="11.42578125" style="36" customWidth="1"/>
    <col min="1293" max="1293" width="6.140625" style="36" customWidth="1"/>
    <col min="1294" max="1304" width="11.42578125" style="36" customWidth="1"/>
    <col min="1305" max="1534" width="11.42578125" style="36"/>
    <col min="1535" max="1535" width="5.28515625" style="36" customWidth="1"/>
    <col min="1536" max="1536" width="15.28515625" style="36" customWidth="1"/>
    <col min="1537" max="1537" width="14.42578125" style="36" bestFit="1" customWidth="1"/>
    <col min="1538" max="1538" width="10.42578125" style="36" bestFit="1" customWidth="1"/>
    <col min="1539" max="1539" width="12.28515625" style="36" customWidth="1"/>
    <col min="1540" max="1544" width="11.42578125" style="36" customWidth="1"/>
    <col min="1545" max="1546" width="10.5703125" style="36" bestFit="1" customWidth="1"/>
    <col min="1547" max="1548" width="11.42578125" style="36" customWidth="1"/>
    <col min="1549" max="1549" width="6.140625" style="36" customWidth="1"/>
    <col min="1550" max="1560" width="11.42578125" style="36" customWidth="1"/>
    <col min="1561" max="1790" width="11.42578125" style="36"/>
    <col min="1791" max="1791" width="5.28515625" style="36" customWidth="1"/>
    <col min="1792" max="1792" width="15.28515625" style="36" customWidth="1"/>
    <col min="1793" max="1793" width="14.42578125" style="36" bestFit="1" customWidth="1"/>
    <col min="1794" max="1794" width="10.42578125" style="36" bestFit="1" customWidth="1"/>
    <col min="1795" max="1795" width="12.28515625" style="36" customWidth="1"/>
    <col min="1796" max="1800" width="11.42578125" style="36" customWidth="1"/>
    <col min="1801" max="1802" width="10.5703125" style="36" bestFit="1" customWidth="1"/>
    <col min="1803" max="1804" width="11.42578125" style="36" customWidth="1"/>
    <col min="1805" max="1805" width="6.140625" style="36" customWidth="1"/>
    <col min="1806" max="1816" width="11.42578125" style="36" customWidth="1"/>
    <col min="1817" max="2046" width="11.42578125" style="36"/>
    <col min="2047" max="2047" width="5.28515625" style="36" customWidth="1"/>
    <col min="2048" max="2048" width="15.28515625" style="36" customWidth="1"/>
    <col min="2049" max="2049" width="14.42578125" style="36" bestFit="1" customWidth="1"/>
    <col min="2050" max="2050" width="10.42578125" style="36" bestFit="1" customWidth="1"/>
    <col min="2051" max="2051" width="12.28515625" style="36" customWidth="1"/>
    <col min="2052" max="2056" width="11.42578125" style="36" customWidth="1"/>
    <col min="2057" max="2058" width="10.5703125" style="36" bestFit="1" customWidth="1"/>
    <col min="2059" max="2060" width="11.42578125" style="36" customWidth="1"/>
    <col min="2061" max="2061" width="6.140625" style="36" customWidth="1"/>
    <col min="2062" max="2072" width="11.42578125" style="36" customWidth="1"/>
    <col min="2073" max="2302" width="11.42578125" style="36"/>
    <col min="2303" max="2303" width="5.28515625" style="36" customWidth="1"/>
    <col min="2304" max="2304" width="15.28515625" style="36" customWidth="1"/>
    <col min="2305" max="2305" width="14.42578125" style="36" bestFit="1" customWidth="1"/>
    <col min="2306" max="2306" width="10.42578125" style="36" bestFit="1" customWidth="1"/>
    <col min="2307" max="2307" width="12.28515625" style="36" customWidth="1"/>
    <col min="2308" max="2312" width="11.42578125" style="36" customWidth="1"/>
    <col min="2313" max="2314" width="10.5703125" style="36" bestFit="1" customWidth="1"/>
    <col min="2315" max="2316" width="11.42578125" style="36" customWidth="1"/>
    <col min="2317" max="2317" width="6.140625" style="36" customWidth="1"/>
    <col min="2318" max="2328" width="11.42578125" style="36" customWidth="1"/>
    <col min="2329" max="2558" width="11.42578125" style="36"/>
    <col min="2559" max="2559" width="5.28515625" style="36" customWidth="1"/>
    <col min="2560" max="2560" width="15.28515625" style="36" customWidth="1"/>
    <col min="2561" max="2561" width="14.42578125" style="36" bestFit="1" customWidth="1"/>
    <col min="2562" max="2562" width="10.42578125" style="36" bestFit="1" customWidth="1"/>
    <col min="2563" max="2563" width="12.28515625" style="36" customWidth="1"/>
    <col min="2564" max="2568" width="11.42578125" style="36" customWidth="1"/>
    <col min="2569" max="2570" width="10.5703125" style="36" bestFit="1" customWidth="1"/>
    <col min="2571" max="2572" width="11.42578125" style="36" customWidth="1"/>
    <col min="2573" max="2573" width="6.140625" style="36" customWidth="1"/>
    <col min="2574" max="2584" width="11.42578125" style="36" customWidth="1"/>
    <col min="2585" max="2814" width="11.42578125" style="36"/>
    <col min="2815" max="2815" width="5.28515625" style="36" customWidth="1"/>
    <col min="2816" max="2816" width="15.28515625" style="36" customWidth="1"/>
    <col min="2817" max="2817" width="14.42578125" style="36" bestFit="1" customWidth="1"/>
    <col min="2818" max="2818" width="10.42578125" style="36" bestFit="1" customWidth="1"/>
    <col min="2819" max="2819" width="12.28515625" style="36" customWidth="1"/>
    <col min="2820" max="2824" width="11.42578125" style="36" customWidth="1"/>
    <col min="2825" max="2826" width="10.5703125" style="36" bestFit="1" customWidth="1"/>
    <col min="2827" max="2828" width="11.42578125" style="36" customWidth="1"/>
    <col min="2829" max="2829" width="6.140625" style="36" customWidth="1"/>
    <col min="2830" max="2840" width="11.42578125" style="36" customWidth="1"/>
    <col min="2841" max="3070" width="11.42578125" style="36"/>
    <col min="3071" max="3071" width="5.28515625" style="36" customWidth="1"/>
    <col min="3072" max="3072" width="15.28515625" style="36" customWidth="1"/>
    <col min="3073" max="3073" width="14.42578125" style="36" bestFit="1" customWidth="1"/>
    <col min="3074" max="3074" width="10.42578125" style="36" bestFit="1" customWidth="1"/>
    <col min="3075" max="3075" width="12.28515625" style="36" customWidth="1"/>
    <col min="3076" max="3080" width="11.42578125" style="36" customWidth="1"/>
    <col min="3081" max="3082" width="10.5703125" style="36" bestFit="1" customWidth="1"/>
    <col min="3083" max="3084" width="11.42578125" style="36" customWidth="1"/>
    <col min="3085" max="3085" width="6.140625" style="36" customWidth="1"/>
    <col min="3086" max="3096" width="11.42578125" style="36" customWidth="1"/>
    <col min="3097" max="3326" width="11.42578125" style="36"/>
    <col min="3327" max="3327" width="5.28515625" style="36" customWidth="1"/>
    <col min="3328" max="3328" width="15.28515625" style="36" customWidth="1"/>
    <col min="3329" max="3329" width="14.42578125" style="36" bestFit="1" customWidth="1"/>
    <col min="3330" max="3330" width="10.42578125" style="36" bestFit="1" customWidth="1"/>
    <col min="3331" max="3331" width="12.28515625" style="36" customWidth="1"/>
    <col min="3332" max="3336" width="11.42578125" style="36" customWidth="1"/>
    <col min="3337" max="3338" width="10.5703125" style="36" bestFit="1" customWidth="1"/>
    <col min="3339" max="3340" width="11.42578125" style="36" customWidth="1"/>
    <col min="3341" max="3341" width="6.140625" style="36" customWidth="1"/>
    <col min="3342" max="3352" width="11.42578125" style="36" customWidth="1"/>
    <col min="3353" max="3582" width="11.42578125" style="36"/>
    <col min="3583" max="3583" width="5.28515625" style="36" customWidth="1"/>
    <col min="3584" max="3584" width="15.28515625" style="36" customWidth="1"/>
    <col min="3585" max="3585" width="14.42578125" style="36" bestFit="1" customWidth="1"/>
    <col min="3586" max="3586" width="10.42578125" style="36" bestFit="1" customWidth="1"/>
    <col min="3587" max="3587" width="12.28515625" style="36" customWidth="1"/>
    <col min="3588" max="3592" width="11.42578125" style="36" customWidth="1"/>
    <col min="3593" max="3594" width="10.5703125" style="36" bestFit="1" customWidth="1"/>
    <col min="3595" max="3596" width="11.42578125" style="36" customWidth="1"/>
    <col min="3597" max="3597" width="6.140625" style="36" customWidth="1"/>
    <col min="3598" max="3608" width="11.42578125" style="36" customWidth="1"/>
    <col min="3609" max="3838" width="11.42578125" style="36"/>
    <col min="3839" max="3839" width="5.28515625" style="36" customWidth="1"/>
    <col min="3840" max="3840" width="15.28515625" style="36" customWidth="1"/>
    <col min="3841" max="3841" width="14.42578125" style="36" bestFit="1" customWidth="1"/>
    <col min="3842" max="3842" width="10.42578125" style="36" bestFit="1" customWidth="1"/>
    <col min="3843" max="3843" width="12.28515625" style="36" customWidth="1"/>
    <col min="3844" max="3848" width="11.42578125" style="36" customWidth="1"/>
    <col min="3849" max="3850" width="10.5703125" style="36" bestFit="1" customWidth="1"/>
    <col min="3851" max="3852" width="11.42578125" style="36" customWidth="1"/>
    <col min="3853" max="3853" width="6.140625" style="36" customWidth="1"/>
    <col min="3854" max="3864" width="11.42578125" style="36" customWidth="1"/>
    <col min="3865" max="4094" width="11.42578125" style="36"/>
    <col min="4095" max="4095" width="5.28515625" style="36" customWidth="1"/>
    <col min="4096" max="4096" width="15.28515625" style="36" customWidth="1"/>
    <col min="4097" max="4097" width="14.42578125" style="36" bestFit="1" customWidth="1"/>
    <col min="4098" max="4098" width="10.42578125" style="36" bestFit="1" customWidth="1"/>
    <col min="4099" max="4099" width="12.28515625" style="36" customWidth="1"/>
    <col min="4100" max="4104" width="11.42578125" style="36" customWidth="1"/>
    <col min="4105" max="4106" width="10.5703125" style="36" bestFit="1" customWidth="1"/>
    <col min="4107" max="4108" width="11.42578125" style="36" customWidth="1"/>
    <col min="4109" max="4109" width="6.140625" style="36" customWidth="1"/>
    <col min="4110" max="4120" width="11.42578125" style="36" customWidth="1"/>
    <col min="4121" max="4350" width="11.42578125" style="36"/>
    <col min="4351" max="4351" width="5.28515625" style="36" customWidth="1"/>
    <col min="4352" max="4352" width="15.28515625" style="36" customWidth="1"/>
    <col min="4353" max="4353" width="14.42578125" style="36" bestFit="1" customWidth="1"/>
    <col min="4354" max="4354" width="10.42578125" style="36" bestFit="1" customWidth="1"/>
    <col min="4355" max="4355" width="12.28515625" style="36" customWidth="1"/>
    <col min="4356" max="4360" width="11.42578125" style="36" customWidth="1"/>
    <col min="4361" max="4362" width="10.5703125" style="36" bestFit="1" customWidth="1"/>
    <col min="4363" max="4364" width="11.42578125" style="36" customWidth="1"/>
    <col min="4365" max="4365" width="6.140625" style="36" customWidth="1"/>
    <col min="4366" max="4376" width="11.42578125" style="36" customWidth="1"/>
    <col min="4377" max="4606" width="11.42578125" style="36"/>
    <col min="4607" max="4607" width="5.28515625" style="36" customWidth="1"/>
    <col min="4608" max="4608" width="15.28515625" style="36" customWidth="1"/>
    <col min="4609" max="4609" width="14.42578125" style="36" bestFit="1" customWidth="1"/>
    <col min="4610" max="4610" width="10.42578125" style="36" bestFit="1" customWidth="1"/>
    <col min="4611" max="4611" width="12.28515625" style="36" customWidth="1"/>
    <col min="4612" max="4616" width="11.42578125" style="36" customWidth="1"/>
    <col min="4617" max="4618" width="10.5703125" style="36" bestFit="1" customWidth="1"/>
    <col min="4619" max="4620" width="11.42578125" style="36" customWidth="1"/>
    <col min="4621" max="4621" width="6.140625" style="36" customWidth="1"/>
    <col min="4622" max="4632" width="11.42578125" style="36" customWidth="1"/>
    <col min="4633" max="4862" width="11.42578125" style="36"/>
    <col min="4863" max="4863" width="5.28515625" style="36" customWidth="1"/>
    <col min="4864" max="4864" width="15.28515625" style="36" customWidth="1"/>
    <col min="4865" max="4865" width="14.42578125" style="36" bestFit="1" customWidth="1"/>
    <col min="4866" max="4866" width="10.42578125" style="36" bestFit="1" customWidth="1"/>
    <col min="4867" max="4867" width="12.28515625" style="36" customWidth="1"/>
    <col min="4868" max="4872" width="11.42578125" style="36" customWidth="1"/>
    <col min="4873" max="4874" width="10.5703125" style="36" bestFit="1" customWidth="1"/>
    <col min="4875" max="4876" width="11.42578125" style="36" customWidth="1"/>
    <col min="4877" max="4877" width="6.140625" style="36" customWidth="1"/>
    <col min="4878" max="4888" width="11.42578125" style="36" customWidth="1"/>
    <col min="4889" max="5118" width="11.42578125" style="36"/>
    <col min="5119" max="5119" width="5.28515625" style="36" customWidth="1"/>
    <col min="5120" max="5120" width="15.28515625" style="36" customWidth="1"/>
    <col min="5121" max="5121" width="14.42578125" style="36" bestFit="1" customWidth="1"/>
    <col min="5122" max="5122" width="10.42578125" style="36" bestFit="1" customWidth="1"/>
    <col min="5123" max="5123" width="12.28515625" style="36" customWidth="1"/>
    <col min="5124" max="5128" width="11.42578125" style="36" customWidth="1"/>
    <col min="5129" max="5130" width="10.5703125" style="36" bestFit="1" customWidth="1"/>
    <col min="5131" max="5132" width="11.42578125" style="36" customWidth="1"/>
    <col min="5133" max="5133" width="6.140625" style="36" customWidth="1"/>
    <col min="5134" max="5144" width="11.42578125" style="36" customWidth="1"/>
    <col min="5145" max="5374" width="11.42578125" style="36"/>
    <col min="5375" max="5375" width="5.28515625" style="36" customWidth="1"/>
    <col min="5376" max="5376" width="15.28515625" style="36" customWidth="1"/>
    <col min="5377" max="5377" width="14.42578125" style="36" bestFit="1" customWidth="1"/>
    <col min="5378" max="5378" width="10.42578125" style="36" bestFit="1" customWidth="1"/>
    <col min="5379" max="5379" width="12.28515625" style="36" customWidth="1"/>
    <col min="5380" max="5384" width="11.42578125" style="36" customWidth="1"/>
    <col min="5385" max="5386" width="10.5703125" style="36" bestFit="1" customWidth="1"/>
    <col min="5387" max="5388" width="11.42578125" style="36" customWidth="1"/>
    <col min="5389" max="5389" width="6.140625" style="36" customWidth="1"/>
    <col min="5390" max="5400" width="11.42578125" style="36" customWidth="1"/>
    <col min="5401" max="5630" width="11.42578125" style="36"/>
    <col min="5631" max="5631" width="5.28515625" style="36" customWidth="1"/>
    <col min="5632" max="5632" width="15.28515625" style="36" customWidth="1"/>
    <col min="5633" max="5633" width="14.42578125" style="36" bestFit="1" customWidth="1"/>
    <col min="5634" max="5634" width="10.42578125" style="36" bestFit="1" customWidth="1"/>
    <col min="5635" max="5635" width="12.28515625" style="36" customWidth="1"/>
    <col min="5636" max="5640" width="11.42578125" style="36" customWidth="1"/>
    <col min="5641" max="5642" width="10.5703125" style="36" bestFit="1" customWidth="1"/>
    <col min="5643" max="5644" width="11.42578125" style="36" customWidth="1"/>
    <col min="5645" max="5645" width="6.140625" style="36" customWidth="1"/>
    <col min="5646" max="5656" width="11.42578125" style="36" customWidth="1"/>
    <col min="5657" max="5886" width="11.42578125" style="36"/>
    <col min="5887" max="5887" width="5.28515625" style="36" customWidth="1"/>
    <col min="5888" max="5888" width="15.28515625" style="36" customWidth="1"/>
    <col min="5889" max="5889" width="14.42578125" style="36" bestFit="1" customWidth="1"/>
    <col min="5890" max="5890" width="10.42578125" style="36" bestFit="1" customWidth="1"/>
    <col min="5891" max="5891" width="12.28515625" style="36" customWidth="1"/>
    <col min="5892" max="5896" width="11.42578125" style="36" customWidth="1"/>
    <col min="5897" max="5898" width="10.5703125" style="36" bestFit="1" customWidth="1"/>
    <col min="5899" max="5900" width="11.42578125" style="36" customWidth="1"/>
    <col min="5901" max="5901" width="6.140625" style="36" customWidth="1"/>
    <col min="5902" max="5912" width="11.42578125" style="36" customWidth="1"/>
    <col min="5913" max="6142" width="11.42578125" style="36"/>
    <col min="6143" max="6143" width="5.28515625" style="36" customWidth="1"/>
    <col min="6144" max="6144" width="15.28515625" style="36" customWidth="1"/>
    <col min="6145" max="6145" width="14.42578125" style="36" bestFit="1" customWidth="1"/>
    <col min="6146" max="6146" width="10.42578125" style="36" bestFit="1" customWidth="1"/>
    <col min="6147" max="6147" width="12.28515625" style="36" customWidth="1"/>
    <col min="6148" max="6152" width="11.42578125" style="36" customWidth="1"/>
    <col min="6153" max="6154" width="10.5703125" style="36" bestFit="1" customWidth="1"/>
    <col min="6155" max="6156" width="11.42578125" style="36" customWidth="1"/>
    <col min="6157" max="6157" width="6.140625" style="36" customWidth="1"/>
    <col min="6158" max="6168" width="11.42578125" style="36" customWidth="1"/>
    <col min="6169" max="6398" width="11.42578125" style="36"/>
    <col min="6399" max="6399" width="5.28515625" style="36" customWidth="1"/>
    <col min="6400" max="6400" width="15.28515625" style="36" customWidth="1"/>
    <col min="6401" max="6401" width="14.42578125" style="36" bestFit="1" customWidth="1"/>
    <col min="6402" max="6402" width="10.42578125" style="36" bestFit="1" customWidth="1"/>
    <col min="6403" max="6403" width="12.28515625" style="36" customWidth="1"/>
    <col min="6404" max="6408" width="11.42578125" style="36" customWidth="1"/>
    <col min="6409" max="6410" width="10.5703125" style="36" bestFit="1" customWidth="1"/>
    <col min="6411" max="6412" width="11.42578125" style="36" customWidth="1"/>
    <col min="6413" max="6413" width="6.140625" style="36" customWidth="1"/>
    <col min="6414" max="6424" width="11.42578125" style="36" customWidth="1"/>
    <col min="6425" max="6654" width="11.42578125" style="36"/>
    <col min="6655" max="6655" width="5.28515625" style="36" customWidth="1"/>
    <col min="6656" max="6656" width="15.28515625" style="36" customWidth="1"/>
    <col min="6657" max="6657" width="14.42578125" style="36" bestFit="1" customWidth="1"/>
    <col min="6658" max="6658" width="10.42578125" style="36" bestFit="1" customWidth="1"/>
    <col min="6659" max="6659" width="12.28515625" style="36" customWidth="1"/>
    <col min="6660" max="6664" width="11.42578125" style="36" customWidth="1"/>
    <col min="6665" max="6666" width="10.5703125" style="36" bestFit="1" customWidth="1"/>
    <col min="6667" max="6668" width="11.42578125" style="36" customWidth="1"/>
    <col min="6669" max="6669" width="6.140625" style="36" customWidth="1"/>
    <col min="6670" max="6680" width="11.42578125" style="36" customWidth="1"/>
    <col min="6681" max="6910" width="11.42578125" style="36"/>
    <col min="6911" max="6911" width="5.28515625" style="36" customWidth="1"/>
    <col min="6912" max="6912" width="15.28515625" style="36" customWidth="1"/>
    <col min="6913" max="6913" width="14.42578125" style="36" bestFit="1" customWidth="1"/>
    <col min="6914" max="6914" width="10.42578125" style="36" bestFit="1" customWidth="1"/>
    <col min="6915" max="6915" width="12.28515625" style="36" customWidth="1"/>
    <col min="6916" max="6920" width="11.42578125" style="36" customWidth="1"/>
    <col min="6921" max="6922" width="10.5703125" style="36" bestFit="1" customWidth="1"/>
    <col min="6923" max="6924" width="11.42578125" style="36" customWidth="1"/>
    <col min="6925" max="6925" width="6.140625" style="36" customWidth="1"/>
    <col min="6926" max="6936" width="11.42578125" style="36" customWidth="1"/>
    <col min="6937" max="7166" width="11.42578125" style="36"/>
    <col min="7167" max="7167" width="5.28515625" style="36" customWidth="1"/>
    <col min="7168" max="7168" width="15.28515625" style="36" customWidth="1"/>
    <col min="7169" max="7169" width="14.42578125" style="36" bestFit="1" customWidth="1"/>
    <col min="7170" max="7170" width="10.42578125" style="36" bestFit="1" customWidth="1"/>
    <col min="7171" max="7171" width="12.28515625" style="36" customWidth="1"/>
    <col min="7172" max="7176" width="11.42578125" style="36" customWidth="1"/>
    <col min="7177" max="7178" width="10.5703125" style="36" bestFit="1" customWidth="1"/>
    <col min="7179" max="7180" width="11.42578125" style="36" customWidth="1"/>
    <col min="7181" max="7181" width="6.140625" style="36" customWidth="1"/>
    <col min="7182" max="7192" width="11.42578125" style="36" customWidth="1"/>
    <col min="7193" max="7422" width="11.42578125" style="36"/>
    <col min="7423" max="7423" width="5.28515625" style="36" customWidth="1"/>
    <col min="7424" max="7424" width="15.28515625" style="36" customWidth="1"/>
    <col min="7425" max="7425" width="14.42578125" style="36" bestFit="1" customWidth="1"/>
    <col min="7426" max="7426" width="10.42578125" style="36" bestFit="1" customWidth="1"/>
    <col min="7427" max="7427" width="12.28515625" style="36" customWidth="1"/>
    <col min="7428" max="7432" width="11.42578125" style="36" customWidth="1"/>
    <col min="7433" max="7434" width="10.5703125" style="36" bestFit="1" customWidth="1"/>
    <col min="7435" max="7436" width="11.42578125" style="36" customWidth="1"/>
    <col min="7437" max="7437" width="6.140625" style="36" customWidth="1"/>
    <col min="7438" max="7448" width="11.42578125" style="36" customWidth="1"/>
    <col min="7449" max="7678" width="11.42578125" style="36"/>
    <col min="7679" max="7679" width="5.28515625" style="36" customWidth="1"/>
    <col min="7680" max="7680" width="15.28515625" style="36" customWidth="1"/>
    <col min="7681" max="7681" width="14.42578125" style="36" bestFit="1" customWidth="1"/>
    <col min="7682" max="7682" width="10.42578125" style="36" bestFit="1" customWidth="1"/>
    <col min="7683" max="7683" width="12.28515625" style="36" customWidth="1"/>
    <col min="7684" max="7688" width="11.42578125" style="36" customWidth="1"/>
    <col min="7689" max="7690" width="10.5703125" style="36" bestFit="1" customWidth="1"/>
    <col min="7691" max="7692" width="11.42578125" style="36" customWidth="1"/>
    <col min="7693" max="7693" width="6.140625" style="36" customWidth="1"/>
    <col min="7694" max="7704" width="11.42578125" style="36" customWidth="1"/>
    <col min="7705" max="7934" width="11.42578125" style="36"/>
    <col min="7935" max="7935" width="5.28515625" style="36" customWidth="1"/>
    <col min="7936" max="7936" width="15.28515625" style="36" customWidth="1"/>
    <col min="7937" max="7937" width="14.42578125" style="36" bestFit="1" customWidth="1"/>
    <col min="7938" max="7938" width="10.42578125" style="36" bestFit="1" customWidth="1"/>
    <col min="7939" max="7939" width="12.28515625" style="36" customWidth="1"/>
    <col min="7940" max="7944" width="11.42578125" style="36" customWidth="1"/>
    <col min="7945" max="7946" width="10.5703125" style="36" bestFit="1" customWidth="1"/>
    <col min="7947" max="7948" width="11.42578125" style="36" customWidth="1"/>
    <col min="7949" max="7949" width="6.140625" style="36" customWidth="1"/>
    <col min="7950" max="7960" width="11.42578125" style="36" customWidth="1"/>
    <col min="7961" max="8190" width="11.42578125" style="36"/>
    <col min="8191" max="8191" width="5.28515625" style="36" customWidth="1"/>
    <col min="8192" max="8192" width="15.28515625" style="36" customWidth="1"/>
    <col min="8193" max="8193" width="14.42578125" style="36" bestFit="1" customWidth="1"/>
    <col min="8194" max="8194" width="10.42578125" style="36" bestFit="1" customWidth="1"/>
    <col min="8195" max="8195" width="12.28515625" style="36" customWidth="1"/>
    <col min="8196" max="8200" width="11.42578125" style="36" customWidth="1"/>
    <col min="8201" max="8202" width="10.5703125" style="36" bestFit="1" customWidth="1"/>
    <col min="8203" max="8204" width="11.42578125" style="36" customWidth="1"/>
    <col min="8205" max="8205" width="6.140625" style="36" customWidth="1"/>
    <col min="8206" max="8216" width="11.42578125" style="36" customWidth="1"/>
    <col min="8217" max="8446" width="11.42578125" style="36"/>
    <col min="8447" max="8447" width="5.28515625" style="36" customWidth="1"/>
    <col min="8448" max="8448" width="15.28515625" style="36" customWidth="1"/>
    <col min="8449" max="8449" width="14.42578125" style="36" bestFit="1" customWidth="1"/>
    <col min="8450" max="8450" width="10.42578125" style="36" bestFit="1" customWidth="1"/>
    <col min="8451" max="8451" width="12.28515625" style="36" customWidth="1"/>
    <col min="8452" max="8456" width="11.42578125" style="36" customWidth="1"/>
    <col min="8457" max="8458" width="10.5703125" style="36" bestFit="1" customWidth="1"/>
    <col min="8459" max="8460" width="11.42578125" style="36" customWidth="1"/>
    <col min="8461" max="8461" width="6.140625" style="36" customWidth="1"/>
    <col min="8462" max="8472" width="11.42578125" style="36" customWidth="1"/>
    <col min="8473" max="8702" width="11.42578125" style="36"/>
    <col min="8703" max="8703" width="5.28515625" style="36" customWidth="1"/>
    <col min="8704" max="8704" width="15.28515625" style="36" customWidth="1"/>
    <col min="8705" max="8705" width="14.42578125" style="36" bestFit="1" customWidth="1"/>
    <col min="8706" max="8706" width="10.42578125" style="36" bestFit="1" customWidth="1"/>
    <col min="8707" max="8707" width="12.28515625" style="36" customWidth="1"/>
    <col min="8708" max="8712" width="11.42578125" style="36" customWidth="1"/>
    <col min="8713" max="8714" width="10.5703125" style="36" bestFit="1" customWidth="1"/>
    <col min="8715" max="8716" width="11.42578125" style="36" customWidth="1"/>
    <col min="8717" max="8717" width="6.140625" style="36" customWidth="1"/>
    <col min="8718" max="8728" width="11.42578125" style="36" customWidth="1"/>
    <col min="8729" max="8958" width="11.42578125" style="36"/>
    <col min="8959" max="8959" width="5.28515625" style="36" customWidth="1"/>
    <col min="8960" max="8960" width="15.28515625" style="36" customWidth="1"/>
    <col min="8961" max="8961" width="14.42578125" style="36" bestFit="1" customWidth="1"/>
    <col min="8962" max="8962" width="10.42578125" style="36" bestFit="1" customWidth="1"/>
    <col min="8963" max="8963" width="12.28515625" style="36" customWidth="1"/>
    <col min="8964" max="8968" width="11.42578125" style="36" customWidth="1"/>
    <col min="8969" max="8970" width="10.5703125" style="36" bestFit="1" customWidth="1"/>
    <col min="8971" max="8972" width="11.42578125" style="36" customWidth="1"/>
    <col min="8973" max="8973" width="6.140625" style="36" customWidth="1"/>
    <col min="8974" max="8984" width="11.42578125" style="36" customWidth="1"/>
    <col min="8985" max="9214" width="11.42578125" style="36"/>
    <col min="9215" max="9215" width="5.28515625" style="36" customWidth="1"/>
    <col min="9216" max="9216" width="15.28515625" style="36" customWidth="1"/>
    <col min="9217" max="9217" width="14.42578125" style="36" bestFit="1" customWidth="1"/>
    <col min="9218" max="9218" width="10.42578125" style="36" bestFit="1" customWidth="1"/>
    <col min="9219" max="9219" width="12.28515625" style="36" customWidth="1"/>
    <col min="9220" max="9224" width="11.42578125" style="36" customWidth="1"/>
    <col min="9225" max="9226" width="10.5703125" style="36" bestFit="1" customWidth="1"/>
    <col min="9227" max="9228" width="11.42578125" style="36" customWidth="1"/>
    <col min="9229" max="9229" width="6.140625" style="36" customWidth="1"/>
    <col min="9230" max="9240" width="11.42578125" style="36" customWidth="1"/>
    <col min="9241" max="9470" width="11.42578125" style="36"/>
    <col min="9471" max="9471" width="5.28515625" style="36" customWidth="1"/>
    <col min="9472" max="9472" width="15.28515625" style="36" customWidth="1"/>
    <col min="9473" max="9473" width="14.42578125" style="36" bestFit="1" customWidth="1"/>
    <col min="9474" max="9474" width="10.42578125" style="36" bestFit="1" customWidth="1"/>
    <col min="9475" max="9475" width="12.28515625" style="36" customWidth="1"/>
    <col min="9476" max="9480" width="11.42578125" style="36" customWidth="1"/>
    <col min="9481" max="9482" width="10.5703125" style="36" bestFit="1" customWidth="1"/>
    <col min="9483" max="9484" width="11.42578125" style="36" customWidth="1"/>
    <col min="9485" max="9485" width="6.140625" style="36" customWidth="1"/>
    <col min="9486" max="9496" width="11.42578125" style="36" customWidth="1"/>
    <col min="9497" max="9726" width="11.42578125" style="36"/>
    <col min="9727" max="9727" width="5.28515625" style="36" customWidth="1"/>
    <col min="9728" max="9728" width="15.28515625" style="36" customWidth="1"/>
    <col min="9729" max="9729" width="14.42578125" style="36" bestFit="1" customWidth="1"/>
    <col min="9730" max="9730" width="10.42578125" style="36" bestFit="1" customWidth="1"/>
    <col min="9731" max="9731" width="12.28515625" style="36" customWidth="1"/>
    <col min="9732" max="9736" width="11.42578125" style="36" customWidth="1"/>
    <col min="9737" max="9738" width="10.5703125" style="36" bestFit="1" customWidth="1"/>
    <col min="9739" max="9740" width="11.42578125" style="36" customWidth="1"/>
    <col min="9741" max="9741" width="6.140625" style="36" customWidth="1"/>
    <col min="9742" max="9752" width="11.42578125" style="36" customWidth="1"/>
    <col min="9753" max="9982" width="11.42578125" style="36"/>
    <col min="9983" max="9983" width="5.28515625" style="36" customWidth="1"/>
    <col min="9984" max="9984" width="15.28515625" style="36" customWidth="1"/>
    <col min="9985" max="9985" width="14.42578125" style="36" bestFit="1" customWidth="1"/>
    <col min="9986" max="9986" width="10.42578125" style="36" bestFit="1" customWidth="1"/>
    <col min="9987" max="9987" width="12.28515625" style="36" customWidth="1"/>
    <col min="9988" max="9992" width="11.42578125" style="36" customWidth="1"/>
    <col min="9993" max="9994" width="10.5703125" style="36" bestFit="1" customWidth="1"/>
    <col min="9995" max="9996" width="11.42578125" style="36" customWidth="1"/>
    <col min="9997" max="9997" width="6.140625" style="36" customWidth="1"/>
    <col min="9998" max="10008" width="11.42578125" style="36" customWidth="1"/>
    <col min="10009" max="10238" width="11.42578125" style="36"/>
    <col min="10239" max="10239" width="5.28515625" style="36" customWidth="1"/>
    <col min="10240" max="10240" width="15.28515625" style="36" customWidth="1"/>
    <col min="10241" max="10241" width="14.42578125" style="36" bestFit="1" customWidth="1"/>
    <col min="10242" max="10242" width="10.42578125" style="36" bestFit="1" customWidth="1"/>
    <col min="10243" max="10243" width="12.28515625" style="36" customWidth="1"/>
    <col min="10244" max="10248" width="11.42578125" style="36" customWidth="1"/>
    <col min="10249" max="10250" width="10.5703125" style="36" bestFit="1" customWidth="1"/>
    <col min="10251" max="10252" width="11.42578125" style="36" customWidth="1"/>
    <col min="10253" max="10253" width="6.140625" style="36" customWidth="1"/>
    <col min="10254" max="10264" width="11.42578125" style="36" customWidth="1"/>
    <col min="10265" max="10494" width="11.42578125" style="36"/>
    <col min="10495" max="10495" width="5.28515625" style="36" customWidth="1"/>
    <col min="10496" max="10496" width="15.28515625" style="36" customWidth="1"/>
    <col min="10497" max="10497" width="14.42578125" style="36" bestFit="1" customWidth="1"/>
    <col min="10498" max="10498" width="10.42578125" style="36" bestFit="1" customWidth="1"/>
    <col min="10499" max="10499" width="12.28515625" style="36" customWidth="1"/>
    <col min="10500" max="10504" width="11.42578125" style="36" customWidth="1"/>
    <col min="10505" max="10506" width="10.5703125" style="36" bestFit="1" customWidth="1"/>
    <col min="10507" max="10508" width="11.42578125" style="36" customWidth="1"/>
    <col min="10509" max="10509" width="6.140625" style="36" customWidth="1"/>
    <col min="10510" max="10520" width="11.42578125" style="36" customWidth="1"/>
    <col min="10521" max="10750" width="11.42578125" style="36"/>
    <col min="10751" max="10751" width="5.28515625" style="36" customWidth="1"/>
    <col min="10752" max="10752" width="15.28515625" style="36" customWidth="1"/>
    <col min="10753" max="10753" width="14.42578125" style="36" bestFit="1" customWidth="1"/>
    <col min="10754" max="10754" width="10.42578125" style="36" bestFit="1" customWidth="1"/>
    <col min="10755" max="10755" width="12.28515625" style="36" customWidth="1"/>
    <col min="10756" max="10760" width="11.42578125" style="36" customWidth="1"/>
    <col min="10761" max="10762" width="10.5703125" style="36" bestFit="1" customWidth="1"/>
    <col min="10763" max="10764" width="11.42578125" style="36" customWidth="1"/>
    <col min="10765" max="10765" width="6.140625" style="36" customWidth="1"/>
    <col min="10766" max="10776" width="11.42578125" style="36" customWidth="1"/>
    <col min="10777" max="11006" width="11.42578125" style="36"/>
    <col min="11007" max="11007" width="5.28515625" style="36" customWidth="1"/>
    <col min="11008" max="11008" width="15.28515625" style="36" customWidth="1"/>
    <col min="11009" max="11009" width="14.42578125" style="36" bestFit="1" customWidth="1"/>
    <col min="11010" max="11010" width="10.42578125" style="36" bestFit="1" customWidth="1"/>
    <col min="11011" max="11011" width="12.28515625" style="36" customWidth="1"/>
    <col min="11012" max="11016" width="11.42578125" style="36" customWidth="1"/>
    <col min="11017" max="11018" width="10.5703125" style="36" bestFit="1" customWidth="1"/>
    <col min="11019" max="11020" width="11.42578125" style="36" customWidth="1"/>
    <col min="11021" max="11021" width="6.140625" style="36" customWidth="1"/>
    <col min="11022" max="11032" width="11.42578125" style="36" customWidth="1"/>
    <col min="11033" max="11262" width="11.42578125" style="36"/>
    <col min="11263" max="11263" width="5.28515625" style="36" customWidth="1"/>
    <col min="11264" max="11264" width="15.28515625" style="36" customWidth="1"/>
    <col min="11265" max="11265" width="14.42578125" style="36" bestFit="1" customWidth="1"/>
    <col min="11266" max="11266" width="10.42578125" style="36" bestFit="1" customWidth="1"/>
    <col min="11267" max="11267" width="12.28515625" style="36" customWidth="1"/>
    <col min="11268" max="11272" width="11.42578125" style="36" customWidth="1"/>
    <col min="11273" max="11274" width="10.5703125" style="36" bestFit="1" customWidth="1"/>
    <col min="11275" max="11276" width="11.42578125" style="36" customWidth="1"/>
    <col min="11277" max="11277" width="6.140625" style="36" customWidth="1"/>
    <col min="11278" max="11288" width="11.42578125" style="36" customWidth="1"/>
    <col min="11289" max="11518" width="11.42578125" style="36"/>
    <col min="11519" max="11519" width="5.28515625" style="36" customWidth="1"/>
    <col min="11520" max="11520" width="15.28515625" style="36" customWidth="1"/>
    <col min="11521" max="11521" width="14.42578125" style="36" bestFit="1" customWidth="1"/>
    <col min="11522" max="11522" width="10.42578125" style="36" bestFit="1" customWidth="1"/>
    <col min="11523" max="11523" width="12.28515625" style="36" customWidth="1"/>
    <col min="11524" max="11528" width="11.42578125" style="36" customWidth="1"/>
    <col min="11529" max="11530" width="10.5703125" style="36" bestFit="1" customWidth="1"/>
    <col min="11531" max="11532" width="11.42578125" style="36" customWidth="1"/>
    <col min="11533" max="11533" width="6.140625" style="36" customWidth="1"/>
    <col min="11534" max="11544" width="11.42578125" style="36" customWidth="1"/>
    <col min="11545" max="11774" width="11.42578125" style="36"/>
    <col min="11775" max="11775" width="5.28515625" style="36" customWidth="1"/>
    <col min="11776" max="11776" width="15.28515625" style="36" customWidth="1"/>
    <col min="11777" max="11777" width="14.42578125" style="36" bestFit="1" customWidth="1"/>
    <col min="11778" max="11778" width="10.42578125" style="36" bestFit="1" customWidth="1"/>
    <col min="11779" max="11779" width="12.28515625" style="36" customWidth="1"/>
    <col min="11780" max="11784" width="11.42578125" style="36" customWidth="1"/>
    <col min="11785" max="11786" width="10.5703125" style="36" bestFit="1" customWidth="1"/>
    <col min="11787" max="11788" width="11.42578125" style="36" customWidth="1"/>
    <col min="11789" max="11789" width="6.140625" style="36" customWidth="1"/>
    <col min="11790" max="11800" width="11.42578125" style="36" customWidth="1"/>
    <col min="11801" max="12030" width="11.42578125" style="36"/>
    <col min="12031" max="12031" width="5.28515625" style="36" customWidth="1"/>
    <col min="12032" max="12032" width="15.28515625" style="36" customWidth="1"/>
    <col min="12033" max="12033" width="14.42578125" style="36" bestFit="1" customWidth="1"/>
    <col min="12034" max="12034" width="10.42578125" style="36" bestFit="1" customWidth="1"/>
    <col min="12035" max="12035" width="12.28515625" style="36" customWidth="1"/>
    <col min="12036" max="12040" width="11.42578125" style="36" customWidth="1"/>
    <col min="12041" max="12042" width="10.5703125" style="36" bestFit="1" customWidth="1"/>
    <col min="12043" max="12044" width="11.42578125" style="36" customWidth="1"/>
    <col min="12045" max="12045" width="6.140625" style="36" customWidth="1"/>
    <col min="12046" max="12056" width="11.42578125" style="36" customWidth="1"/>
    <col min="12057" max="12286" width="11.42578125" style="36"/>
    <col min="12287" max="12287" width="5.28515625" style="36" customWidth="1"/>
    <col min="12288" max="12288" width="15.28515625" style="36" customWidth="1"/>
    <col min="12289" max="12289" width="14.42578125" style="36" bestFit="1" customWidth="1"/>
    <col min="12290" max="12290" width="10.42578125" style="36" bestFit="1" customWidth="1"/>
    <col min="12291" max="12291" width="12.28515625" style="36" customWidth="1"/>
    <col min="12292" max="12296" width="11.42578125" style="36" customWidth="1"/>
    <col min="12297" max="12298" width="10.5703125" style="36" bestFit="1" customWidth="1"/>
    <col min="12299" max="12300" width="11.42578125" style="36" customWidth="1"/>
    <col min="12301" max="12301" width="6.140625" style="36" customWidth="1"/>
    <col min="12302" max="12312" width="11.42578125" style="36" customWidth="1"/>
    <col min="12313" max="12542" width="11.42578125" style="36"/>
    <col min="12543" max="12543" width="5.28515625" style="36" customWidth="1"/>
    <col min="12544" max="12544" width="15.28515625" style="36" customWidth="1"/>
    <col min="12545" max="12545" width="14.42578125" style="36" bestFit="1" customWidth="1"/>
    <col min="12546" max="12546" width="10.42578125" style="36" bestFit="1" customWidth="1"/>
    <col min="12547" max="12547" width="12.28515625" style="36" customWidth="1"/>
    <col min="12548" max="12552" width="11.42578125" style="36" customWidth="1"/>
    <col min="12553" max="12554" width="10.5703125" style="36" bestFit="1" customWidth="1"/>
    <col min="12555" max="12556" width="11.42578125" style="36" customWidth="1"/>
    <col min="12557" max="12557" width="6.140625" style="36" customWidth="1"/>
    <col min="12558" max="12568" width="11.42578125" style="36" customWidth="1"/>
    <col min="12569" max="12798" width="11.42578125" style="36"/>
    <col min="12799" max="12799" width="5.28515625" style="36" customWidth="1"/>
    <col min="12800" max="12800" width="15.28515625" style="36" customWidth="1"/>
    <col min="12801" max="12801" width="14.42578125" style="36" bestFit="1" customWidth="1"/>
    <col min="12802" max="12802" width="10.42578125" style="36" bestFit="1" customWidth="1"/>
    <col min="12803" max="12803" width="12.28515625" style="36" customWidth="1"/>
    <col min="12804" max="12808" width="11.42578125" style="36" customWidth="1"/>
    <col min="12809" max="12810" width="10.5703125" style="36" bestFit="1" customWidth="1"/>
    <col min="12811" max="12812" width="11.42578125" style="36" customWidth="1"/>
    <col min="12813" max="12813" width="6.140625" style="36" customWidth="1"/>
    <col min="12814" max="12824" width="11.42578125" style="36" customWidth="1"/>
    <col min="12825" max="13054" width="11.42578125" style="36"/>
    <col min="13055" max="13055" width="5.28515625" style="36" customWidth="1"/>
    <col min="13056" max="13056" width="15.28515625" style="36" customWidth="1"/>
    <col min="13057" max="13057" width="14.42578125" style="36" bestFit="1" customWidth="1"/>
    <col min="13058" max="13058" width="10.42578125" style="36" bestFit="1" customWidth="1"/>
    <col min="13059" max="13059" width="12.28515625" style="36" customWidth="1"/>
    <col min="13060" max="13064" width="11.42578125" style="36" customWidth="1"/>
    <col min="13065" max="13066" width="10.5703125" style="36" bestFit="1" customWidth="1"/>
    <col min="13067" max="13068" width="11.42578125" style="36" customWidth="1"/>
    <col min="13069" max="13069" width="6.140625" style="36" customWidth="1"/>
    <col min="13070" max="13080" width="11.42578125" style="36" customWidth="1"/>
    <col min="13081" max="13310" width="11.42578125" style="36"/>
    <col min="13311" max="13311" width="5.28515625" style="36" customWidth="1"/>
    <col min="13312" max="13312" width="15.28515625" style="36" customWidth="1"/>
    <col min="13313" max="13313" width="14.42578125" style="36" bestFit="1" customWidth="1"/>
    <col min="13314" max="13314" width="10.42578125" style="36" bestFit="1" customWidth="1"/>
    <col min="13315" max="13315" width="12.28515625" style="36" customWidth="1"/>
    <col min="13316" max="13320" width="11.42578125" style="36" customWidth="1"/>
    <col min="13321" max="13322" width="10.5703125" style="36" bestFit="1" customWidth="1"/>
    <col min="13323" max="13324" width="11.42578125" style="36" customWidth="1"/>
    <col min="13325" max="13325" width="6.140625" style="36" customWidth="1"/>
    <col min="13326" max="13336" width="11.42578125" style="36" customWidth="1"/>
    <col min="13337" max="13566" width="11.42578125" style="36"/>
    <col min="13567" max="13567" width="5.28515625" style="36" customWidth="1"/>
    <col min="13568" max="13568" width="15.28515625" style="36" customWidth="1"/>
    <col min="13569" max="13569" width="14.42578125" style="36" bestFit="1" customWidth="1"/>
    <col min="13570" max="13570" width="10.42578125" style="36" bestFit="1" customWidth="1"/>
    <col min="13571" max="13571" width="12.28515625" style="36" customWidth="1"/>
    <col min="13572" max="13576" width="11.42578125" style="36" customWidth="1"/>
    <col min="13577" max="13578" width="10.5703125" style="36" bestFit="1" customWidth="1"/>
    <col min="13579" max="13580" width="11.42578125" style="36" customWidth="1"/>
    <col min="13581" max="13581" width="6.140625" style="36" customWidth="1"/>
    <col min="13582" max="13592" width="11.42578125" style="36" customWidth="1"/>
    <col min="13593" max="13822" width="11.42578125" style="36"/>
    <col min="13823" max="13823" width="5.28515625" style="36" customWidth="1"/>
    <col min="13824" max="13824" width="15.28515625" style="36" customWidth="1"/>
    <col min="13825" max="13825" width="14.42578125" style="36" bestFit="1" customWidth="1"/>
    <col min="13826" max="13826" width="10.42578125" style="36" bestFit="1" customWidth="1"/>
    <col min="13827" max="13827" width="12.28515625" style="36" customWidth="1"/>
    <col min="13828" max="13832" width="11.42578125" style="36" customWidth="1"/>
    <col min="13833" max="13834" width="10.5703125" style="36" bestFit="1" customWidth="1"/>
    <col min="13835" max="13836" width="11.42578125" style="36" customWidth="1"/>
    <col min="13837" max="13837" width="6.140625" style="36" customWidth="1"/>
    <col min="13838" max="13848" width="11.42578125" style="36" customWidth="1"/>
    <col min="13849" max="14078" width="11.42578125" style="36"/>
    <col min="14079" max="14079" width="5.28515625" style="36" customWidth="1"/>
    <col min="14080" max="14080" width="15.28515625" style="36" customWidth="1"/>
    <col min="14081" max="14081" width="14.42578125" style="36" bestFit="1" customWidth="1"/>
    <col min="14082" max="14082" width="10.42578125" style="36" bestFit="1" customWidth="1"/>
    <col min="14083" max="14083" width="12.28515625" style="36" customWidth="1"/>
    <col min="14084" max="14088" width="11.42578125" style="36" customWidth="1"/>
    <col min="14089" max="14090" width="10.5703125" style="36" bestFit="1" customWidth="1"/>
    <col min="14091" max="14092" width="11.42578125" style="36" customWidth="1"/>
    <col min="14093" max="14093" width="6.140625" style="36" customWidth="1"/>
    <col min="14094" max="14104" width="11.42578125" style="36" customWidth="1"/>
    <col min="14105" max="14334" width="11.42578125" style="36"/>
    <col min="14335" max="14335" width="5.28515625" style="36" customWidth="1"/>
    <col min="14336" max="14336" width="15.28515625" style="36" customWidth="1"/>
    <col min="14337" max="14337" width="14.42578125" style="36" bestFit="1" customWidth="1"/>
    <col min="14338" max="14338" width="10.42578125" style="36" bestFit="1" customWidth="1"/>
    <col min="14339" max="14339" width="12.28515625" style="36" customWidth="1"/>
    <col min="14340" max="14344" width="11.42578125" style="36" customWidth="1"/>
    <col min="14345" max="14346" width="10.5703125" style="36" bestFit="1" customWidth="1"/>
    <col min="14347" max="14348" width="11.42578125" style="36" customWidth="1"/>
    <col min="14349" max="14349" width="6.140625" style="36" customWidth="1"/>
    <col min="14350" max="14360" width="11.42578125" style="36" customWidth="1"/>
    <col min="14361" max="14590" width="11.42578125" style="36"/>
    <col min="14591" max="14591" width="5.28515625" style="36" customWidth="1"/>
    <col min="14592" max="14592" width="15.28515625" style="36" customWidth="1"/>
    <col min="14593" max="14593" width="14.42578125" style="36" bestFit="1" customWidth="1"/>
    <col min="14594" max="14594" width="10.42578125" style="36" bestFit="1" customWidth="1"/>
    <col min="14595" max="14595" width="12.28515625" style="36" customWidth="1"/>
    <col min="14596" max="14600" width="11.42578125" style="36" customWidth="1"/>
    <col min="14601" max="14602" width="10.5703125" style="36" bestFit="1" customWidth="1"/>
    <col min="14603" max="14604" width="11.42578125" style="36" customWidth="1"/>
    <col min="14605" max="14605" width="6.140625" style="36" customWidth="1"/>
    <col min="14606" max="14616" width="11.42578125" style="36" customWidth="1"/>
    <col min="14617" max="14846" width="11.42578125" style="36"/>
    <col min="14847" max="14847" width="5.28515625" style="36" customWidth="1"/>
    <col min="14848" max="14848" width="15.28515625" style="36" customWidth="1"/>
    <col min="14849" max="14849" width="14.42578125" style="36" bestFit="1" customWidth="1"/>
    <col min="14850" max="14850" width="10.42578125" style="36" bestFit="1" customWidth="1"/>
    <col min="14851" max="14851" width="12.28515625" style="36" customWidth="1"/>
    <col min="14852" max="14856" width="11.42578125" style="36" customWidth="1"/>
    <col min="14857" max="14858" width="10.5703125" style="36" bestFit="1" customWidth="1"/>
    <col min="14859" max="14860" width="11.42578125" style="36" customWidth="1"/>
    <col min="14861" max="14861" width="6.140625" style="36" customWidth="1"/>
    <col min="14862" max="14872" width="11.42578125" style="36" customWidth="1"/>
    <col min="14873" max="15102" width="11.42578125" style="36"/>
    <col min="15103" max="15103" width="5.28515625" style="36" customWidth="1"/>
    <col min="15104" max="15104" width="15.28515625" style="36" customWidth="1"/>
    <col min="15105" max="15105" width="14.42578125" style="36" bestFit="1" customWidth="1"/>
    <col min="15106" max="15106" width="10.42578125" style="36" bestFit="1" customWidth="1"/>
    <col min="15107" max="15107" width="12.28515625" style="36" customWidth="1"/>
    <col min="15108" max="15112" width="11.42578125" style="36" customWidth="1"/>
    <col min="15113" max="15114" width="10.5703125" style="36" bestFit="1" customWidth="1"/>
    <col min="15115" max="15116" width="11.42578125" style="36" customWidth="1"/>
    <col min="15117" max="15117" width="6.140625" style="36" customWidth="1"/>
    <col min="15118" max="15128" width="11.42578125" style="36" customWidth="1"/>
    <col min="15129" max="15358" width="11.42578125" style="36"/>
    <col min="15359" max="15359" width="5.28515625" style="36" customWidth="1"/>
    <col min="15360" max="15360" width="15.28515625" style="36" customWidth="1"/>
    <col min="15361" max="15361" width="14.42578125" style="36" bestFit="1" customWidth="1"/>
    <col min="15362" max="15362" width="10.42578125" style="36" bestFit="1" customWidth="1"/>
    <col min="15363" max="15363" width="12.28515625" style="36" customWidth="1"/>
    <col min="15364" max="15368" width="11.42578125" style="36" customWidth="1"/>
    <col min="15369" max="15370" width="10.5703125" style="36" bestFit="1" customWidth="1"/>
    <col min="15371" max="15372" width="11.42578125" style="36" customWidth="1"/>
    <col min="15373" max="15373" width="6.140625" style="36" customWidth="1"/>
    <col min="15374" max="15384" width="11.42578125" style="36" customWidth="1"/>
    <col min="15385" max="15614" width="11.42578125" style="36"/>
    <col min="15615" max="15615" width="5.28515625" style="36" customWidth="1"/>
    <col min="15616" max="15616" width="15.28515625" style="36" customWidth="1"/>
    <col min="15617" max="15617" width="14.42578125" style="36" bestFit="1" customWidth="1"/>
    <col min="15618" max="15618" width="10.42578125" style="36" bestFit="1" customWidth="1"/>
    <col min="15619" max="15619" width="12.28515625" style="36" customWidth="1"/>
    <col min="15620" max="15624" width="11.42578125" style="36" customWidth="1"/>
    <col min="15625" max="15626" width="10.5703125" style="36" bestFit="1" customWidth="1"/>
    <col min="15627" max="15628" width="11.42578125" style="36" customWidth="1"/>
    <col min="15629" max="15629" width="6.140625" style="36" customWidth="1"/>
    <col min="15630" max="15640" width="11.42578125" style="36" customWidth="1"/>
    <col min="15641" max="15870" width="11.42578125" style="36"/>
    <col min="15871" max="15871" width="5.28515625" style="36" customWidth="1"/>
    <col min="15872" max="15872" width="15.28515625" style="36" customWidth="1"/>
    <col min="15873" max="15873" width="14.42578125" style="36" bestFit="1" customWidth="1"/>
    <col min="15874" max="15874" width="10.42578125" style="36" bestFit="1" customWidth="1"/>
    <col min="15875" max="15875" width="12.28515625" style="36" customWidth="1"/>
    <col min="15876" max="15880" width="11.42578125" style="36" customWidth="1"/>
    <col min="15881" max="15882" width="10.5703125" style="36" bestFit="1" customWidth="1"/>
    <col min="15883" max="15884" width="11.42578125" style="36" customWidth="1"/>
    <col min="15885" max="15885" width="6.140625" style="36" customWidth="1"/>
    <col min="15886" max="15896" width="11.42578125" style="36" customWidth="1"/>
    <col min="15897" max="16126" width="11.42578125" style="36"/>
    <col min="16127" max="16127" width="5.28515625" style="36" customWidth="1"/>
    <col min="16128" max="16128" width="15.28515625" style="36" customWidth="1"/>
    <col min="16129" max="16129" width="14.42578125" style="36" bestFit="1" customWidth="1"/>
    <col min="16130" max="16130" width="10.42578125" style="36" bestFit="1" customWidth="1"/>
    <col min="16131" max="16131" width="12.28515625" style="36" customWidth="1"/>
    <col min="16132" max="16136" width="11.42578125" style="36" customWidth="1"/>
    <col min="16137" max="16138" width="10.5703125" style="36" bestFit="1" customWidth="1"/>
    <col min="16139" max="16140" width="11.42578125" style="36" customWidth="1"/>
    <col min="16141" max="16141" width="6.140625" style="36" customWidth="1"/>
    <col min="16142" max="16152" width="11.42578125" style="36" customWidth="1"/>
    <col min="16153" max="16384" width="11.42578125" style="36"/>
  </cols>
  <sheetData>
    <row r="1" spans="2:57" s="78" customFormat="1" ht="15.75" thickBot="1" x14ac:dyDescent="0.3">
      <c r="C1" s="37"/>
      <c r="N1" s="37"/>
      <c r="O1" s="883"/>
      <c r="P1" s="883"/>
      <c r="Q1" s="37"/>
      <c r="R1" s="37"/>
      <c r="S1" s="37"/>
      <c r="T1" s="37"/>
      <c r="U1" s="37"/>
      <c r="V1" s="37"/>
      <c r="W1" s="37"/>
      <c r="X1" s="37"/>
    </row>
    <row r="2" spans="2:57" s="78" customFormat="1" ht="6.75" customHeight="1" x14ac:dyDescent="0.25">
      <c r="B2" s="378"/>
      <c r="C2" s="379"/>
      <c r="D2" s="379"/>
      <c r="E2" s="379"/>
      <c r="F2" s="379"/>
      <c r="G2" s="379"/>
      <c r="H2" s="379"/>
      <c r="I2" s="379"/>
      <c r="J2" s="379"/>
      <c r="K2" s="379"/>
      <c r="L2" s="379"/>
      <c r="M2" s="379"/>
      <c r="N2" s="379"/>
      <c r="O2" s="379"/>
      <c r="P2" s="380"/>
      <c r="Q2" s="37"/>
      <c r="R2" s="37"/>
      <c r="S2" s="37"/>
      <c r="T2" s="37"/>
      <c r="U2" s="37"/>
      <c r="V2" s="37"/>
      <c r="W2" s="37"/>
      <c r="X2" s="37"/>
    </row>
    <row r="3" spans="2:57" s="1" customFormat="1" ht="36.75" thickBot="1" x14ac:dyDescent="0.4">
      <c r="B3" s="349"/>
      <c r="C3" s="345"/>
      <c r="D3" s="345"/>
      <c r="E3" s="345"/>
      <c r="F3" s="345"/>
      <c r="G3" s="345"/>
      <c r="H3" s="345"/>
      <c r="I3" s="345"/>
      <c r="J3" s="345"/>
      <c r="K3" s="345"/>
      <c r="L3" s="345"/>
      <c r="M3" s="345"/>
      <c r="N3" s="202"/>
      <c r="O3" s="202"/>
      <c r="P3" s="884">
        <v>1</v>
      </c>
      <c r="Q3" s="37"/>
      <c r="R3" s="37"/>
      <c r="S3" s="37"/>
      <c r="T3" s="882"/>
      <c r="BD3" s="57"/>
      <c r="BE3" s="57"/>
    </row>
    <row r="4" spans="2:57" s="1" customFormat="1" ht="33" customHeight="1" x14ac:dyDescent="0.35">
      <c r="B4" s="349"/>
      <c r="C4" s="1230" t="s">
        <v>1109</v>
      </c>
      <c r="D4" s="1231"/>
      <c r="E4" s="1231"/>
      <c r="F4" s="1231"/>
      <c r="G4" s="1231"/>
      <c r="H4" s="1231"/>
      <c r="I4" s="885"/>
      <c r="J4" s="885"/>
      <c r="K4" s="885"/>
      <c r="L4" s="885"/>
      <c r="M4" s="885"/>
      <c r="N4" s="886"/>
      <c r="O4" s="886"/>
      <c r="P4" s="380"/>
      <c r="T4" s="78"/>
      <c r="U4" s="78"/>
      <c r="V4" s="78"/>
      <c r="W4" s="78"/>
      <c r="X4" s="78"/>
      <c r="Y4" s="78"/>
      <c r="Z4" s="78"/>
      <c r="AA4" s="78"/>
      <c r="AB4" s="78"/>
      <c r="AC4" s="78"/>
      <c r="AD4" s="78"/>
      <c r="AE4" s="78"/>
      <c r="AF4" s="78"/>
      <c r="AG4" s="78"/>
      <c r="AH4" s="78"/>
      <c r="AI4" s="78"/>
      <c r="AJ4" s="78"/>
      <c r="AK4" s="78"/>
      <c r="AL4" s="78"/>
      <c r="AM4" s="78"/>
      <c r="AN4" s="78"/>
      <c r="AX4" s="57"/>
      <c r="AY4" s="57"/>
    </row>
    <row r="5" spans="2:57" s="16" customFormat="1" ht="33.75" x14ac:dyDescent="0.35">
      <c r="B5" s="349"/>
      <c r="C5" s="1229">
        <f>Report_Date</f>
        <v>43190</v>
      </c>
      <c r="D5" s="1094"/>
      <c r="E5" s="1094"/>
      <c r="F5" s="1094"/>
      <c r="G5" s="1094"/>
      <c r="H5" s="381"/>
      <c r="I5" s="381"/>
      <c r="J5" s="381"/>
      <c r="K5" s="381"/>
      <c r="L5" s="381"/>
      <c r="M5" s="381"/>
      <c r="N5" s="382"/>
      <c r="O5" s="382"/>
      <c r="P5" s="383"/>
      <c r="U5" s="78"/>
      <c r="V5" s="78"/>
      <c r="W5" s="78"/>
      <c r="X5" s="78"/>
      <c r="Y5" s="78"/>
      <c r="Z5" s="78"/>
      <c r="AA5" s="78"/>
      <c r="AB5" s="78"/>
      <c r="AC5" s="78"/>
      <c r="AD5" s="78"/>
      <c r="AE5" s="78"/>
      <c r="AF5" s="78"/>
      <c r="AG5" s="78"/>
      <c r="AH5" s="78"/>
      <c r="AI5" s="78"/>
      <c r="AJ5" s="78"/>
      <c r="AK5" s="78"/>
      <c r="AL5" s="78"/>
      <c r="AM5" s="78"/>
      <c r="AN5" s="78"/>
      <c r="AX5" s="58"/>
      <c r="AY5" s="58"/>
    </row>
    <row r="6" spans="2:57" ht="36" x14ac:dyDescent="0.55000000000000004">
      <c r="B6" s="48"/>
      <c r="C6" s="385"/>
      <c r="D6" s="374" t="s">
        <v>7</v>
      </c>
      <c r="E6" s="375">
        <f>'NFI Distribution by 12 Months'!AA32</f>
        <v>24707</v>
      </c>
      <c r="F6" s="38"/>
      <c r="G6" s="38"/>
      <c r="H6" s="38"/>
      <c r="I6" s="38"/>
      <c r="J6" s="38"/>
      <c r="K6" s="38"/>
      <c r="L6" s="38"/>
      <c r="M6" s="38"/>
      <c r="N6" s="373"/>
      <c r="O6" s="373"/>
      <c r="P6" s="367"/>
    </row>
    <row r="7" spans="2:57" s="78" customFormat="1" ht="34.5" customHeight="1" x14ac:dyDescent="0.25">
      <c r="B7" s="48"/>
      <c r="C7" s="385"/>
      <c r="D7" s="38"/>
      <c r="E7" s="38"/>
      <c r="F7" s="38"/>
      <c r="G7" s="38"/>
      <c r="H7" s="38"/>
      <c r="I7" s="38"/>
      <c r="J7" s="38"/>
      <c r="K7" s="38"/>
      <c r="L7" s="38"/>
      <c r="M7" s="38"/>
      <c r="N7" s="38"/>
      <c r="O7" s="38"/>
      <c r="P7" s="874">
        <v>1</v>
      </c>
      <c r="Q7" s="37"/>
      <c r="R7" s="37"/>
      <c r="S7" s="37"/>
      <c r="T7" s="37"/>
      <c r="U7" s="37"/>
      <c r="V7" s="37"/>
      <c r="W7" s="37"/>
      <c r="X7" s="37"/>
    </row>
    <row r="8" spans="2:57" x14ac:dyDescent="0.25">
      <c r="B8" s="48"/>
      <c r="C8" s="385"/>
      <c r="D8" s="38"/>
      <c r="E8" s="38"/>
      <c r="F8" s="38"/>
      <c r="G8" s="38"/>
      <c r="H8" s="38"/>
      <c r="I8" s="38"/>
      <c r="J8" s="38"/>
      <c r="K8" s="38"/>
      <c r="L8" s="38"/>
      <c r="M8" s="38"/>
      <c r="N8" s="38"/>
      <c r="O8" s="38"/>
      <c r="P8" s="874">
        <v>1</v>
      </c>
    </row>
    <row r="9" spans="2:57" ht="27" customHeight="1" x14ac:dyDescent="0.25">
      <c r="B9" s="48"/>
      <c r="C9" s="385"/>
      <c r="D9" s="38"/>
      <c r="E9" s="38"/>
      <c r="F9" s="38"/>
      <c r="G9" s="38"/>
      <c r="H9" s="38"/>
      <c r="I9" s="38"/>
      <c r="J9" s="38"/>
      <c r="K9" s="38"/>
      <c r="L9" s="38"/>
      <c r="M9" s="38"/>
      <c r="N9" s="38"/>
      <c r="O9" s="38"/>
      <c r="P9" s="874">
        <v>1</v>
      </c>
    </row>
    <row r="10" spans="2:57" s="78" customFormat="1" ht="9.75" customHeight="1" thickBot="1" x14ac:dyDescent="0.3">
      <c r="B10" s="48"/>
      <c r="C10" s="385"/>
      <c r="D10" s="38"/>
      <c r="E10" s="38"/>
      <c r="F10" s="38"/>
      <c r="G10" s="38"/>
      <c r="H10" s="38"/>
      <c r="I10" s="38"/>
      <c r="J10" s="38"/>
      <c r="K10" s="38"/>
      <c r="L10" s="38"/>
      <c r="M10" s="38"/>
      <c r="N10" s="38"/>
      <c r="O10" s="38"/>
      <c r="P10" s="874"/>
      <c r="Q10" s="37"/>
      <c r="R10" s="37"/>
      <c r="S10" s="37"/>
      <c r="T10" s="37"/>
      <c r="U10" s="37"/>
      <c r="V10" s="37"/>
      <c r="W10" s="37"/>
      <c r="X10" s="37"/>
    </row>
    <row r="11" spans="2:57" s="230" customFormat="1" ht="39.75" customHeight="1" x14ac:dyDescent="0.25">
      <c r="B11" s="384"/>
      <c r="C11" s="887"/>
      <c r="D11" s="876" t="s">
        <v>543</v>
      </c>
      <c r="E11" s="877" t="s">
        <v>1002</v>
      </c>
      <c r="F11" s="877" t="s">
        <v>1001</v>
      </c>
      <c r="G11" s="877" t="s">
        <v>1117</v>
      </c>
      <c r="H11" s="877" t="s">
        <v>998</v>
      </c>
      <c r="I11" s="877" t="s">
        <v>1116</v>
      </c>
      <c r="J11" s="879" t="s">
        <v>1110</v>
      </c>
      <c r="K11" s="879" t="s">
        <v>1111</v>
      </c>
      <c r="L11" s="890" t="s">
        <v>1112</v>
      </c>
      <c r="M11" s="890" t="s">
        <v>1113</v>
      </c>
      <c r="N11" s="889" t="s">
        <v>1136</v>
      </c>
      <c r="O11" s="880"/>
      <c r="P11" s="874">
        <v>1</v>
      </c>
      <c r="Q11" s="324"/>
      <c r="R11" s="324"/>
      <c r="S11" s="324"/>
      <c r="T11" s="324"/>
      <c r="U11" s="324"/>
      <c r="V11" s="324"/>
      <c r="W11" s="324"/>
      <c r="X11" s="324"/>
    </row>
    <row r="12" spans="2:57" s="230" customFormat="1" x14ac:dyDescent="0.25">
      <c r="B12" s="384"/>
      <c r="C12" s="887"/>
      <c r="D12" s="875" t="s">
        <v>552</v>
      </c>
      <c r="E12" s="905">
        <f t="shared" ref="E12:E21" si="0">$E$6</f>
        <v>24707</v>
      </c>
      <c r="F12" s="906">
        <f>'NFI Distribution by 12 Months'!C23</f>
        <v>6970</v>
      </c>
      <c r="G12" s="907">
        <f>IF((F12/E12)&gt;100%,100%,(F12/E12))</f>
        <v>0.28210628566802931</v>
      </c>
      <c r="H12" s="906">
        <f>E12-F12</f>
        <v>17737</v>
      </c>
      <c r="I12" s="903">
        <f>IF(H12/E12&lt;0,0,H12/E12)</f>
        <v>0.71789371433197069</v>
      </c>
      <c r="J12" s="908">
        <f>'NFI Distribution by 12 Months'!C124</f>
        <v>126524</v>
      </c>
      <c r="K12" s="909">
        <f>SUMIFS(NFI_Individual,NFI_Mosquito_Track,"&lt;&gt;0" )</f>
        <v>35918</v>
      </c>
      <c r="L12" s="910">
        <f>IF(K12/J12&gt;100%,100%,K12/J12)</f>
        <v>0.28388289968701591</v>
      </c>
      <c r="M12" s="918">
        <f>J12-K12</f>
        <v>90606</v>
      </c>
      <c r="N12" s="904">
        <f>IF(M12/J12&lt;0,0,M12/J12)</f>
        <v>0.71611710031298415</v>
      </c>
      <c r="O12" s="881"/>
      <c r="P12" s="377"/>
      <c r="Q12" s="324"/>
      <c r="R12" s="324"/>
      <c r="S12" s="324"/>
      <c r="T12" s="324"/>
      <c r="U12" s="324"/>
      <c r="V12" s="324"/>
      <c r="W12" s="324"/>
      <c r="X12" s="324"/>
    </row>
    <row r="13" spans="2:57" s="230" customFormat="1" x14ac:dyDescent="0.25">
      <c r="B13" s="384"/>
      <c r="C13" s="887"/>
      <c r="D13" s="325" t="s">
        <v>286</v>
      </c>
      <c r="E13" s="911">
        <f t="shared" si="0"/>
        <v>24707</v>
      </c>
      <c r="F13" s="912">
        <f>'NFI Distribution by 12 Months'!D23</f>
        <v>7424</v>
      </c>
      <c r="G13" s="913">
        <f t="shared" ref="G13:G21" si="1">IF((F13/E13)&gt;100%,100%,(F13/E13))</f>
        <v>0.3004816448779698</v>
      </c>
      <c r="H13" s="912">
        <f t="shared" ref="H13:H20" si="2">E13-F13</f>
        <v>17283</v>
      </c>
      <c r="I13" s="903">
        <f t="shared" ref="I13:I21" si="3">IF(H13/E13&lt;0,0,H13/E13)</f>
        <v>0.6995183551220302</v>
      </c>
      <c r="J13" s="914">
        <f>'NFI Distribution by 12 Months'!C124</f>
        <v>126524</v>
      </c>
      <c r="K13" s="915">
        <f>SUMIFS(NFI_Individual,NFI_Tarpaulin_Track,"&lt;&gt;0" )</f>
        <v>40490</v>
      </c>
      <c r="L13" s="916">
        <f t="shared" ref="L13:L21" si="4">IF(K13/J13&gt;100%,100%,K13/J13)</f>
        <v>0.32001833644209793</v>
      </c>
      <c r="M13" s="919">
        <f t="shared" ref="M13:M21" si="5">J13-K13</f>
        <v>86034</v>
      </c>
      <c r="N13" s="904">
        <f t="shared" ref="N13:N21" si="6">IF(M13/J13&lt;0,0,M13/J13)</f>
        <v>0.67998166355790202</v>
      </c>
      <c r="O13" s="881"/>
      <c r="P13" s="377"/>
      <c r="Q13" s="324"/>
      <c r="R13" s="324"/>
      <c r="S13" s="324"/>
      <c r="T13" s="324"/>
      <c r="U13" s="324"/>
      <c r="V13" s="324"/>
      <c r="W13" s="324"/>
      <c r="X13" s="324"/>
    </row>
    <row r="14" spans="2:57" s="230" customFormat="1" x14ac:dyDescent="0.25">
      <c r="B14" s="384"/>
      <c r="C14" s="887"/>
      <c r="D14" s="325" t="s">
        <v>218</v>
      </c>
      <c r="E14" s="911">
        <f t="shared" si="0"/>
        <v>24707</v>
      </c>
      <c r="F14" s="912">
        <f>'NFI Distribution by 12 Months'!E23</f>
        <v>4753</v>
      </c>
      <c r="G14" s="913">
        <f t="shared" si="1"/>
        <v>0.19237463067146962</v>
      </c>
      <c r="H14" s="912">
        <f t="shared" si="2"/>
        <v>19954</v>
      </c>
      <c r="I14" s="903">
        <f t="shared" si="3"/>
        <v>0.80762536932853035</v>
      </c>
      <c r="J14" s="914">
        <f>'NFI Distribution by 12 Months'!C124</f>
        <v>126524</v>
      </c>
      <c r="K14" s="915">
        <f>SUMIFS(NFI_Individual,NFI_Blanket_Track,"&lt;&gt;0" )</f>
        <v>23854</v>
      </c>
      <c r="L14" s="916">
        <f t="shared" si="4"/>
        <v>0.18853340077771807</v>
      </c>
      <c r="M14" s="919">
        <f t="shared" si="5"/>
        <v>102670</v>
      </c>
      <c r="N14" s="904">
        <f t="shared" si="6"/>
        <v>0.81146659922228193</v>
      </c>
      <c r="O14" s="881"/>
      <c r="P14" s="377"/>
      <c r="Q14" s="324"/>
      <c r="R14" s="324"/>
      <c r="S14" s="324"/>
      <c r="T14" s="673"/>
      <c r="U14" s="324"/>
      <c r="V14" s="324"/>
      <c r="W14" s="324"/>
      <c r="X14" s="324"/>
    </row>
    <row r="15" spans="2:57" s="230" customFormat="1" x14ac:dyDescent="0.25">
      <c r="B15" s="384"/>
      <c r="C15" s="887"/>
      <c r="D15" s="325" t="s">
        <v>219</v>
      </c>
      <c r="E15" s="911">
        <f t="shared" si="0"/>
        <v>24707</v>
      </c>
      <c r="F15" s="912">
        <f>'NFI Distribution by 12 Months'!F23</f>
        <v>6570</v>
      </c>
      <c r="G15" s="913">
        <f t="shared" si="1"/>
        <v>0.26591654187072489</v>
      </c>
      <c r="H15" s="912">
        <f t="shared" si="2"/>
        <v>18137</v>
      </c>
      <c r="I15" s="903">
        <f t="shared" si="3"/>
        <v>0.73408345812927511</v>
      </c>
      <c r="J15" s="914">
        <f>'NFI Distribution by 12 Months'!C124</f>
        <v>126524</v>
      </c>
      <c r="K15" s="915">
        <f>SUMIFS(NFI_Individual,NFI_Kitchen_Track,"&lt;&gt;0" )</f>
        <v>33696</v>
      </c>
      <c r="L15" s="916">
        <f t="shared" si="4"/>
        <v>0.26632101419493537</v>
      </c>
      <c r="M15" s="919">
        <f t="shared" si="5"/>
        <v>92828</v>
      </c>
      <c r="N15" s="904">
        <f t="shared" si="6"/>
        <v>0.73367898580506463</v>
      </c>
      <c r="O15" s="881"/>
      <c r="P15" s="377"/>
      <c r="Q15" s="324"/>
      <c r="R15" s="324"/>
      <c r="S15" s="324"/>
      <c r="T15" s="324"/>
      <c r="U15" s="324"/>
      <c r="V15" s="324"/>
      <c r="W15" s="324"/>
      <c r="X15" s="324"/>
    </row>
    <row r="16" spans="2:57" s="230" customFormat="1" x14ac:dyDescent="0.25">
      <c r="B16" s="384"/>
      <c r="C16" s="887"/>
      <c r="D16" s="325" t="s">
        <v>310</v>
      </c>
      <c r="E16" s="911">
        <f t="shared" si="0"/>
        <v>24707</v>
      </c>
      <c r="F16" s="912">
        <f>'NFI Distribution by 12 Months'!G23</f>
        <v>6</v>
      </c>
      <c r="G16" s="913">
        <f t="shared" si="1"/>
        <v>2.4284615695956612E-4</v>
      </c>
      <c r="H16" s="912">
        <f t="shared" si="2"/>
        <v>24701</v>
      </c>
      <c r="I16" s="903">
        <f t="shared" si="3"/>
        <v>0.99975715384304042</v>
      </c>
      <c r="J16" s="914">
        <f>'NFI Distribution by 12 Months'!C124</f>
        <v>126524</v>
      </c>
      <c r="K16" s="915">
        <f>SUMIFS(NFI_Individual,NFI_Complementary_Track,"&lt;&gt;0" )</f>
        <v>33</v>
      </c>
      <c r="L16" s="916">
        <f t="shared" si="4"/>
        <v>2.608200815655528E-4</v>
      </c>
      <c r="M16" s="919">
        <f t="shared" si="5"/>
        <v>126491</v>
      </c>
      <c r="N16" s="904">
        <f t="shared" si="6"/>
        <v>0.99973917991843442</v>
      </c>
      <c r="O16" s="881"/>
      <c r="P16" s="377"/>
      <c r="Q16" s="324"/>
      <c r="R16" s="324"/>
      <c r="S16" s="324"/>
      <c r="T16" s="324"/>
      <c r="U16" s="324"/>
      <c r="V16" s="324"/>
      <c r="W16" s="324"/>
      <c r="X16" s="324"/>
    </row>
    <row r="17" spans="2:24" s="230" customFormat="1" x14ac:dyDescent="0.25">
      <c r="B17" s="384"/>
      <c r="C17" s="887"/>
      <c r="D17" s="325" t="s">
        <v>536</v>
      </c>
      <c r="E17" s="911">
        <f t="shared" si="0"/>
        <v>24707</v>
      </c>
      <c r="F17" s="912">
        <f>'NFI Distribution by 12 Months'!H23</f>
        <v>7100</v>
      </c>
      <c r="G17" s="913">
        <f>IF((F17/E17)&gt;100%,100%,(F17/E17))</f>
        <v>0.28736795240215324</v>
      </c>
      <c r="H17" s="912">
        <f t="shared" si="2"/>
        <v>17607</v>
      </c>
      <c r="I17" s="903">
        <f t="shared" si="3"/>
        <v>0.71263204759784682</v>
      </c>
      <c r="J17" s="914">
        <f>'NFI Distribution by 12 Months'!C124</f>
        <v>126524</v>
      </c>
      <c r="K17" s="915">
        <f>SUMIFS(NFI_Individual,NFI_Plastic_Mat_Track,"&lt;&gt;0" )</f>
        <v>36611</v>
      </c>
      <c r="L17" s="916">
        <f t="shared" si="4"/>
        <v>0.28936012139989253</v>
      </c>
      <c r="M17" s="919">
        <f t="shared" si="5"/>
        <v>89913</v>
      </c>
      <c r="N17" s="904">
        <f t="shared" si="6"/>
        <v>0.71063987860010747</v>
      </c>
      <c r="O17" s="881"/>
      <c r="P17" s="377"/>
      <c r="Q17" s="324"/>
      <c r="R17" s="324"/>
      <c r="S17" s="324"/>
      <c r="T17" s="324"/>
      <c r="U17" s="324"/>
      <c r="V17" s="324"/>
      <c r="W17" s="324"/>
      <c r="X17" s="324"/>
    </row>
    <row r="18" spans="2:24" s="230" customFormat="1" x14ac:dyDescent="0.25">
      <c r="B18" s="384"/>
      <c r="C18" s="887"/>
      <c r="D18" s="425" t="s">
        <v>1035</v>
      </c>
      <c r="E18" s="911">
        <f t="shared" si="0"/>
        <v>24707</v>
      </c>
      <c r="F18" s="912">
        <f>'NFI Distribution by 12 Months'!I23</f>
        <v>80</v>
      </c>
      <c r="G18" s="913">
        <f>IF((F18/E18)&gt;100%,100%,(F18/E18))</f>
        <v>3.2379487594608814E-3</v>
      </c>
      <c r="H18" s="912">
        <f t="shared" si="2"/>
        <v>24627</v>
      </c>
      <c r="I18" s="903">
        <f t="shared" si="3"/>
        <v>0.99676205124053907</v>
      </c>
      <c r="J18" s="914">
        <f>'NFI Distribution by 12 Months'!C124</f>
        <v>126524</v>
      </c>
      <c r="K18" s="915">
        <f>SUMIFS(NFI_Individual,NFI_Adult_Clothes_Track,"&lt;&gt;0" )</f>
        <v>439</v>
      </c>
      <c r="L18" s="916">
        <f t="shared" si="4"/>
        <v>3.4696974487053839E-3</v>
      </c>
      <c r="M18" s="919">
        <f t="shared" si="5"/>
        <v>126085</v>
      </c>
      <c r="N18" s="904">
        <f t="shared" si="6"/>
        <v>0.9965303025512946</v>
      </c>
      <c r="O18" s="881"/>
      <c r="P18" s="377"/>
      <c r="Q18" s="324"/>
      <c r="R18" s="324"/>
      <c r="S18" s="324"/>
      <c r="T18" s="324"/>
      <c r="U18" s="324"/>
      <c r="V18" s="324"/>
      <c r="W18" s="324"/>
      <c r="X18" s="324"/>
    </row>
    <row r="19" spans="2:24" s="230" customFormat="1" x14ac:dyDescent="0.25">
      <c r="B19" s="384"/>
      <c r="C19" s="887"/>
      <c r="D19" s="425" t="s">
        <v>1023</v>
      </c>
      <c r="E19" s="911">
        <f t="shared" si="0"/>
        <v>24707</v>
      </c>
      <c r="F19" s="917">
        <f>'NFI Distribution by 12 Months'!J23</f>
        <v>0</v>
      </c>
      <c r="G19" s="913">
        <f t="shared" ref="G19:G20" si="7">IF((F19/E19)&gt;100%,100%,(F19/E19))</f>
        <v>0</v>
      </c>
      <c r="H19" s="912">
        <f t="shared" si="2"/>
        <v>24707</v>
      </c>
      <c r="I19" s="903">
        <f t="shared" si="3"/>
        <v>1</v>
      </c>
      <c r="J19" s="914">
        <f>'NFI Distribution by 12 Months'!C124</f>
        <v>126524</v>
      </c>
      <c r="K19" s="915">
        <f>SUMIFS(NFI_Individual,NFI_Children_Clothes_Track,"&lt;&gt;0" )</f>
        <v>0</v>
      </c>
      <c r="L19" s="916">
        <f t="shared" si="4"/>
        <v>0</v>
      </c>
      <c r="M19" s="919">
        <f t="shared" si="5"/>
        <v>126524</v>
      </c>
      <c r="N19" s="904">
        <f t="shared" si="6"/>
        <v>1</v>
      </c>
      <c r="O19" s="881"/>
      <c r="P19" s="377"/>
      <c r="Q19" s="324"/>
      <c r="R19" s="324"/>
      <c r="S19" s="324"/>
      <c r="T19" s="324"/>
      <c r="U19" s="324"/>
      <c r="V19" s="324"/>
      <c r="W19" s="324"/>
      <c r="X19" s="324"/>
    </row>
    <row r="20" spans="2:24" s="230" customFormat="1" x14ac:dyDescent="0.25">
      <c r="B20" s="384"/>
      <c r="C20" s="887"/>
      <c r="D20" s="425" t="s">
        <v>1052</v>
      </c>
      <c r="E20" s="911">
        <f t="shared" si="0"/>
        <v>24707</v>
      </c>
      <c r="F20" s="917">
        <f>'NFI Distribution by 12 Months'!L23</f>
        <v>689</v>
      </c>
      <c r="G20" s="913">
        <f t="shared" si="7"/>
        <v>2.7886833690856844E-2</v>
      </c>
      <c r="H20" s="912">
        <f t="shared" si="2"/>
        <v>24018</v>
      </c>
      <c r="I20" s="903">
        <f t="shared" si="3"/>
        <v>0.97211316630914313</v>
      </c>
      <c r="J20" s="914">
        <f>'NFI Distribution by 12 Months'!C124</f>
        <v>126524</v>
      </c>
      <c r="K20" s="915">
        <f>SUMIFS(NFI_Individual,NFI_Solar_Lantern_Track,"&lt;&gt;0" )</f>
        <v>3639</v>
      </c>
      <c r="L20" s="916">
        <f t="shared" si="4"/>
        <v>2.8761341721728683E-2</v>
      </c>
      <c r="M20" s="919">
        <f t="shared" si="5"/>
        <v>122885</v>
      </c>
      <c r="N20" s="904">
        <f t="shared" si="6"/>
        <v>0.97123865827827127</v>
      </c>
      <c r="O20" s="881"/>
      <c r="P20" s="377"/>
      <c r="Q20" s="324"/>
      <c r="R20" s="324"/>
      <c r="S20" s="324"/>
      <c r="T20" s="324"/>
      <c r="U20" s="324"/>
      <c r="V20" s="324"/>
      <c r="W20" s="324"/>
      <c r="X20" s="324"/>
    </row>
    <row r="21" spans="2:24" s="230" customFormat="1" ht="15.75" thickBot="1" x14ac:dyDescent="0.3">
      <c r="B21" s="384"/>
      <c r="C21" s="887"/>
      <c r="D21" s="1006" t="s">
        <v>193</v>
      </c>
      <c r="E21" s="1007">
        <f t="shared" si="0"/>
        <v>24707</v>
      </c>
      <c r="F21" s="1002">
        <f>'NFI Distribution by 12 Months'!M23</f>
        <v>35630</v>
      </c>
      <c r="G21" s="1008">
        <f t="shared" si="1"/>
        <v>1</v>
      </c>
      <c r="H21" s="1002">
        <f>E21-F21</f>
        <v>-10923</v>
      </c>
      <c r="I21" s="1009">
        <f t="shared" si="3"/>
        <v>0</v>
      </c>
      <c r="J21" s="1010">
        <f>'NFI Distribution by 12 Months'!C124</f>
        <v>126524</v>
      </c>
      <c r="K21" s="1003">
        <f>SUMIFS(NFI_Individual,NFI_Core_Track,"&lt;&gt;0" )</f>
        <v>190510</v>
      </c>
      <c r="L21" s="1011">
        <f t="shared" si="4"/>
        <v>1</v>
      </c>
      <c r="M21" s="919">
        <f t="shared" si="5"/>
        <v>-63986</v>
      </c>
      <c r="N21" s="1012">
        <f t="shared" si="6"/>
        <v>0</v>
      </c>
      <c r="O21" s="881"/>
      <c r="P21" s="377"/>
      <c r="Q21" s="324"/>
      <c r="R21" s="324"/>
      <c r="S21" s="324"/>
      <c r="T21" s="324"/>
      <c r="U21" s="324"/>
      <c r="V21" s="324"/>
      <c r="W21" s="324"/>
      <c r="X21" s="324"/>
    </row>
    <row r="22" spans="2:24" s="230" customFormat="1" x14ac:dyDescent="0.25">
      <c r="B22" s="384"/>
      <c r="C22" s="887"/>
      <c r="D22" s="868"/>
      <c r="E22" s="869"/>
      <c r="F22" s="870"/>
      <c r="G22" s="871"/>
      <c r="H22" s="870"/>
      <c r="I22" s="872"/>
      <c r="J22" s="870"/>
      <c r="K22" s="871"/>
      <c r="L22" s="873"/>
      <c r="M22" s="871"/>
      <c r="N22" s="376"/>
      <c r="O22" s="376"/>
      <c r="P22" s="377"/>
      <c r="Q22" s="324"/>
      <c r="R22" s="324"/>
      <c r="S22" s="324"/>
      <c r="T22" s="324"/>
      <c r="U22" s="324"/>
      <c r="V22" s="324"/>
      <c r="W22" s="324"/>
      <c r="X22" s="324"/>
    </row>
    <row r="23" spans="2:24" x14ac:dyDescent="0.25">
      <c r="B23" s="48"/>
      <c r="C23" s="385"/>
      <c r="D23" s="38"/>
      <c r="E23" s="38"/>
      <c r="F23" s="38"/>
      <c r="G23" s="38"/>
      <c r="H23" s="38"/>
      <c r="I23" s="38"/>
      <c r="J23" s="38"/>
      <c r="K23" s="38"/>
      <c r="L23" s="38"/>
      <c r="M23" s="38"/>
      <c r="N23" s="38"/>
      <c r="O23" s="38"/>
      <c r="P23" s="367"/>
    </row>
    <row r="24" spans="2:24" s="669" customFormat="1" x14ac:dyDescent="0.25">
      <c r="B24" s="48"/>
      <c r="C24" s="385"/>
      <c r="D24" s="38"/>
      <c r="E24" s="38"/>
      <c r="F24" s="38"/>
      <c r="G24" s="38"/>
      <c r="H24" s="38"/>
      <c r="I24" s="38"/>
      <c r="J24" s="38"/>
      <c r="K24" s="38"/>
      <c r="L24" s="38"/>
      <c r="M24" s="38"/>
      <c r="N24" s="38"/>
      <c r="O24" s="38"/>
      <c r="P24" s="367"/>
      <c r="Q24" s="37"/>
      <c r="R24" s="37"/>
      <c r="S24" s="37"/>
      <c r="T24" s="37"/>
      <c r="U24" s="37"/>
      <c r="V24" s="37"/>
      <c r="W24" s="37"/>
      <c r="X24" s="37"/>
    </row>
    <row r="25" spans="2:24" x14ac:dyDescent="0.25">
      <c r="B25" s="48"/>
      <c r="C25" s="385"/>
      <c r="D25" s="38"/>
      <c r="E25" s="38"/>
      <c r="F25" s="38"/>
      <c r="G25" s="38"/>
      <c r="H25" s="38"/>
      <c r="I25" s="38"/>
      <c r="J25" s="38"/>
      <c r="K25" s="878"/>
      <c r="L25" s="38"/>
      <c r="M25" s="38"/>
      <c r="N25" s="38"/>
      <c r="O25" s="38"/>
      <c r="P25" s="367"/>
    </row>
    <row r="26" spans="2:24" x14ac:dyDescent="0.25">
      <c r="B26" s="48"/>
      <c r="C26" s="385"/>
      <c r="D26" s="38"/>
      <c r="E26" s="38"/>
      <c r="F26" s="38"/>
      <c r="G26" s="38"/>
      <c r="H26" s="38"/>
      <c r="I26" s="38"/>
      <c r="J26" s="38"/>
      <c r="K26" s="38"/>
      <c r="L26" s="38"/>
      <c r="M26" s="38"/>
      <c r="N26" s="38"/>
      <c r="O26" s="38"/>
      <c r="P26" s="367"/>
    </row>
    <row r="27" spans="2:24" x14ac:dyDescent="0.25">
      <c r="B27" s="48"/>
      <c r="C27" s="385"/>
      <c r="D27" s="38"/>
      <c r="E27" s="38"/>
      <c r="F27" s="38"/>
      <c r="G27" s="38"/>
      <c r="H27" s="38"/>
      <c r="I27" s="38"/>
      <c r="J27" s="38"/>
      <c r="K27" s="38"/>
      <c r="L27" s="38"/>
      <c r="M27" s="38"/>
      <c r="N27" s="38"/>
      <c r="O27" s="38"/>
      <c r="P27" s="367"/>
    </row>
    <row r="28" spans="2:24" x14ac:dyDescent="0.25">
      <c r="B28" s="48"/>
      <c r="C28" s="385"/>
      <c r="D28" s="38"/>
      <c r="E28" s="38"/>
      <c r="F28" s="38"/>
      <c r="G28" s="38"/>
      <c r="H28" s="38"/>
      <c r="I28" s="38"/>
      <c r="J28" s="38"/>
      <c r="K28" s="38"/>
      <c r="L28" s="38"/>
      <c r="M28" s="38"/>
      <c r="N28" s="38"/>
      <c r="O28" s="38"/>
      <c r="P28" s="367"/>
    </row>
    <row r="29" spans="2:24" x14ac:dyDescent="0.25">
      <c r="B29" s="48"/>
      <c r="C29" s="385"/>
      <c r="D29" s="38"/>
      <c r="E29" s="38"/>
      <c r="F29" s="38"/>
      <c r="G29" s="38"/>
      <c r="H29" s="38"/>
      <c r="I29" s="38"/>
      <c r="J29" s="38"/>
      <c r="K29" s="38"/>
      <c r="L29" s="38"/>
      <c r="M29" s="38"/>
      <c r="N29" s="38"/>
      <c r="O29" s="38"/>
      <c r="P29" s="367"/>
    </row>
    <row r="30" spans="2:24" x14ac:dyDescent="0.25">
      <c r="B30" s="48"/>
      <c r="C30" s="385"/>
      <c r="D30" s="38"/>
      <c r="E30" s="38"/>
      <c r="F30" s="38"/>
      <c r="G30" s="38"/>
      <c r="H30" s="38"/>
      <c r="I30" s="38"/>
      <c r="J30" s="38"/>
      <c r="K30" s="38"/>
      <c r="L30" s="38"/>
      <c r="M30" s="38"/>
      <c r="N30" s="38"/>
      <c r="O30" s="38"/>
      <c r="P30" s="367"/>
    </row>
    <row r="31" spans="2:24" x14ac:dyDescent="0.25">
      <c r="B31" s="48"/>
      <c r="C31" s="385"/>
      <c r="D31" s="38"/>
      <c r="E31" s="38"/>
      <c r="F31" s="38"/>
      <c r="G31" s="38"/>
      <c r="H31" s="38"/>
      <c r="I31" s="38"/>
      <c r="J31" s="38"/>
      <c r="K31" s="38"/>
      <c r="L31" s="38"/>
      <c r="M31" s="38"/>
      <c r="N31" s="38"/>
      <c r="O31" s="38"/>
      <c r="P31" s="367"/>
    </row>
    <row r="32" spans="2:24" x14ac:dyDescent="0.25">
      <c r="B32" s="48"/>
      <c r="C32" s="385"/>
      <c r="D32" s="38"/>
      <c r="E32" s="38"/>
      <c r="F32" s="38"/>
      <c r="G32" s="38"/>
      <c r="H32" s="38"/>
      <c r="I32" s="38"/>
      <c r="J32" s="38"/>
      <c r="K32" s="38"/>
      <c r="L32" s="38"/>
      <c r="M32" s="38"/>
      <c r="N32" s="38"/>
      <c r="O32" s="38"/>
      <c r="P32" s="367"/>
    </row>
    <row r="33" spans="2:16" x14ac:dyDescent="0.25">
      <c r="B33" s="48"/>
      <c r="C33" s="385"/>
      <c r="D33" s="38"/>
      <c r="E33" s="38"/>
      <c r="F33" s="38"/>
      <c r="G33" s="38"/>
      <c r="H33" s="38"/>
      <c r="I33" s="38"/>
      <c r="J33" s="38"/>
      <c r="K33" s="38"/>
      <c r="L33" s="38"/>
      <c r="M33" s="38"/>
      <c r="N33" s="38"/>
      <c r="O33" s="38"/>
      <c r="P33" s="367"/>
    </row>
    <row r="34" spans="2:16" x14ac:dyDescent="0.25">
      <c r="B34" s="48"/>
      <c r="C34" s="385"/>
      <c r="D34" s="38"/>
      <c r="E34" s="38"/>
      <c r="F34" s="38"/>
      <c r="G34" s="38"/>
      <c r="H34" s="38"/>
      <c r="I34" s="38"/>
      <c r="J34" s="38"/>
      <c r="K34" s="38"/>
      <c r="L34" s="38"/>
      <c r="M34" s="38"/>
      <c r="N34" s="38"/>
      <c r="O34" s="38"/>
      <c r="P34" s="367"/>
    </row>
    <row r="35" spans="2:16" x14ac:dyDescent="0.25">
      <c r="B35" s="48"/>
      <c r="C35" s="385"/>
      <c r="D35" s="38"/>
      <c r="E35" s="38"/>
      <c r="F35" s="38"/>
      <c r="G35" s="38"/>
      <c r="H35" s="38"/>
      <c r="I35" s="38"/>
      <c r="J35" s="38"/>
      <c r="K35" s="38"/>
      <c r="L35" s="38"/>
      <c r="M35" s="38"/>
      <c r="N35" s="38"/>
      <c r="O35" s="38"/>
      <c r="P35" s="367"/>
    </row>
    <row r="36" spans="2:16" x14ac:dyDescent="0.25">
      <c r="B36" s="48"/>
      <c r="C36" s="385"/>
      <c r="D36" s="38"/>
      <c r="E36" s="38"/>
      <c r="F36" s="38"/>
      <c r="G36" s="38"/>
      <c r="H36" s="38"/>
      <c r="I36" s="38"/>
      <c r="J36" s="38"/>
      <c r="K36" s="38"/>
      <c r="L36" s="38"/>
      <c r="M36" s="38"/>
      <c r="N36" s="38"/>
      <c r="O36" s="38"/>
      <c r="P36" s="367"/>
    </row>
    <row r="37" spans="2:16" x14ac:dyDescent="0.25">
      <c r="B37" s="48"/>
      <c r="C37" s="385"/>
      <c r="D37" s="38"/>
      <c r="E37" s="38"/>
      <c r="F37" s="38"/>
      <c r="G37" s="38"/>
      <c r="H37" s="38"/>
      <c r="I37" s="38"/>
      <c r="J37" s="38"/>
      <c r="K37" s="38"/>
      <c r="L37" s="38"/>
      <c r="M37" s="38"/>
      <c r="N37" s="38"/>
      <c r="O37" s="38"/>
      <c r="P37" s="367"/>
    </row>
    <row r="38" spans="2:16" ht="68.25" customHeight="1" x14ac:dyDescent="0.25">
      <c r="B38" s="48"/>
      <c r="C38" s="385"/>
      <c r="D38" s="38"/>
      <c r="E38" s="38"/>
      <c r="F38" s="38"/>
      <c r="G38" s="38"/>
      <c r="H38" s="38"/>
      <c r="I38" s="38"/>
      <c r="J38" s="38"/>
      <c r="K38" s="38"/>
      <c r="L38" s="38"/>
      <c r="M38" s="38"/>
      <c r="N38" s="38"/>
      <c r="O38" s="38"/>
      <c r="P38" s="367"/>
    </row>
    <row r="39" spans="2:16" x14ac:dyDescent="0.25">
      <c r="B39" s="48"/>
      <c r="C39" s="385"/>
      <c r="D39" s="38"/>
      <c r="E39" s="38"/>
      <c r="F39" s="38"/>
      <c r="G39" s="38"/>
      <c r="H39" s="38"/>
      <c r="I39" s="38"/>
      <c r="J39" s="38"/>
      <c r="K39" s="38"/>
      <c r="L39" s="38"/>
      <c r="M39" s="38"/>
      <c r="N39" s="38"/>
      <c r="O39" s="38"/>
      <c r="P39" s="367"/>
    </row>
    <row r="40" spans="2:16" x14ac:dyDescent="0.25">
      <c r="B40" s="48"/>
      <c r="C40" s="385"/>
      <c r="D40" s="38"/>
      <c r="E40" s="38"/>
      <c r="F40" s="38"/>
      <c r="G40" s="38"/>
      <c r="H40" s="38"/>
      <c r="I40" s="38"/>
      <c r="J40" s="38"/>
      <c r="K40" s="38"/>
      <c r="L40" s="38"/>
      <c r="M40" s="38"/>
      <c r="N40" s="38"/>
      <c r="O40" s="38"/>
      <c r="P40" s="367"/>
    </row>
    <row r="41" spans="2:16" ht="15.75" thickBot="1" x14ac:dyDescent="0.3">
      <c r="B41" s="218"/>
      <c r="C41" s="888"/>
      <c r="D41" s="371"/>
      <c r="E41" s="371"/>
      <c r="F41" s="371"/>
      <c r="G41" s="371"/>
      <c r="H41" s="371"/>
      <c r="I41" s="371"/>
      <c r="J41" s="371"/>
      <c r="K41" s="371"/>
      <c r="L41" s="371"/>
      <c r="M41" s="371"/>
      <c r="N41" s="371"/>
      <c r="O41" s="371"/>
      <c r="P41" s="372"/>
    </row>
    <row r="42" spans="2:16" x14ac:dyDescent="0.25">
      <c r="H42" s="37"/>
    </row>
    <row r="47" spans="2:16" x14ac:dyDescent="0.25">
      <c r="D47"/>
      <c r="E47"/>
      <c r="F47"/>
      <c r="G47"/>
      <c r="H47"/>
    </row>
    <row r="78" spans="4:8" x14ac:dyDescent="0.25">
      <c r="D78"/>
      <c r="E78"/>
      <c r="F78"/>
      <c r="G78"/>
      <c r="H78"/>
    </row>
    <row r="79" spans="4:8" x14ac:dyDescent="0.25">
      <c r="D79"/>
      <c r="E79"/>
      <c r="F79"/>
      <c r="G79"/>
      <c r="H79"/>
    </row>
    <row r="80" spans="4:8" x14ac:dyDescent="0.25">
      <c r="D80"/>
      <c r="E80"/>
      <c r="F80"/>
      <c r="G80"/>
      <c r="H80"/>
    </row>
    <row r="81" spans="4:8" x14ac:dyDescent="0.25">
      <c r="D81"/>
      <c r="E81"/>
      <c r="F81"/>
      <c r="G81"/>
      <c r="H81"/>
    </row>
    <row r="82" spans="4:8" x14ac:dyDescent="0.25">
      <c r="D82"/>
      <c r="E82"/>
      <c r="F82"/>
      <c r="G82"/>
      <c r="H82"/>
    </row>
    <row r="83" spans="4:8" x14ac:dyDescent="0.25">
      <c r="D83"/>
      <c r="E83"/>
      <c r="F83"/>
      <c r="G83"/>
      <c r="H83"/>
    </row>
    <row r="84" spans="4:8" x14ac:dyDescent="0.25">
      <c r="D84"/>
      <c r="E84"/>
      <c r="F84"/>
      <c r="G84"/>
      <c r="H84"/>
    </row>
    <row r="85" spans="4:8" x14ac:dyDescent="0.25">
      <c r="D85"/>
      <c r="E85"/>
      <c r="F85"/>
      <c r="G85"/>
      <c r="H85"/>
    </row>
    <row r="86" spans="4:8" x14ac:dyDescent="0.25">
      <c r="D86"/>
      <c r="E86"/>
      <c r="F86"/>
      <c r="G86"/>
      <c r="H86"/>
    </row>
    <row r="87" spans="4:8" x14ac:dyDescent="0.25">
      <c r="D87"/>
      <c r="E87"/>
      <c r="F87"/>
      <c r="G87"/>
      <c r="H87"/>
    </row>
    <row r="88" spans="4:8" x14ac:dyDescent="0.25">
      <c r="D88"/>
      <c r="E88"/>
      <c r="F88"/>
      <c r="G88"/>
      <c r="H88"/>
    </row>
    <row r="89" spans="4:8" x14ac:dyDescent="0.25">
      <c r="D89"/>
      <c r="E89"/>
      <c r="F89"/>
      <c r="G89"/>
      <c r="H89"/>
    </row>
    <row r="90" spans="4:8" x14ac:dyDescent="0.25">
      <c r="D90"/>
      <c r="E90"/>
      <c r="F90"/>
      <c r="G90"/>
      <c r="H90"/>
    </row>
    <row r="91" spans="4:8" x14ac:dyDescent="0.25">
      <c r="D91"/>
      <c r="E91"/>
      <c r="F91"/>
      <c r="G91"/>
      <c r="H91"/>
    </row>
    <row r="92" spans="4:8" x14ac:dyDescent="0.25">
      <c r="D92"/>
      <c r="E92"/>
      <c r="F92"/>
      <c r="G92"/>
      <c r="H92"/>
    </row>
    <row r="93" spans="4:8" x14ac:dyDescent="0.25">
      <c r="D93"/>
      <c r="E93"/>
      <c r="F93"/>
      <c r="G93"/>
      <c r="H93"/>
    </row>
    <row r="94" spans="4:8" x14ac:dyDescent="0.25">
      <c r="D94"/>
      <c r="E94"/>
      <c r="F94"/>
      <c r="G94"/>
      <c r="H94"/>
    </row>
    <row r="95" spans="4:8" x14ac:dyDescent="0.25">
      <c r="D95"/>
      <c r="E95"/>
      <c r="F95"/>
      <c r="G95"/>
      <c r="H95"/>
    </row>
    <row r="96" spans="4:8" x14ac:dyDescent="0.25">
      <c r="D96"/>
      <c r="E96"/>
      <c r="F96"/>
      <c r="G96"/>
      <c r="H96"/>
    </row>
    <row r="97" spans="4:8" x14ac:dyDescent="0.25">
      <c r="D97"/>
      <c r="E97"/>
      <c r="F97"/>
      <c r="G97"/>
      <c r="H97"/>
    </row>
    <row r="98" spans="4:8" x14ac:dyDescent="0.25">
      <c r="D98"/>
      <c r="E98"/>
      <c r="F98"/>
      <c r="G98"/>
      <c r="H98"/>
    </row>
    <row r="99" spans="4:8" x14ac:dyDescent="0.25">
      <c r="D99"/>
      <c r="E99"/>
      <c r="F99"/>
      <c r="G99"/>
      <c r="H99"/>
    </row>
    <row r="100" spans="4:8" x14ac:dyDescent="0.25">
      <c r="D100"/>
      <c r="E100"/>
      <c r="F100"/>
      <c r="G100"/>
      <c r="H100"/>
    </row>
  </sheetData>
  <mergeCells count="2">
    <mergeCell ref="C5:G5"/>
    <mergeCell ref="C4:H4"/>
  </mergeCells>
  <pageMargins left="0.25" right="0.25" top="0.75" bottom="0.75" header="0.3" footer="0.3"/>
  <pageSetup paperSize="9" scale="59" orientation="landscape" horizont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J110"/>
  <sheetViews>
    <sheetView topLeftCell="A103" workbookViewId="0">
      <selection activeCell="B22" sqref="B22"/>
    </sheetView>
  </sheetViews>
  <sheetFormatPr defaultRowHeight="15" x14ac:dyDescent="0.25"/>
  <cols>
    <col min="1" max="1" width="19.28515625" customWidth="1"/>
    <col min="2" max="2" width="25.5703125" customWidth="1"/>
    <col min="3" max="3" width="16" customWidth="1"/>
    <col min="7" max="7" width="35.85546875" customWidth="1"/>
    <col min="8" max="8" width="20.28515625" customWidth="1"/>
    <col min="9" max="9" width="16.5703125" customWidth="1"/>
  </cols>
  <sheetData>
    <row r="1" spans="1:10" x14ac:dyDescent="0.25">
      <c r="A1" s="39" t="s">
        <v>329</v>
      </c>
      <c r="B1" s="669" t="s">
        <v>604</v>
      </c>
      <c r="G1" s="39" t="s">
        <v>719</v>
      </c>
      <c r="H1" s="669" t="s">
        <v>604</v>
      </c>
    </row>
    <row r="2" spans="1:10" x14ac:dyDescent="0.25">
      <c r="A2" s="39" t="s">
        <v>719</v>
      </c>
      <c r="B2" s="669" t="s">
        <v>604</v>
      </c>
    </row>
    <row r="3" spans="1:10" x14ac:dyDescent="0.25">
      <c r="G3" s="39" t="s">
        <v>9</v>
      </c>
      <c r="H3" s="39" t="s">
        <v>8</v>
      </c>
      <c r="I3" s="39" t="s">
        <v>329</v>
      </c>
      <c r="J3" t="s">
        <v>605</v>
      </c>
    </row>
    <row r="4" spans="1:10" x14ac:dyDescent="0.25">
      <c r="A4" s="39" t="s">
        <v>0</v>
      </c>
      <c r="B4" s="39" t="s">
        <v>9</v>
      </c>
      <c r="C4" t="s">
        <v>603</v>
      </c>
      <c r="G4" s="669" t="s">
        <v>44</v>
      </c>
      <c r="H4" s="669" t="s">
        <v>130</v>
      </c>
      <c r="I4" s="669" t="s">
        <v>944</v>
      </c>
      <c r="J4" s="4">
        <v>24</v>
      </c>
    </row>
    <row r="5" spans="1:10" x14ac:dyDescent="0.25">
      <c r="A5" s="669" t="s">
        <v>561</v>
      </c>
      <c r="B5" s="669" t="s">
        <v>441</v>
      </c>
      <c r="C5" s="4">
        <v>1</v>
      </c>
      <c r="G5" s="669" t="s">
        <v>47</v>
      </c>
      <c r="H5" s="669" t="s">
        <v>133</v>
      </c>
      <c r="I5" s="669" t="s">
        <v>944</v>
      </c>
      <c r="J5" s="4">
        <v>14</v>
      </c>
    </row>
    <row r="6" spans="1:10" x14ac:dyDescent="0.25">
      <c r="A6" s="669" t="s">
        <v>561</v>
      </c>
      <c r="B6" s="669" t="s">
        <v>56</v>
      </c>
      <c r="C6" s="4">
        <v>1</v>
      </c>
      <c r="G6" s="669" t="s">
        <v>54</v>
      </c>
      <c r="H6" s="669" t="s">
        <v>140</v>
      </c>
      <c r="I6" s="669" t="s">
        <v>944</v>
      </c>
      <c r="J6" s="4">
        <v>32</v>
      </c>
    </row>
    <row r="7" spans="1:10" x14ac:dyDescent="0.25">
      <c r="A7" s="669" t="s">
        <v>14</v>
      </c>
      <c r="B7" s="669" t="s">
        <v>44</v>
      </c>
      <c r="C7" s="4">
        <v>1</v>
      </c>
      <c r="G7" s="669" t="s">
        <v>38</v>
      </c>
      <c r="H7" s="669" t="s">
        <v>124</v>
      </c>
      <c r="I7" s="669" t="s">
        <v>331</v>
      </c>
      <c r="J7" s="4">
        <v>1238</v>
      </c>
    </row>
    <row r="8" spans="1:10" x14ac:dyDescent="0.25">
      <c r="A8" s="669" t="s">
        <v>14</v>
      </c>
      <c r="B8" s="669" t="s">
        <v>47</v>
      </c>
      <c r="C8" s="4">
        <v>1</v>
      </c>
      <c r="G8" s="669" t="s">
        <v>46</v>
      </c>
      <c r="H8" s="669" t="s">
        <v>132</v>
      </c>
      <c r="I8" s="669" t="s">
        <v>944</v>
      </c>
      <c r="J8" s="4">
        <v>100</v>
      </c>
    </row>
    <row r="9" spans="1:10" x14ac:dyDescent="0.25">
      <c r="A9" s="669" t="s">
        <v>14</v>
      </c>
      <c r="B9" s="669" t="s">
        <v>46</v>
      </c>
      <c r="C9" s="4">
        <v>1</v>
      </c>
      <c r="G9" s="669" t="s">
        <v>108</v>
      </c>
      <c r="H9" s="669" t="s">
        <v>189</v>
      </c>
      <c r="I9" s="669" t="s">
        <v>332</v>
      </c>
      <c r="J9" s="4"/>
    </row>
    <row r="10" spans="1:10" x14ac:dyDescent="0.25">
      <c r="A10" s="669" t="s">
        <v>14</v>
      </c>
      <c r="B10" s="669" t="s">
        <v>49</v>
      </c>
      <c r="C10" s="4">
        <v>1</v>
      </c>
      <c r="G10" s="669" t="s">
        <v>88</v>
      </c>
      <c r="H10" s="669" t="s">
        <v>174</v>
      </c>
      <c r="I10" s="669" t="s">
        <v>332</v>
      </c>
      <c r="J10" s="4"/>
    </row>
    <row r="11" spans="1:10" x14ac:dyDescent="0.25">
      <c r="A11" s="669" t="s">
        <v>14</v>
      </c>
      <c r="B11" s="669" t="s">
        <v>48</v>
      </c>
      <c r="C11" s="4">
        <v>1</v>
      </c>
      <c r="G11" s="669" t="s">
        <v>28</v>
      </c>
      <c r="H11" s="669" t="s">
        <v>114</v>
      </c>
      <c r="I11" s="669" t="s">
        <v>944</v>
      </c>
      <c r="J11" s="4">
        <v>87</v>
      </c>
    </row>
    <row r="12" spans="1:10" x14ac:dyDescent="0.25">
      <c r="A12" s="669" t="s">
        <v>14</v>
      </c>
      <c r="B12" s="669" t="s">
        <v>52</v>
      </c>
      <c r="C12" s="4">
        <v>1</v>
      </c>
      <c r="G12" s="669" t="s">
        <v>37</v>
      </c>
      <c r="H12" s="669" t="s">
        <v>123</v>
      </c>
      <c r="I12" s="669" t="s">
        <v>943</v>
      </c>
      <c r="J12" s="4">
        <v>21</v>
      </c>
    </row>
    <row r="13" spans="1:10" x14ac:dyDescent="0.25">
      <c r="A13" s="669" t="s">
        <v>14</v>
      </c>
      <c r="B13" s="669" t="s">
        <v>42</v>
      </c>
      <c r="C13" s="4">
        <v>1</v>
      </c>
      <c r="G13" s="669" t="s">
        <v>59</v>
      </c>
      <c r="H13" s="669" t="s">
        <v>145</v>
      </c>
      <c r="I13" s="669" t="s">
        <v>331</v>
      </c>
      <c r="J13" s="4">
        <v>392</v>
      </c>
    </row>
    <row r="14" spans="1:10" x14ac:dyDescent="0.25">
      <c r="A14" s="669" t="s">
        <v>14</v>
      </c>
      <c r="B14" s="669" t="s">
        <v>45</v>
      </c>
      <c r="C14" s="4">
        <v>1</v>
      </c>
      <c r="G14" s="669" t="s">
        <v>98</v>
      </c>
      <c r="H14" s="669" t="s">
        <v>184</v>
      </c>
      <c r="I14" s="669" t="s">
        <v>332</v>
      </c>
      <c r="J14" s="4"/>
    </row>
    <row r="15" spans="1:10" x14ac:dyDescent="0.25">
      <c r="A15" s="669" t="s">
        <v>14</v>
      </c>
      <c r="B15" s="669" t="s">
        <v>51</v>
      </c>
      <c r="C15" s="4">
        <v>1</v>
      </c>
      <c r="G15" s="669" t="s">
        <v>60</v>
      </c>
      <c r="H15" s="669" t="s">
        <v>146</v>
      </c>
      <c r="I15" s="669" t="s">
        <v>332</v>
      </c>
      <c r="J15" s="4"/>
    </row>
    <row r="16" spans="1:10" x14ac:dyDescent="0.25">
      <c r="A16" s="669" t="s">
        <v>14</v>
      </c>
      <c r="B16" s="669" t="s">
        <v>43</v>
      </c>
      <c r="C16" s="4">
        <v>1</v>
      </c>
      <c r="G16" s="669" t="s">
        <v>509</v>
      </c>
      <c r="H16" s="669" t="s">
        <v>510</v>
      </c>
      <c r="I16" s="669" t="s">
        <v>331</v>
      </c>
      <c r="J16" s="4">
        <v>41</v>
      </c>
    </row>
    <row r="17" spans="1:10" x14ac:dyDescent="0.25">
      <c r="A17" s="669" t="s">
        <v>14</v>
      </c>
      <c r="B17" s="669" t="s">
        <v>50</v>
      </c>
      <c r="C17" s="4">
        <v>1</v>
      </c>
      <c r="G17" s="669" t="s">
        <v>581</v>
      </c>
      <c r="H17" s="669" t="s">
        <v>583</v>
      </c>
      <c r="I17" s="669" t="s">
        <v>331</v>
      </c>
      <c r="J17" s="4">
        <v>1028</v>
      </c>
    </row>
    <row r="18" spans="1:10" x14ac:dyDescent="0.25">
      <c r="A18" s="669" t="s">
        <v>18</v>
      </c>
      <c r="B18" s="669" t="s">
        <v>108</v>
      </c>
      <c r="C18" s="4">
        <v>1</v>
      </c>
      <c r="G18" s="669" t="s">
        <v>582</v>
      </c>
      <c r="H18" s="669" t="s">
        <v>584</v>
      </c>
      <c r="I18" s="669" t="s">
        <v>331</v>
      </c>
      <c r="J18" s="4">
        <v>1340</v>
      </c>
    </row>
    <row r="19" spans="1:10" x14ac:dyDescent="0.25">
      <c r="A19" s="669" t="s">
        <v>18</v>
      </c>
      <c r="B19" s="669" t="s">
        <v>98</v>
      </c>
      <c r="C19" s="4">
        <v>1</v>
      </c>
      <c r="G19" s="669" t="s">
        <v>566</v>
      </c>
      <c r="H19" s="669" t="s">
        <v>570</v>
      </c>
      <c r="I19" s="669" t="s">
        <v>332</v>
      </c>
      <c r="J19" s="4"/>
    </row>
    <row r="20" spans="1:10" x14ac:dyDescent="0.25">
      <c r="A20" s="669" t="s">
        <v>18</v>
      </c>
      <c r="B20" s="669" t="s">
        <v>566</v>
      </c>
      <c r="C20" s="4">
        <v>1</v>
      </c>
      <c r="G20" s="669" t="s">
        <v>71</v>
      </c>
      <c r="H20" s="669" t="s">
        <v>157</v>
      </c>
      <c r="I20" s="669" t="s">
        <v>332</v>
      </c>
      <c r="J20" s="4"/>
    </row>
    <row r="21" spans="1:10" x14ac:dyDescent="0.25">
      <c r="A21" s="669" t="s">
        <v>18</v>
      </c>
      <c r="B21" s="669" t="s">
        <v>100</v>
      </c>
      <c r="C21" s="4">
        <v>1</v>
      </c>
      <c r="G21" s="669" t="s">
        <v>72</v>
      </c>
      <c r="H21" s="669" t="s">
        <v>158</v>
      </c>
      <c r="I21" s="669" t="s">
        <v>332</v>
      </c>
      <c r="J21" s="4"/>
    </row>
    <row r="22" spans="1:10" x14ac:dyDescent="0.25">
      <c r="A22" s="669" t="s">
        <v>18</v>
      </c>
      <c r="B22" s="669" t="s">
        <v>99</v>
      </c>
      <c r="C22" s="4">
        <v>1</v>
      </c>
      <c r="G22" s="669" t="s">
        <v>78</v>
      </c>
      <c r="H22" s="669" t="s">
        <v>164</v>
      </c>
      <c r="I22" s="669" t="s">
        <v>332</v>
      </c>
      <c r="J22" s="4"/>
    </row>
    <row r="23" spans="1:10" x14ac:dyDescent="0.25">
      <c r="A23" s="669" t="s">
        <v>18</v>
      </c>
      <c r="B23" s="669" t="s">
        <v>97</v>
      </c>
      <c r="C23" s="4">
        <v>1</v>
      </c>
      <c r="G23" s="669" t="s">
        <v>79</v>
      </c>
      <c r="H23" s="669" t="s">
        <v>165</v>
      </c>
      <c r="I23" s="669" t="s">
        <v>332</v>
      </c>
      <c r="J23" s="4"/>
    </row>
    <row r="24" spans="1:10" x14ac:dyDescent="0.25">
      <c r="A24" s="669" t="s">
        <v>18</v>
      </c>
      <c r="B24" s="669" t="s">
        <v>106</v>
      </c>
      <c r="C24" s="4">
        <v>1</v>
      </c>
      <c r="G24" s="669" t="s">
        <v>75</v>
      </c>
      <c r="H24" s="669" t="s">
        <v>161</v>
      </c>
      <c r="I24" s="669" t="s">
        <v>332</v>
      </c>
      <c r="J24" s="4"/>
    </row>
    <row r="25" spans="1:10" x14ac:dyDescent="0.25">
      <c r="A25" s="669" t="s">
        <v>18</v>
      </c>
      <c r="B25" s="669" t="s">
        <v>95</v>
      </c>
      <c r="C25" s="4">
        <v>1</v>
      </c>
      <c r="G25" s="669" t="s">
        <v>61</v>
      </c>
      <c r="H25" s="669" t="s">
        <v>147</v>
      </c>
      <c r="I25" s="669" t="s">
        <v>331</v>
      </c>
      <c r="J25" s="4">
        <v>1983</v>
      </c>
    </row>
    <row r="26" spans="1:10" x14ac:dyDescent="0.25">
      <c r="A26" s="669" t="s">
        <v>18</v>
      </c>
      <c r="B26" s="669" t="s">
        <v>101</v>
      </c>
      <c r="C26" s="4">
        <v>1</v>
      </c>
      <c r="G26" s="669" t="s">
        <v>499</v>
      </c>
      <c r="H26" s="669" t="s">
        <v>500</v>
      </c>
      <c r="I26" s="669" t="s">
        <v>331</v>
      </c>
      <c r="J26" s="4">
        <v>518</v>
      </c>
    </row>
    <row r="27" spans="1:10" x14ac:dyDescent="0.25">
      <c r="A27" s="669" t="s">
        <v>18</v>
      </c>
      <c r="B27" s="669" t="s">
        <v>96</v>
      </c>
      <c r="C27" s="4">
        <v>1</v>
      </c>
      <c r="G27" s="669" t="s">
        <v>77</v>
      </c>
      <c r="H27" s="669" t="s">
        <v>163</v>
      </c>
      <c r="I27" s="669" t="s">
        <v>332</v>
      </c>
      <c r="J27" s="4"/>
    </row>
    <row r="28" spans="1:10" x14ac:dyDescent="0.25">
      <c r="A28" s="669" t="s">
        <v>18</v>
      </c>
      <c r="B28" s="669" t="s">
        <v>567</v>
      </c>
      <c r="C28" s="4">
        <v>1</v>
      </c>
      <c r="G28" s="669" t="s">
        <v>49</v>
      </c>
      <c r="H28" s="669" t="s">
        <v>135</v>
      </c>
      <c r="I28" s="669" t="s">
        <v>944</v>
      </c>
      <c r="J28" s="4">
        <v>116</v>
      </c>
    </row>
    <row r="29" spans="1:10" x14ac:dyDescent="0.25">
      <c r="A29" s="669" t="s">
        <v>18</v>
      </c>
      <c r="B29" s="669" t="s">
        <v>568</v>
      </c>
      <c r="C29" s="4">
        <v>1</v>
      </c>
      <c r="G29" s="669" t="s">
        <v>92</v>
      </c>
      <c r="H29" s="669" t="s">
        <v>178</v>
      </c>
      <c r="I29" s="669" t="s">
        <v>332</v>
      </c>
      <c r="J29" s="4"/>
    </row>
    <row r="30" spans="1:10" x14ac:dyDescent="0.25">
      <c r="A30" s="669" t="s">
        <v>11</v>
      </c>
      <c r="B30" s="669" t="s">
        <v>28</v>
      </c>
      <c r="C30" s="4">
        <v>1</v>
      </c>
      <c r="G30" s="669" t="s">
        <v>80</v>
      </c>
      <c r="H30" s="669" t="s">
        <v>166</v>
      </c>
      <c r="I30" s="669" t="s">
        <v>332</v>
      </c>
      <c r="J30" s="4"/>
    </row>
    <row r="31" spans="1:10" x14ac:dyDescent="0.25">
      <c r="A31" s="669" t="s">
        <v>11</v>
      </c>
      <c r="B31" s="669" t="s">
        <v>26</v>
      </c>
      <c r="C31" s="4">
        <v>1</v>
      </c>
      <c r="G31" s="669" t="s">
        <v>507</v>
      </c>
      <c r="H31" s="669" t="s">
        <v>508</v>
      </c>
      <c r="I31" s="669" t="s">
        <v>332</v>
      </c>
      <c r="J31" s="4"/>
    </row>
    <row r="32" spans="1:10" x14ac:dyDescent="0.25">
      <c r="A32" s="669" t="s">
        <v>11</v>
      </c>
      <c r="B32" s="669" t="s">
        <v>23</v>
      </c>
      <c r="C32" s="4">
        <v>1</v>
      </c>
      <c r="G32" s="669" t="s">
        <v>69</v>
      </c>
      <c r="H32" s="669" t="s">
        <v>155</v>
      </c>
      <c r="I32" s="669" t="s">
        <v>332</v>
      </c>
      <c r="J32" s="4"/>
    </row>
    <row r="33" spans="1:10" x14ac:dyDescent="0.25">
      <c r="A33" s="669" t="s">
        <v>11</v>
      </c>
      <c r="B33" s="669" t="s">
        <v>30</v>
      </c>
      <c r="C33" s="4">
        <v>1</v>
      </c>
      <c r="G33" s="669" t="s">
        <v>48</v>
      </c>
      <c r="H33" s="669" t="s">
        <v>134</v>
      </c>
      <c r="I33" s="669" t="s">
        <v>944</v>
      </c>
      <c r="J33" s="4">
        <v>236</v>
      </c>
    </row>
    <row r="34" spans="1:10" x14ac:dyDescent="0.25">
      <c r="A34" s="669" t="s">
        <v>11</v>
      </c>
      <c r="B34" s="669" t="s">
        <v>25</v>
      </c>
      <c r="C34" s="4">
        <v>1</v>
      </c>
      <c r="G34" s="669" t="s">
        <v>441</v>
      </c>
      <c r="H34" s="669" t="s">
        <v>142</v>
      </c>
      <c r="I34" s="669" t="s">
        <v>943</v>
      </c>
      <c r="J34" s="4">
        <v>65</v>
      </c>
    </row>
    <row r="35" spans="1:10" x14ac:dyDescent="0.25">
      <c r="A35" s="669" t="s">
        <v>11</v>
      </c>
      <c r="B35" s="669" t="s">
        <v>513</v>
      </c>
      <c r="C35" s="4">
        <v>1</v>
      </c>
      <c r="G35" s="669" t="s">
        <v>35</v>
      </c>
      <c r="H35" s="669" t="s">
        <v>121</v>
      </c>
      <c r="I35" s="669" t="s">
        <v>943</v>
      </c>
      <c r="J35" s="4">
        <v>40</v>
      </c>
    </row>
    <row r="36" spans="1:10" x14ac:dyDescent="0.25">
      <c r="A36" s="669" t="s">
        <v>11</v>
      </c>
      <c r="B36" s="669" t="s">
        <v>24</v>
      </c>
      <c r="C36" s="4">
        <v>1</v>
      </c>
      <c r="G36" s="669" t="s">
        <v>100</v>
      </c>
      <c r="H36" s="669" t="s">
        <v>186</v>
      </c>
      <c r="I36" s="669" t="s">
        <v>332</v>
      </c>
      <c r="J36" s="4"/>
    </row>
    <row r="37" spans="1:10" x14ac:dyDescent="0.25">
      <c r="A37" s="669" t="s">
        <v>11</v>
      </c>
      <c r="B37" s="669" t="s">
        <v>27</v>
      </c>
      <c r="C37" s="4">
        <v>1</v>
      </c>
      <c r="G37" s="669" t="s">
        <v>90</v>
      </c>
      <c r="H37" s="669" t="s">
        <v>176</v>
      </c>
      <c r="I37" s="669" t="s">
        <v>332</v>
      </c>
      <c r="J37" s="4"/>
    </row>
    <row r="38" spans="1:10" x14ac:dyDescent="0.25">
      <c r="A38" s="669" t="s">
        <v>11</v>
      </c>
      <c r="B38" s="669" t="s">
        <v>29</v>
      </c>
      <c r="C38" s="4">
        <v>1</v>
      </c>
      <c r="G38" s="669" t="s">
        <v>62</v>
      </c>
      <c r="H38" s="669" t="s">
        <v>148</v>
      </c>
      <c r="I38" s="669" t="s">
        <v>331</v>
      </c>
      <c r="J38" s="4">
        <v>799</v>
      </c>
    </row>
    <row r="39" spans="1:10" x14ac:dyDescent="0.25">
      <c r="A39" s="669" t="s">
        <v>941</v>
      </c>
      <c r="B39" s="669" t="s">
        <v>33</v>
      </c>
      <c r="C39" s="4">
        <v>1</v>
      </c>
      <c r="G39" s="669" t="s">
        <v>52</v>
      </c>
      <c r="H39" s="669" t="s">
        <v>138</v>
      </c>
      <c r="I39" s="669" t="s">
        <v>943</v>
      </c>
      <c r="J39" s="4">
        <v>97</v>
      </c>
    </row>
    <row r="40" spans="1:10" x14ac:dyDescent="0.25">
      <c r="A40" s="669" t="s">
        <v>941</v>
      </c>
      <c r="B40" s="669" t="s">
        <v>31</v>
      </c>
      <c r="C40" s="4">
        <v>1</v>
      </c>
      <c r="G40" s="669" t="s">
        <v>99</v>
      </c>
      <c r="H40" s="669" t="s">
        <v>185</v>
      </c>
      <c r="I40" s="669" t="s">
        <v>332</v>
      </c>
      <c r="J40" s="4"/>
    </row>
    <row r="41" spans="1:10" x14ac:dyDescent="0.25">
      <c r="A41" s="669" t="s">
        <v>941</v>
      </c>
      <c r="B41" s="669" t="s">
        <v>34</v>
      </c>
      <c r="C41" s="4">
        <v>1</v>
      </c>
      <c r="G41" s="669" t="s">
        <v>97</v>
      </c>
      <c r="H41" s="669" t="s">
        <v>183</v>
      </c>
      <c r="I41" s="669" t="s">
        <v>332</v>
      </c>
      <c r="J41" s="4"/>
    </row>
    <row r="42" spans="1:10" x14ac:dyDescent="0.25">
      <c r="A42" s="669" t="s">
        <v>941</v>
      </c>
      <c r="B42" s="669" t="s">
        <v>578</v>
      </c>
      <c r="C42" s="4">
        <v>1</v>
      </c>
      <c r="G42" s="669" t="s">
        <v>56</v>
      </c>
      <c r="H42" s="669" t="s">
        <v>141</v>
      </c>
      <c r="I42" s="669" t="s">
        <v>331</v>
      </c>
      <c r="J42" s="4">
        <v>415</v>
      </c>
    </row>
    <row r="43" spans="1:10" x14ac:dyDescent="0.25">
      <c r="A43" s="669" t="s">
        <v>941</v>
      </c>
      <c r="B43" s="669" t="s">
        <v>32</v>
      </c>
      <c r="C43" s="4">
        <v>1</v>
      </c>
      <c r="G43" s="669" t="s">
        <v>40</v>
      </c>
      <c r="H43" s="669" t="s">
        <v>126</v>
      </c>
      <c r="I43" s="669" t="s">
        <v>331</v>
      </c>
      <c r="J43" s="4">
        <v>1343</v>
      </c>
    </row>
    <row r="44" spans="1:10" x14ac:dyDescent="0.25">
      <c r="A44" s="669" t="s">
        <v>817</v>
      </c>
      <c r="B44" s="669" t="s">
        <v>35</v>
      </c>
      <c r="C44" s="4">
        <v>1</v>
      </c>
      <c r="G44" s="669" t="s">
        <v>106</v>
      </c>
      <c r="H44" s="669" t="s">
        <v>188</v>
      </c>
      <c r="I44" s="669" t="s">
        <v>332</v>
      </c>
      <c r="J44" s="4"/>
    </row>
    <row r="45" spans="1:10" x14ac:dyDescent="0.25">
      <c r="A45" s="669" t="s">
        <v>817</v>
      </c>
      <c r="B45" s="669" t="s">
        <v>36</v>
      </c>
      <c r="C45" s="4">
        <v>1</v>
      </c>
      <c r="G45" s="669" t="s">
        <v>81</v>
      </c>
      <c r="H45" s="669" t="s">
        <v>167</v>
      </c>
      <c r="I45" s="669" t="s">
        <v>332</v>
      </c>
      <c r="J45" s="4"/>
    </row>
    <row r="46" spans="1:10" x14ac:dyDescent="0.25">
      <c r="A46" s="669" t="s">
        <v>13</v>
      </c>
      <c r="B46" s="669" t="s">
        <v>38</v>
      </c>
      <c r="C46" s="4">
        <v>1</v>
      </c>
      <c r="G46" s="669" t="s">
        <v>42</v>
      </c>
      <c r="H46" s="669" t="s">
        <v>128</v>
      </c>
      <c r="I46" s="669" t="s">
        <v>944</v>
      </c>
      <c r="J46" s="4">
        <v>18</v>
      </c>
    </row>
    <row r="47" spans="1:10" x14ac:dyDescent="0.25">
      <c r="A47" s="669" t="s">
        <v>13</v>
      </c>
      <c r="B47" s="669" t="s">
        <v>37</v>
      </c>
      <c r="C47" s="4">
        <v>1</v>
      </c>
      <c r="G47" s="669" t="s">
        <v>73</v>
      </c>
      <c r="H47" s="669" t="s">
        <v>159</v>
      </c>
      <c r="I47" s="669" t="s">
        <v>332</v>
      </c>
      <c r="J47" s="4"/>
    </row>
    <row r="48" spans="1:10" x14ac:dyDescent="0.25">
      <c r="A48" s="669" t="s">
        <v>13</v>
      </c>
      <c r="B48" s="669" t="s">
        <v>40</v>
      </c>
      <c r="C48" s="4">
        <v>1</v>
      </c>
      <c r="G48" s="669" t="s">
        <v>91</v>
      </c>
      <c r="H48" s="669" t="s">
        <v>177</v>
      </c>
      <c r="I48" s="669" t="s">
        <v>332</v>
      </c>
      <c r="J48" s="4"/>
    </row>
    <row r="49" spans="1:10" x14ac:dyDescent="0.25">
      <c r="A49" s="669" t="s">
        <v>13</v>
      </c>
      <c r="B49" s="669" t="s">
        <v>990</v>
      </c>
      <c r="C49" s="4">
        <v>1</v>
      </c>
      <c r="G49" s="669" t="s">
        <v>580</v>
      </c>
      <c r="H49" s="669" t="s">
        <v>268</v>
      </c>
      <c r="I49" s="669" t="s">
        <v>331</v>
      </c>
      <c r="J49" s="4">
        <v>621</v>
      </c>
    </row>
    <row r="50" spans="1:10" x14ac:dyDescent="0.25">
      <c r="A50" s="669" t="s">
        <v>13</v>
      </c>
      <c r="B50" s="669" t="s">
        <v>991</v>
      </c>
      <c r="C50" s="4">
        <v>1</v>
      </c>
      <c r="G50" s="669" t="s">
        <v>95</v>
      </c>
      <c r="H50" s="669" t="s">
        <v>181</v>
      </c>
      <c r="I50" s="669" t="s">
        <v>332</v>
      </c>
      <c r="J50" s="4"/>
    </row>
    <row r="51" spans="1:10" x14ac:dyDescent="0.25">
      <c r="A51" s="669" t="s">
        <v>13</v>
      </c>
      <c r="B51" s="669" t="s">
        <v>41</v>
      </c>
      <c r="C51" s="4">
        <v>1</v>
      </c>
      <c r="G51" s="669" t="s">
        <v>74</v>
      </c>
      <c r="H51" s="669" t="s">
        <v>160</v>
      </c>
      <c r="I51" s="669" t="s">
        <v>332</v>
      </c>
      <c r="J51" s="4"/>
    </row>
    <row r="52" spans="1:10" x14ac:dyDescent="0.25">
      <c r="A52" s="669" t="s">
        <v>13</v>
      </c>
      <c r="B52" s="669" t="s">
        <v>498</v>
      </c>
      <c r="C52" s="4">
        <v>1</v>
      </c>
      <c r="H52" s="669" t="s">
        <v>269</v>
      </c>
      <c r="I52" s="669" t="s">
        <v>943</v>
      </c>
      <c r="J52" s="4">
        <v>151</v>
      </c>
    </row>
    <row r="53" spans="1:10" x14ac:dyDescent="0.25">
      <c r="A53" s="669" t="s">
        <v>16</v>
      </c>
      <c r="B53" s="669" t="s">
        <v>58</v>
      </c>
      <c r="C53" s="4">
        <v>1</v>
      </c>
      <c r="G53" s="669" t="s">
        <v>33</v>
      </c>
      <c r="H53" s="669" t="s">
        <v>119</v>
      </c>
      <c r="I53" s="669" t="s">
        <v>332</v>
      </c>
      <c r="J53" s="4"/>
    </row>
    <row r="54" spans="1:10" x14ac:dyDescent="0.25">
      <c r="A54" s="669" t="s">
        <v>16</v>
      </c>
      <c r="B54" s="669" t="s">
        <v>57</v>
      </c>
      <c r="C54" s="4">
        <v>1</v>
      </c>
      <c r="G54" s="669" t="s">
        <v>82</v>
      </c>
      <c r="H54" s="669" t="s">
        <v>168</v>
      </c>
      <c r="I54" s="669" t="s">
        <v>332</v>
      </c>
      <c r="J54" s="4"/>
    </row>
    <row r="55" spans="1:10" x14ac:dyDescent="0.25">
      <c r="A55" s="669" t="s">
        <v>15</v>
      </c>
      <c r="B55" s="669" t="s">
        <v>54</v>
      </c>
      <c r="C55" s="4">
        <v>1</v>
      </c>
      <c r="G55" s="669" t="s">
        <v>26</v>
      </c>
      <c r="H55" s="669" t="s">
        <v>112</v>
      </c>
      <c r="I55" s="669" t="s">
        <v>332</v>
      </c>
      <c r="J55" s="4"/>
    </row>
    <row r="56" spans="1:10" x14ac:dyDescent="0.25">
      <c r="A56" s="669" t="s">
        <v>15</v>
      </c>
      <c r="B56" s="669" t="s">
        <v>53</v>
      </c>
      <c r="C56" s="4">
        <v>1</v>
      </c>
      <c r="G56" s="669" t="s">
        <v>990</v>
      </c>
      <c r="H56" s="669" t="s">
        <v>125</v>
      </c>
      <c r="I56" s="669" t="s">
        <v>331</v>
      </c>
      <c r="J56" s="4">
        <v>1010</v>
      </c>
    </row>
    <row r="57" spans="1:10" x14ac:dyDescent="0.25">
      <c r="A57" s="669" t="s">
        <v>17</v>
      </c>
      <c r="B57" s="669" t="s">
        <v>88</v>
      </c>
      <c r="C57" s="4">
        <v>1</v>
      </c>
      <c r="G57" s="669" t="s">
        <v>991</v>
      </c>
      <c r="H57" s="669" t="s">
        <v>125</v>
      </c>
      <c r="I57" s="669" t="s">
        <v>331</v>
      </c>
      <c r="J57" s="4">
        <v>905</v>
      </c>
    </row>
    <row r="58" spans="1:10" x14ac:dyDescent="0.25">
      <c r="A58" s="669" t="s">
        <v>17</v>
      </c>
      <c r="B58" s="669" t="s">
        <v>59</v>
      </c>
      <c r="C58" s="4">
        <v>1</v>
      </c>
      <c r="G58" s="669" t="s">
        <v>45</v>
      </c>
      <c r="H58" s="669" t="s">
        <v>131</v>
      </c>
      <c r="I58" s="669" t="s">
        <v>331</v>
      </c>
      <c r="J58" s="4">
        <v>85</v>
      </c>
    </row>
    <row r="59" spans="1:10" x14ac:dyDescent="0.25">
      <c r="A59" s="669" t="s">
        <v>17</v>
      </c>
      <c r="B59" s="669" t="s">
        <v>60</v>
      </c>
      <c r="C59" s="4">
        <v>1</v>
      </c>
      <c r="G59" s="669" t="s">
        <v>53</v>
      </c>
      <c r="H59" s="669" t="s">
        <v>139</v>
      </c>
      <c r="I59" s="669" t="s">
        <v>944</v>
      </c>
      <c r="J59" s="4">
        <v>56</v>
      </c>
    </row>
    <row r="60" spans="1:10" x14ac:dyDescent="0.25">
      <c r="A60" s="669" t="s">
        <v>17</v>
      </c>
      <c r="B60" s="669" t="s">
        <v>509</v>
      </c>
      <c r="C60" s="4">
        <v>1</v>
      </c>
      <c r="G60" s="669" t="s">
        <v>101</v>
      </c>
      <c r="H60" s="669" t="s">
        <v>187</v>
      </c>
      <c r="I60" s="669" t="s">
        <v>944</v>
      </c>
      <c r="J60" s="4">
        <v>17</v>
      </c>
    </row>
    <row r="61" spans="1:10" x14ac:dyDescent="0.25">
      <c r="A61" s="669" t="s">
        <v>17</v>
      </c>
      <c r="B61" s="669" t="s">
        <v>581</v>
      </c>
      <c r="C61" s="4">
        <v>1</v>
      </c>
      <c r="G61" s="669" t="s">
        <v>585</v>
      </c>
      <c r="H61" s="669" t="s">
        <v>502</v>
      </c>
      <c r="I61" s="669" t="s">
        <v>331</v>
      </c>
      <c r="J61" s="4">
        <v>734</v>
      </c>
    </row>
    <row r="62" spans="1:10" x14ac:dyDescent="0.25">
      <c r="A62" s="669" t="s">
        <v>17</v>
      </c>
      <c r="B62" s="669" t="s">
        <v>582</v>
      </c>
      <c r="C62" s="4">
        <v>1</v>
      </c>
      <c r="G62" s="669" t="s">
        <v>586</v>
      </c>
      <c r="H62" s="669" t="s">
        <v>588</v>
      </c>
      <c r="I62" s="669" t="s">
        <v>331</v>
      </c>
      <c r="J62" s="4">
        <v>2668</v>
      </c>
    </row>
    <row r="63" spans="1:10" x14ac:dyDescent="0.25">
      <c r="A63" s="669" t="s">
        <v>17</v>
      </c>
      <c r="B63" s="669" t="s">
        <v>71</v>
      </c>
      <c r="C63" s="4">
        <v>1</v>
      </c>
      <c r="G63" s="669" t="s">
        <v>587</v>
      </c>
      <c r="H63" s="669" t="s">
        <v>589</v>
      </c>
      <c r="I63" s="669" t="s">
        <v>331</v>
      </c>
      <c r="J63" s="4">
        <v>2259</v>
      </c>
    </row>
    <row r="64" spans="1:10" x14ac:dyDescent="0.25">
      <c r="A64" s="669" t="s">
        <v>17</v>
      </c>
      <c r="B64" s="669" t="s">
        <v>72</v>
      </c>
      <c r="C64" s="4">
        <v>1</v>
      </c>
      <c r="G64" s="669" t="s">
        <v>63</v>
      </c>
      <c r="H64" s="669" t="s">
        <v>149</v>
      </c>
      <c r="I64" s="669" t="s">
        <v>332</v>
      </c>
      <c r="J64" s="4"/>
    </row>
    <row r="65" spans="1:10" x14ac:dyDescent="0.25">
      <c r="A65" s="669" t="s">
        <v>17</v>
      </c>
      <c r="B65" s="669" t="s">
        <v>78</v>
      </c>
      <c r="C65" s="4">
        <v>1</v>
      </c>
      <c r="G65" s="669" t="s">
        <v>231</v>
      </c>
      <c r="H65" s="669" t="s">
        <v>266</v>
      </c>
      <c r="I65" s="669" t="s">
        <v>332</v>
      </c>
      <c r="J65" s="4"/>
    </row>
    <row r="66" spans="1:10" x14ac:dyDescent="0.25">
      <c r="A66" s="669" t="s">
        <v>17</v>
      </c>
      <c r="B66" s="669" t="s">
        <v>79</v>
      </c>
      <c r="C66" s="4">
        <v>1</v>
      </c>
      <c r="G66" s="669" t="s">
        <v>262</v>
      </c>
      <c r="H66" s="669" t="s">
        <v>503</v>
      </c>
      <c r="I66" s="669" t="s">
        <v>332</v>
      </c>
      <c r="J66" s="4"/>
    </row>
    <row r="67" spans="1:10" x14ac:dyDescent="0.25">
      <c r="A67" s="669" t="s">
        <v>17</v>
      </c>
      <c r="B67" s="669" t="s">
        <v>75</v>
      </c>
      <c r="C67" s="4">
        <v>1</v>
      </c>
      <c r="G67" s="669" t="s">
        <v>263</v>
      </c>
      <c r="H67" s="669" t="s">
        <v>504</v>
      </c>
      <c r="I67" s="669" t="s">
        <v>332</v>
      </c>
      <c r="J67" s="4"/>
    </row>
    <row r="68" spans="1:10" x14ac:dyDescent="0.25">
      <c r="A68" s="669" t="s">
        <v>17</v>
      </c>
      <c r="B68" s="669" t="s">
        <v>61</v>
      </c>
      <c r="C68" s="4">
        <v>1</v>
      </c>
      <c r="G68" s="669" t="s">
        <v>70</v>
      </c>
      <c r="H68" s="669" t="s">
        <v>156</v>
      </c>
      <c r="I68" s="669" t="s">
        <v>332</v>
      </c>
      <c r="J68" s="4"/>
    </row>
    <row r="69" spans="1:10" x14ac:dyDescent="0.25">
      <c r="A69" s="669" t="s">
        <v>17</v>
      </c>
      <c r="B69" s="669" t="s">
        <v>499</v>
      </c>
      <c r="C69" s="4">
        <v>1</v>
      </c>
      <c r="G69" s="669" t="s">
        <v>31</v>
      </c>
      <c r="H69" s="669" t="s">
        <v>117</v>
      </c>
      <c r="I69" s="669" t="s">
        <v>944</v>
      </c>
      <c r="J69" s="4">
        <v>204</v>
      </c>
    </row>
    <row r="70" spans="1:10" x14ac:dyDescent="0.25">
      <c r="A70" s="669" t="s">
        <v>17</v>
      </c>
      <c r="B70" s="669" t="s">
        <v>77</v>
      </c>
      <c r="C70" s="4">
        <v>1</v>
      </c>
      <c r="G70" s="669" t="s">
        <v>23</v>
      </c>
      <c r="H70" s="669" t="s">
        <v>109</v>
      </c>
      <c r="I70" s="669" t="s">
        <v>944</v>
      </c>
      <c r="J70" s="4">
        <v>19</v>
      </c>
    </row>
    <row r="71" spans="1:10" x14ac:dyDescent="0.25">
      <c r="A71" s="669" t="s">
        <v>17</v>
      </c>
      <c r="B71" s="669" t="s">
        <v>92</v>
      </c>
      <c r="C71" s="4">
        <v>1</v>
      </c>
      <c r="G71" s="669" t="s">
        <v>64</v>
      </c>
      <c r="H71" s="669" t="s">
        <v>150</v>
      </c>
      <c r="I71" s="669" t="s">
        <v>332</v>
      </c>
      <c r="J71" s="4"/>
    </row>
    <row r="72" spans="1:10" x14ac:dyDescent="0.25">
      <c r="A72" s="669" t="s">
        <v>17</v>
      </c>
      <c r="B72" s="669" t="s">
        <v>80</v>
      </c>
      <c r="C72" s="4">
        <v>1</v>
      </c>
      <c r="G72" s="669" t="s">
        <v>83</v>
      </c>
      <c r="H72" s="669" t="s">
        <v>169</v>
      </c>
      <c r="I72" s="669" t="s">
        <v>332</v>
      </c>
      <c r="J72" s="4"/>
    </row>
    <row r="73" spans="1:10" x14ac:dyDescent="0.25">
      <c r="A73" s="669" t="s">
        <v>17</v>
      </c>
      <c r="B73" s="669" t="s">
        <v>507</v>
      </c>
      <c r="C73" s="4">
        <v>1</v>
      </c>
      <c r="G73" s="669" t="s">
        <v>58</v>
      </c>
      <c r="H73" s="669" t="s">
        <v>144</v>
      </c>
      <c r="I73" s="669" t="s">
        <v>332</v>
      </c>
      <c r="J73" s="4"/>
    </row>
    <row r="74" spans="1:10" x14ac:dyDescent="0.25">
      <c r="A74" s="669" t="s">
        <v>17</v>
      </c>
      <c r="B74" s="669" t="s">
        <v>69</v>
      </c>
      <c r="C74" s="4">
        <v>1</v>
      </c>
      <c r="G74" s="669" t="s">
        <v>57</v>
      </c>
      <c r="H74" s="669" t="s">
        <v>143</v>
      </c>
      <c r="I74" s="669" t="s">
        <v>332</v>
      </c>
      <c r="J74" s="4"/>
    </row>
    <row r="75" spans="1:10" x14ac:dyDescent="0.25">
      <c r="A75" s="669" t="s">
        <v>17</v>
      </c>
      <c r="B75" s="669" t="s">
        <v>90</v>
      </c>
      <c r="C75" s="4">
        <v>1</v>
      </c>
      <c r="G75" s="669" t="s">
        <v>34</v>
      </c>
      <c r="H75" s="669" t="s">
        <v>120</v>
      </c>
      <c r="I75" s="669" t="s">
        <v>943</v>
      </c>
      <c r="J75" s="4">
        <v>10</v>
      </c>
    </row>
    <row r="76" spans="1:10" x14ac:dyDescent="0.25">
      <c r="A76" s="669" t="s">
        <v>17</v>
      </c>
      <c r="B76" s="669" t="s">
        <v>62</v>
      </c>
      <c r="C76" s="4">
        <v>1</v>
      </c>
      <c r="G76" s="669" t="s">
        <v>30</v>
      </c>
      <c r="H76" s="669" t="s">
        <v>116</v>
      </c>
      <c r="I76" s="669" t="s">
        <v>944</v>
      </c>
      <c r="J76" s="4">
        <v>228</v>
      </c>
    </row>
    <row r="77" spans="1:10" x14ac:dyDescent="0.25">
      <c r="A77" s="669" t="s">
        <v>17</v>
      </c>
      <c r="B77" s="669" t="s">
        <v>81</v>
      </c>
      <c r="C77" s="4">
        <v>1</v>
      </c>
      <c r="G77" s="669" t="s">
        <v>25</v>
      </c>
      <c r="H77" s="669" t="s">
        <v>111</v>
      </c>
      <c r="I77" s="669" t="s">
        <v>944</v>
      </c>
      <c r="J77" s="4">
        <v>86</v>
      </c>
    </row>
    <row r="78" spans="1:10" x14ac:dyDescent="0.25">
      <c r="A78" s="669" t="s">
        <v>17</v>
      </c>
      <c r="B78" s="669" t="s">
        <v>73</v>
      </c>
      <c r="C78" s="4">
        <v>1</v>
      </c>
      <c r="G78" s="669" t="s">
        <v>518</v>
      </c>
      <c r="H78" s="669" t="s">
        <v>519</v>
      </c>
      <c r="I78" s="669" t="s">
        <v>332</v>
      </c>
      <c r="J78" s="4"/>
    </row>
    <row r="79" spans="1:10" x14ac:dyDescent="0.25">
      <c r="A79" s="669" t="s">
        <v>17</v>
      </c>
      <c r="B79" s="669" t="s">
        <v>91</v>
      </c>
      <c r="C79" s="4">
        <v>1</v>
      </c>
      <c r="G79" s="669" t="s">
        <v>590</v>
      </c>
      <c r="H79" s="669" t="s">
        <v>592</v>
      </c>
      <c r="I79" s="669" t="s">
        <v>943</v>
      </c>
      <c r="J79" s="4">
        <v>249</v>
      </c>
    </row>
    <row r="80" spans="1:10" x14ac:dyDescent="0.25">
      <c r="A80" s="669" t="s">
        <v>17</v>
      </c>
      <c r="B80" s="669" t="s">
        <v>580</v>
      </c>
      <c r="C80" s="4">
        <v>1</v>
      </c>
      <c r="G80" s="669" t="s">
        <v>591</v>
      </c>
      <c r="H80" s="669" t="s">
        <v>593</v>
      </c>
      <c r="I80" s="669" t="s">
        <v>943</v>
      </c>
      <c r="J80" s="4">
        <v>420</v>
      </c>
    </row>
    <row r="81" spans="1:10" x14ac:dyDescent="0.25">
      <c r="A81" s="669" t="s">
        <v>17</v>
      </c>
      <c r="B81" s="669" t="s">
        <v>74</v>
      </c>
      <c r="C81" s="4">
        <v>2</v>
      </c>
      <c r="G81" s="669" t="s">
        <v>65</v>
      </c>
      <c r="H81" s="669" t="s">
        <v>151</v>
      </c>
      <c r="I81" s="669" t="s">
        <v>331</v>
      </c>
      <c r="J81" s="4">
        <v>2692</v>
      </c>
    </row>
    <row r="82" spans="1:10" x14ac:dyDescent="0.25">
      <c r="A82" s="669" t="s">
        <v>17</v>
      </c>
      <c r="B82" s="669" t="s">
        <v>82</v>
      </c>
      <c r="C82" s="4">
        <v>1</v>
      </c>
      <c r="G82" s="669" t="s">
        <v>513</v>
      </c>
      <c r="H82" s="669" t="s">
        <v>514</v>
      </c>
      <c r="I82" s="669" t="s">
        <v>944</v>
      </c>
      <c r="J82" s="4">
        <v>18</v>
      </c>
    </row>
    <row r="83" spans="1:10" x14ac:dyDescent="0.25">
      <c r="A83" s="669" t="s">
        <v>17</v>
      </c>
      <c r="B83" s="669" t="s">
        <v>585</v>
      </c>
      <c r="C83" s="4">
        <v>1</v>
      </c>
      <c r="G83" s="669" t="s">
        <v>76</v>
      </c>
      <c r="H83" s="669" t="s">
        <v>162</v>
      </c>
      <c r="I83" s="669" t="s">
        <v>943</v>
      </c>
      <c r="J83" s="4">
        <v>72</v>
      </c>
    </row>
    <row r="84" spans="1:10" x14ac:dyDescent="0.25">
      <c r="A84" s="669" t="s">
        <v>17</v>
      </c>
      <c r="B84" s="669" t="s">
        <v>586</v>
      </c>
      <c r="C84" s="4">
        <v>1</v>
      </c>
      <c r="G84" s="669" t="s">
        <v>51</v>
      </c>
      <c r="H84" s="669" t="s">
        <v>137</v>
      </c>
      <c r="I84" s="669" t="s">
        <v>944</v>
      </c>
      <c r="J84" s="4">
        <v>144</v>
      </c>
    </row>
    <row r="85" spans="1:10" x14ac:dyDescent="0.25">
      <c r="A85" s="669" t="s">
        <v>17</v>
      </c>
      <c r="B85" s="669" t="s">
        <v>587</v>
      </c>
      <c r="C85" s="4">
        <v>1</v>
      </c>
      <c r="G85" s="669" t="s">
        <v>84</v>
      </c>
      <c r="H85" s="669" t="s">
        <v>170</v>
      </c>
      <c r="I85" s="669" t="s">
        <v>332</v>
      </c>
      <c r="J85" s="4"/>
    </row>
    <row r="86" spans="1:10" x14ac:dyDescent="0.25">
      <c r="A86" s="669" t="s">
        <v>17</v>
      </c>
      <c r="B86" s="669" t="s">
        <v>63</v>
      </c>
      <c r="C86" s="4">
        <v>1</v>
      </c>
      <c r="G86" s="669" t="s">
        <v>87</v>
      </c>
      <c r="H86" s="669" t="s">
        <v>173</v>
      </c>
      <c r="I86" s="669" t="s">
        <v>332</v>
      </c>
      <c r="J86" s="4"/>
    </row>
    <row r="87" spans="1:10" x14ac:dyDescent="0.25">
      <c r="A87" s="669" t="s">
        <v>17</v>
      </c>
      <c r="B87" s="669" t="s">
        <v>231</v>
      </c>
      <c r="C87" s="4">
        <v>1</v>
      </c>
      <c r="G87" s="669" t="s">
        <v>41</v>
      </c>
      <c r="H87" s="669" t="s">
        <v>127</v>
      </c>
      <c r="I87" s="669" t="s">
        <v>331</v>
      </c>
      <c r="J87" s="4">
        <v>617</v>
      </c>
    </row>
    <row r="88" spans="1:10" x14ac:dyDescent="0.25">
      <c r="A88" s="669" t="s">
        <v>17</v>
      </c>
      <c r="B88" s="669" t="s">
        <v>262</v>
      </c>
      <c r="C88" s="4">
        <v>1</v>
      </c>
      <c r="G88" s="669" t="s">
        <v>498</v>
      </c>
      <c r="H88" s="669" t="s">
        <v>265</v>
      </c>
      <c r="I88" s="669" t="s">
        <v>332</v>
      </c>
      <c r="J88" s="4"/>
    </row>
    <row r="89" spans="1:10" x14ac:dyDescent="0.25">
      <c r="A89" s="669" t="s">
        <v>17</v>
      </c>
      <c r="B89" s="669" t="s">
        <v>263</v>
      </c>
      <c r="C89" s="4">
        <v>1</v>
      </c>
      <c r="G89" s="669" t="s">
        <v>85</v>
      </c>
      <c r="H89" s="669" t="s">
        <v>171</v>
      </c>
      <c r="I89" s="669" t="s">
        <v>332</v>
      </c>
      <c r="J89" s="4"/>
    </row>
    <row r="90" spans="1:10" x14ac:dyDescent="0.25">
      <c r="A90" s="669" t="s">
        <v>17</v>
      </c>
      <c r="B90" s="669" t="s">
        <v>70</v>
      </c>
      <c r="C90" s="4">
        <v>1</v>
      </c>
      <c r="G90" s="669" t="s">
        <v>43</v>
      </c>
      <c r="H90" s="669" t="s">
        <v>129</v>
      </c>
      <c r="I90" s="669" t="s">
        <v>944</v>
      </c>
      <c r="J90" s="4">
        <v>63</v>
      </c>
    </row>
    <row r="91" spans="1:10" x14ac:dyDescent="0.25">
      <c r="A91" s="669" t="s">
        <v>17</v>
      </c>
      <c r="B91" s="669" t="s">
        <v>64</v>
      </c>
      <c r="C91" s="4">
        <v>1</v>
      </c>
      <c r="G91" s="669" t="s">
        <v>36</v>
      </c>
      <c r="H91" s="669" t="s">
        <v>122</v>
      </c>
      <c r="I91" s="669" t="s">
        <v>331</v>
      </c>
      <c r="J91" s="4">
        <v>687</v>
      </c>
    </row>
    <row r="92" spans="1:10" x14ac:dyDescent="0.25">
      <c r="A92" s="669" t="s">
        <v>17</v>
      </c>
      <c r="B92" s="669" t="s">
        <v>83</v>
      </c>
      <c r="C92" s="4">
        <v>1</v>
      </c>
      <c r="G92" s="669" t="s">
        <v>24</v>
      </c>
      <c r="H92" s="669" t="s">
        <v>110</v>
      </c>
      <c r="I92" s="669" t="s">
        <v>944</v>
      </c>
      <c r="J92" s="4">
        <v>203</v>
      </c>
    </row>
    <row r="93" spans="1:10" x14ac:dyDescent="0.25">
      <c r="A93" s="669" t="s">
        <v>17</v>
      </c>
      <c r="B93" s="669" t="s">
        <v>518</v>
      </c>
      <c r="C93" s="4">
        <v>1</v>
      </c>
      <c r="G93" s="669" t="s">
        <v>96</v>
      </c>
      <c r="H93" s="669" t="s">
        <v>182</v>
      </c>
      <c r="I93" s="669" t="s">
        <v>332</v>
      </c>
      <c r="J93" s="4"/>
    </row>
    <row r="94" spans="1:10" x14ac:dyDescent="0.25">
      <c r="A94" s="669" t="s">
        <v>17</v>
      </c>
      <c r="B94" s="669" t="s">
        <v>590</v>
      </c>
      <c r="C94" s="4">
        <v>1</v>
      </c>
      <c r="G94" s="669" t="s">
        <v>27</v>
      </c>
      <c r="H94" s="669" t="s">
        <v>113</v>
      </c>
      <c r="I94" s="669" t="s">
        <v>944</v>
      </c>
      <c r="J94" s="4">
        <v>275</v>
      </c>
    </row>
    <row r="95" spans="1:10" x14ac:dyDescent="0.25">
      <c r="A95" s="669" t="s">
        <v>17</v>
      </c>
      <c r="B95" s="669" t="s">
        <v>591</v>
      </c>
      <c r="C95" s="4">
        <v>1</v>
      </c>
      <c r="G95" s="669" t="s">
        <v>66</v>
      </c>
      <c r="H95" s="669" t="s">
        <v>152</v>
      </c>
      <c r="I95" s="669" t="s">
        <v>331</v>
      </c>
      <c r="J95" s="4">
        <v>2270</v>
      </c>
    </row>
    <row r="96" spans="1:10" x14ac:dyDescent="0.25">
      <c r="A96" s="669" t="s">
        <v>17</v>
      </c>
      <c r="B96" s="669" t="s">
        <v>65</v>
      </c>
      <c r="C96" s="4">
        <v>1</v>
      </c>
      <c r="G96" s="669" t="s">
        <v>505</v>
      </c>
      <c r="H96" s="669" t="s">
        <v>506</v>
      </c>
      <c r="I96" s="669" t="s">
        <v>332</v>
      </c>
      <c r="J96" s="4"/>
    </row>
    <row r="97" spans="1:10" x14ac:dyDescent="0.25">
      <c r="A97" s="669" t="s">
        <v>17</v>
      </c>
      <c r="B97" s="669" t="s">
        <v>76</v>
      </c>
      <c r="C97" s="4">
        <v>1</v>
      </c>
      <c r="G97" s="669" t="s">
        <v>67</v>
      </c>
      <c r="H97" s="669" t="s">
        <v>153</v>
      </c>
      <c r="I97" s="669" t="s">
        <v>332</v>
      </c>
      <c r="J97" s="4"/>
    </row>
    <row r="98" spans="1:10" x14ac:dyDescent="0.25">
      <c r="A98" s="669" t="s">
        <v>17</v>
      </c>
      <c r="B98" s="669" t="s">
        <v>84</v>
      </c>
      <c r="C98" s="4">
        <v>1</v>
      </c>
      <c r="G98" s="669" t="s">
        <v>89</v>
      </c>
      <c r="H98" s="669" t="s">
        <v>175</v>
      </c>
      <c r="I98" s="669" t="s">
        <v>332</v>
      </c>
      <c r="J98" s="4"/>
    </row>
    <row r="99" spans="1:10" x14ac:dyDescent="0.25">
      <c r="A99" s="669" t="s">
        <v>17</v>
      </c>
      <c r="B99" s="669" t="s">
        <v>87</v>
      </c>
      <c r="C99" s="4">
        <v>1</v>
      </c>
      <c r="G99" s="669" t="s">
        <v>29</v>
      </c>
      <c r="H99" s="669" t="s">
        <v>115</v>
      </c>
      <c r="I99" s="669" t="s">
        <v>332</v>
      </c>
      <c r="J99" s="4"/>
    </row>
    <row r="100" spans="1:10" x14ac:dyDescent="0.25">
      <c r="A100" s="669" t="s">
        <v>17</v>
      </c>
      <c r="B100" s="669" t="s">
        <v>85</v>
      </c>
      <c r="C100" s="4">
        <v>1</v>
      </c>
      <c r="G100" s="669" t="s">
        <v>86</v>
      </c>
      <c r="H100" s="669" t="s">
        <v>172</v>
      </c>
      <c r="I100" s="669" t="s">
        <v>332</v>
      </c>
      <c r="J100" s="4"/>
    </row>
    <row r="101" spans="1:10" x14ac:dyDescent="0.25">
      <c r="A101" s="669" t="s">
        <v>17</v>
      </c>
      <c r="B101" s="669" t="s">
        <v>66</v>
      </c>
      <c r="C101" s="4">
        <v>1</v>
      </c>
      <c r="G101" s="669" t="s">
        <v>68</v>
      </c>
      <c r="H101" s="669" t="s">
        <v>154</v>
      </c>
      <c r="I101" s="669" t="s">
        <v>331</v>
      </c>
      <c r="J101" s="4">
        <v>981</v>
      </c>
    </row>
    <row r="102" spans="1:10" x14ac:dyDescent="0.25">
      <c r="A102" s="669" t="s">
        <v>17</v>
      </c>
      <c r="B102" s="669" t="s">
        <v>505</v>
      </c>
      <c r="C102" s="4">
        <v>1</v>
      </c>
      <c r="G102" s="669" t="s">
        <v>497</v>
      </c>
      <c r="H102" s="669" t="s">
        <v>267</v>
      </c>
      <c r="I102" s="669" t="s">
        <v>331</v>
      </c>
      <c r="J102" s="4">
        <v>496</v>
      </c>
    </row>
    <row r="103" spans="1:10" x14ac:dyDescent="0.25">
      <c r="A103" s="669" t="s">
        <v>17</v>
      </c>
      <c r="B103" s="669" t="s">
        <v>67</v>
      </c>
      <c r="C103" s="4">
        <v>1</v>
      </c>
      <c r="G103" s="669" t="s">
        <v>578</v>
      </c>
      <c r="H103" s="669" t="s">
        <v>579</v>
      </c>
      <c r="I103" s="669" t="s">
        <v>943</v>
      </c>
      <c r="J103" s="4">
        <v>32</v>
      </c>
    </row>
    <row r="104" spans="1:10" x14ac:dyDescent="0.25">
      <c r="A104" s="669" t="s">
        <v>17</v>
      </c>
      <c r="B104" s="669" t="s">
        <v>89</v>
      </c>
      <c r="C104" s="4">
        <v>1</v>
      </c>
      <c r="G104" s="669" t="s">
        <v>94</v>
      </c>
      <c r="H104" s="669" t="s">
        <v>180</v>
      </c>
      <c r="I104" s="669" t="s">
        <v>332</v>
      </c>
      <c r="J104" s="4"/>
    </row>
    <row r="105" spans="1:10" x14ac:dyDescent="0.25">
      <c r="A105" s="669" t="s">
        <v>17</v>
      </c>
      <c r="B105" s="669" t="s">
        <v>86</v>
      </c>
      <c r="C105" s="4">
        <v>1</v>
      </c>
      <c r="G105" s="669" t="s">
        <v>93</v>
      </c>
      <c r="H105" s="669" t="s">
        <v>179</v>
      </c>
      <c r="I105" s="669" t="s">
        <v>332</v>
      </c>
      <c r="J105" s="4"/>
    </row>
    <row r="106" spans="1:10" x14ac:dyDescent="0.25">
      <c r="A106" s="669" t="s">
        <v>17</v>
      </c>
      <c r="B106" s="669" t="s">
        <v>68</v>
      </c>
      <c r="C106" s="4">
        <v>1</v>
      </c>
      <c r="G106" s="669" t="s">
        <v>32</v>
      </c>
      <c r="H106" s="669" t="s">
        <v>118</v>
      </c>
      <c r="I106" s="669" t="s">
        <v>944</v>
      </c>
      <c r="J106" s="4">
        <v>365</v>
      </c>
    </row>
    <row r="107" spans="1:10" x14ac:dyDescent="0.25">
      <c r="A107" s="669" t="s">
        <v>17</v>
      </c>
      <c r="B107" s="669" t="s">
        <v>497</v>
      </c>
      <c r="C107" s="4">
        <v>1</v>
      </c>
      <c r="G107" s="669" t="s">
        <v>50</v>
      </c>
      <c r="H107" s="669" t="s">
        <v>136</v>
      </c>
      <c r="I107" s="669" t="s">
        <v>944</v>
      </c>
      <c r="J107" s="4">
        <v>112</v>
      </c>
    </row>
    <row r="108" spans="1:10" x14ac:dyDescent="0.25">
      <c r="A108" s="669" t="s">
        <v>17</v>
      </c>
      <c r="B108" s="669" t="s">
        <v>94</v>
      </c>
      <c r="C108" s="4">
        <v>1</v>
      </c>
      <c r="G108" s="669" t="s">
        <v>567</v>
      </c>
      <c r="H108" s="669" t="s">
        <v>571</v>
      </c>
      <c r="I108" s="669" t="s">
        <v>332</v>
      </c>
      <c r="J108" s="4"/>
    </row>
    <row r="109" spans="1:10" x14ac:dyDescent="0.25">
      <c r="A109" s="669" t="s">
        <v>17</v>
      </c>
      <c r="B109" s="669" t="s">
        <v>93</v>
      </c>
      <c r="C109" s="4">
        <v>1</v>
      </c>
      <c r="G109" s="669" t="s">
        <v>568</v>
      </c>
      <c r="H109" s="669" t="s">
        <v>572</v>
      </c>
      <c r="I109" s="669" t="s">
        <v>332</v>
      </c>
      <c r="J109" s="4"/>
    </row>
    <row r="110" spans="1:10" x14ac:dyDescent="0.25">
      <c r="A110" s="669" t="s">
        <v>938</v>
      </c>
      <c r="B110" s="669" t="s">
        <v>938</v>
      </c>
      <c r="C110" s="4"/>
      <c r="G110" s="669" t="s">
        <v>938</v>
      </c>
      <c r="H110" s="669" t="s">
        <v>938</v>
      </c>
      <c r="I110" s="669" t="s">
        <v>938</v>
      </c>
      <c r="J110" s="4"/>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5115"/>
  </sheetPr>
  <dimension ref="A1:Q81"/>
  <sheetViews>
    <sheetView zoomScale="85" zoomScaleNormal="85" workbookViewId="0">
      <selection activeCell="O75" sqref="O75:O78"/>
    </sheetView>
  </sheetViews>
  <sheetFormatPr defaultRowHeight="15" x14ac:dyDescent="0.25"/>
  <cols>
    <col min="1" max="1" width="16" customWidth="1"/>
    <col min="2" max="2" width="19" customWidth="1"/>
    <col min="3" max="3" width="14.140625" customWidth="1"/>
    <col min="4" max="4" width="10.5703125" customWidth="1"/>
    <col min="5" max="5" width="8.7109375" customWidth="1"/>
    <col min="6" max="6" width="11.7109375" customWidth="1"/>
    <col min="7" max="7" width="19.140625" customWidth="1"/>
    <col min="8" max="8" width="14.42578125" customWidth="1"/>
    <col min="9" max="9" width="9.5703125" customWidth="1"/>
    <col min="10" max="10" width="11.7109375" customWidth="1"/>
    <col min="11" max="11" width="14.140625" customWidth="1"/>
    <col min="12" max="12" width="17" customWidth="1"/>
    <col min="13" max="13" width="11" customWidth="1"/>
    <col min="14" max="14" width="13.85546875" customWidth="1"/>
    <col min="15" max="15" width="12.140625" customWidth="1"/>
  </cols>
  <sheetData>
    <row r="1" spans="1:17" s="1" customFormat="1" ht="36" x14ac:dyDescent="0.25">
      <c r="A1" s="863"/>
      <c r="B1" s="858"/>
      <c r="C1" s="858"/>
      <c r="D1" s="858"/>
      <c r="E1" s="858"/>
      <c r="F1" s="858"/>
      <c r="G1" s="858"/>
      <c r="H1" s="858"/>
      <c r="I1" s="858"/>
      <c r="J1" s="858"/>
      <c r="K1" s="858"/>
      <c r="L1" s="858"/>
      <c r="M1" s="858"/>
      <c r="N1" s="864"/>
      <c r="P1" s="57"/>
      <c r="Q1" s="57"/>
    </row>
    <row r="2" spans="1:17" s="1" customFormat="1" ht="33" customHeight="1" x14ac:dyDescent="0.25">
      <c r="A2" s="1232" t="s">
        <v>1009</v>
      </c>
      <c r="B2" s="1233"/>
      <c r="C2" s="1233"/>
      <c r="D2" s="1233"/>
      <c r="E2" s="1233"/>
      <c r="F2" s="1233"/>
      <c r="G2" s="1233"/>
      <c r="H2" s="1233"/>
      <c r="I2" s="859"/>
      <c r="J2" s="859"/>
      <c r="K2" s="859"/>
      <c r="L2" s="859"/>
      <c r="M2" s="859"/>
      <c r="N2" s="865"/>
    </row>
    <row r="3" spans="1:17" s="16" customFormat="1" ht="36" x14ac:dyDescent="0.25">
      <c r="A3" s="867">
        <f>Report_Date</f>
        <v>43190</v>
      </c>
      <c r="B3" s="860"/>
      <c r="C3" s="860"/>
      <c r="D3" s="860"/>
      <c r="E3" s="860"/>
      <c r="F3" s="861"/>
      <c r="G3" s="861"/>
      <c r="H3" s="862"/>
      <c r="I3" s="862"/>
      <c r="J3" s="862"/>
      <c r="K3" s="862"/>
      <c r="L3" s="862"/>
      <c r="M3" s="862"/>
      <c r="N3" s="866"/>
    </row>
    <row r="4" spans="1:17" s="669" customFormat="1" x14ac:dyDescent="0.25"/>
    <row r="5" spans="1:17" s="669" customFormat="1" x14ac:dyDescent="0.25">
      <c r="A5" s="15" t="s">
        <v>1010</v>
      </c>
    </row>
    <row r="6" spans="1:17" s="669" customFormat="1" x14ac:dyDescent="0.25">
      <c r="A6" s="15"/>
    </row>
    <row r="7" spans="1:17" x14ac:dyDescent="0.25">
      <c r="A7" s="170" t="s">
        <v>10</v>
      </c>
      <c r="B7" s="670" t="s">
        <v>7</v>
      </c>
    </row>
    <row r="8" spans="1:17" x14ac:dyDescent="0.25">
      <c r="A8" s="170" t="s">
        <v>329</v>
      </c>
      <c r="B8" s="670" t="s">
        <v>718</v>
      </c>
    </row>
    <row r="10" spans="1:17" x14ac:dyDescent="0.25">
      <c r="A10" s="170" t="s">
        <v>203</v>
      </c>
      <c r="B10" s="670" t="s">
        <v>1045</v>
      </c>
      <c r="C10" s="670" t="s">
        <v>859</v>
      </c>
      <c r="D10" s="670" t="s">
        <v>860</v>
      </c>
      <c r="E10" s="670" t="s">
        <v>861</v>
      </c>
      <c r="F10" s="670" t="s">
        <v>862</v>
      </c>
      <c r="G10" s="670" t="s">
        <v>863</v>
      </c>
      <c r="H10" s="670" t="s">
        <v>864</v>
      </c>
      <c r="I10" s="670" t="s">
        <v>879</v>
      </c>
      <c r="J10" s="670" t="s">
        <v>992</v>
      </c>
      <c r="K10" s="670" t="s">
        <v>1035</v>
      </c>
      <c r="L10" s="670" t="s">
        <v>1034</v>
      </c>
      <c r="M10" s="670" t="s">
        <v>1033</v>
      </c>
      <c r="N10" s="670" t="s">
        <v>1054</v>
      </c>
      <c r="O10" s="670" t="s">
        <v>1135</v>
      </c>
    </row>
    <row r="11" spans="1:17" x14ac:dyDescent="0.25">
      <c r="A11" s="1056">
        <v>2012</v>
      </c>
      <c r="B11" s="197">
        <v>11740</v>
      </c>
      <c r="C11" s="197">
        <v>7654</v>
      </c>
      <c r="D11" s="197">
        <v>13655</v>
      </c>
      <c r="E11" s="197">
        <v>8296</v>
      </c>
      <c r="F11" s="197">
        <v>4651</v>
      </c>
      <c r="G11" s="197">
        <v>1390</v>
      </c>
      <c r="H11" s="197"/>
      <c r="I11" s="197"/>
      <c r="J11" s="197"/>
      <c r="K11" s="197"/>
      <c r="L11" s="197"/>
      <c r="M11" s="197"/>
      <c r="N11" s="197"/>
      <c r="O11" s="197"/>
    </row>
    <row r="12" spans="1:17" x14ac:dyDescent="0.25">
      <c r="A12" s="1056">
        <v>2013</v>
      </c>
      <c r="B12" s="197">
        <v>1231</v>
      </c>
      <c r="C12" s="197">
        <v>25110</v>
      </c>
      <c r="D12" s="197">
        <v>11713</v>
      </c>
      <c r="E12" s="197">
        <v>21721</v>
      </c>
      <c r="F12" s="197">
        <v>9080</v>
      </c>
      <c r="G12" s="197">
        <v>9946</v>
      </c>
      <c r="H12" s="197">
        <v>12609</v>
      </c>
      <c r="I12" s="197"/>
      <c r="J12" s="197">
        <v>24963</v>
      </c>
      <c r="K12" s="197"/>
      <c r="L12" s="197"/>
      <c r="M12" s="197"/>
      <c r="N12" s="197"/>
      <c r="O12" s="197">
        <v>4371</v>
      </c>
    </row>
    <row r="13" spans="1:17" x14ac:dyDescent="0.25">
      <c r="A13" s="1056">
        <v>2014</v>
      </c>
      <c r="B13" s="197">
        <v>1322</v>
      </c>
      <c r="C13" s="197">
        <v>10169</v>
      </c>
      <c r="D13" s="197">
        <v>11883</v>
      </c>
      <c r="E13" s="197">
        <v>10000</v>
      </c>
      <c r="F13" s="197">
        <v>4206</v>
      </c>
      <c r="G13" s="197">
        <v>8710</v>
      </c>
      <c r="H13" s="197">
        <v>4946</v>
      </c>
      <c r="I13" s="197"/>
      <c r="J13" s="197">
        <v>13428</v>
      </c>
      <c r="K13" s="197"/>
      <c r="L13" s="197"/>
      <c r="M13" s="197"/>
      <c r="N13" s="197"/>
      <c r="O13" s="197">
        <v>1572</v>
      </c>
    </row>
    <row r="14" spans="1:17" x14ac:dyDescent="0.25">
      <c r="A14" s="1056">
        <v>2015</v>
      </c>
      <c r="B14" s="197">
        <v>141</v>
      </c>
      <c r="C14" s="197">
        <v>20751</v>
      </c>
      <c r="D14" s="197">
        <v>11772</v>
      </c>
      <c r="E14" s="197">
        <v>22020</v>
      </c>
      <c r="F14" s="197">
        <v>9547</v>
      </c>
      <c r="G14" s="197">
        <v>509</v>
      </c>
      <c r="H14" s="197">
        <v>10194</v>
      </c>
      <c r="I14" s="197">
        <v>9595</v>
      </c>
      <c r="J14" s="197">
        <v>49761</v>
      </c>
      <c r="K14" s="197"/>
      <c r="L14" s="197"/>
      <c r="M14" s="197"/>
      <c r="N14" s="197"/>
      <c r="O14" s="197">
        <v>7221</v>
      </c>
    </row>
    <row r="15" spans="1:17" x14ac:dyDescent="0.25">
      <c r="A15" s="1056">
        <v>2016</v>
      </c>
      <c r="B15" s="197">
        <v>1080</v>
      </c>
      <c r="C15" s="197">
        <v>6783</v>
      </c>
      <c r="D15" s="197">
        <v>3111</v>
      </c>
      <c r="E15" s="197">
        <v>5189</v>
      </c>
      <c r="F15" s="197">
        <v>4711</v>
      </c>
      <c r="G15" s="197">
        <v>195</v>
      </c>
      <c r="H15" s="197">
        <v>5179</v>
      </c>
      <c r="I15" s="197">
        <v>6888</v>
      </c>
      <c r="J15" s="197">
        <v>13639</v>
      </c>
      <c r="K15" s="197">
        <v>628</v>
      </c>
      <c r="L15" s="197"/>
      <c r="M15" s="197">
        <v>628</v>
      </c>
      <c r="N15" s="197"/>
      <c r="O15" s="197">
        <v>2206</v>
      </c>
    </row>
    <row r="16" spans="1:17" x14ac:dyDescent="0.25">
      <c r="A16" s="1056">
        <v>2017</v>
      </c>
      <c r="B16" s="197">
        <v>40005</v>
      </c>
      <c r="C16" s="197">
        <v>17185</v>
      </c>
      <c r="D16" s="197">
        <v>7784</v>
      </c>
      <c r="E16" s="197">
        <v>15976</v>
      </c>
      <c r="F16" s="197">
        <v>6507</v>
      </c>
      <c r="G16" s="197">
        <v>6</v>
      </c>
      <c r="H16" s="197">
        <v>3876</v>
      </c>
      <c r="I16" s="197">
        <v>4683</v>
      </c>
      <c r="J16" s="197">
        <v>38870</v>
      </c>
      <c r="K16" s="197">
        <v>16157</v>
      </c>
      <c r="L16" s="197">
        <v>10017</v>
      </c>
      <c r="M16" s="197"/>
      <c r="N16" s="197">
        <v>389</v>
      </c>
      <c r="O16" s="197">
        <v>15200</v>
      </c>
    </row>
    <row r="17" spans="1:15" s="669" customFormat="1" x14ac:dyDescent="0.25">
      <c r="A17" s="1056">
        <v>2018</v>
      </c>
      <c r="B17" s="197"/>
      <c r="C17" s="197">
        <v>2439</v>
      </c>
      <c r="D17" s="197"/>
      <c r="E17" s="197">
        <v>1839</v>
      </c>
      <c r="F17" s="197">
        <v>1282</v>
      </c>
      <c r="G17" s="197"/>
      <c r="H17" s="197"/>
      <c r="I17" s="197"/>
      <c r="J17" s="197">
        <v>4960</v>
      </c>
      <c r="K17" s="197"/>
      <c r="L17" s="197"/>
      <c r="M17" s="197"/>
      <c r="N17" s="197">
        <v>300</v>
      </c>
      <c r="O17" s="197">
        <v>22667</v>
      </c>
    </row>
    <row r="18" spans="1:15" s="669" customFormat="1" x14ac:dyDescent="0.25">
      <c r="A18" s="1056" t="s">
        <v>204</v>
      </c>
      <c r="B18" s="197">
        <v>55519</v>
      </c>
      <c r="C18" s="197">
        <v>90091</v>
      </c>
      <c r="D18" s="197">
        <v>59918</v>
      </c>
      <c r="E18" s="197">
        <v>85041</v>
      </c>
      <c r="F18" s="197">
        <v>39984</v>
      </c>
      <c r="G18" s="197">
        <v>20756</v>
      </c>
      <c r="H18" s="197">
        <v>36804</v>
      </c>
      <c r="I18" s="197">
        <v>21166</v>
      </c>
      <c r="J18" s="197">
        <v>145621</v>
      </c>
      <c r="K18" s="197">
        <v>16785</v>
      </c>
      <c r="L18" s="197">
        <v>10017</v>
      </c>
      <c r="M18" s="197">
        <v>628</v>
      </c>
      <c r="N18" s="197">
        <v>689</v>
      </c>
      <c r="O18" s="197">
        <v>53237</v>
      </c>
    </row>
    <row r="19" spans="1:15" s="5" customFormat="1" x14ac:dyDescent="0.25">
      <c r="A19" s="255"/>
      <c r="B19" s="751"/>
      <c r="C19" s="751"/>
      <c r="D19" s="751"/>
      <c r="E19" s="751"/>
      <c r="F19" s="751"/>
      <c r="G19" s="751"/>
      <c r="H19" s="751"/>
      <c r="I19" s="751"/>
      <c r="J19" s="751"/>
      <c r="K19" s="751"/>
      <c r="L19" s="751"/>
    </row>
    <row r="20" spans="1:15" s="669" customFormat="1" x14ac:dyDescent="0.25">
      <c r="A20" s="15" t="s">
        <v>1011</v>
      </c>
      <c r="B20" s="517"/>
      <c r="C20" s="517"/>
      <c r="D20" s="517"/>
      <c r="E20" s="517"/>
      <c r="F20" s="517"/>
      <c r="G20" s="517"/>
      <c r="H20" s="517"/>
      <c r="I20" s="517"/>
    </row>
    <row r="22" spans="1:15" x14ac:dyDescent="0.25">
      <c r="A22" s="170" t="s">
        <v>10</v>
      </c>
      <c r="B22" s="670" t="s">
        <v>7</v>
      </c>
      <c r="C22" s="669"/>
      <c r="D22" s="669"/>
      <c r="E22" s="669"/>
      <c r="F22" s="669"/>
      <c r="G22" s="669"/>
      <c r="H22" s="669"/>
      <c r="I22" s="669"/>
    </row>
    <row r="23" spans="1:15" x14ac:dyDescent="0.25">
      <c r="A23" s="170" t="s">
        <v>329</v>
      </c>
      <c r="B23" s="670" t="s">
        <v>718</v>
      </c>
      <c r="C23" s="669"/>
      <c r="D23" s="669"/>
      <c r="E23" s="669"/>
      <c r="F23" s="669"/>
      <c r="G23" s="669"/>
      <c r="H23" s="669"/>
      <c r="I23" s="669"/>
    </row>
    <row r="24" spans="1:15" x14ac:dyDescent="0.25">
      <c r="A24" s="669"/>
      <c r="B24" s="669"/>
      <c r="C24" s="669"/>
      <c r="D24" s="669"/>
      <c r="E24" s="669"/>
      <c r="F24" s="669"/>
      <c r="G24" s="669"/>
      <c r="H24" s="669"/>
      <c r="I24" s="669"/>
    </row>
    <row r="25" spans="1:15" x14ac:dyDescent="0.25">
      <c r="A25" s="170" t="s">
        <v>203</v>
      </c>
      <c r="B25" s="670" t="s">
        <v>1045</v>
      </c>
      <c r="C25" s="670" t="s">
        <v>859</v>
      </c>
      <c r="D25" s="670" t="s">
        <v>860</v>
      </c>
      <c r="E25" s="670" t="s">
        <v>861</v>
      </c>
      <c r="F25" s="670" t="s">
        <v>862</v>
      </c>
      <c r="G25" s="670" t="s">
        <v>863</v>
      </c>
      <c r="H25" s="670" t="s">
        <v>864</v>
      </c>
      <c r="I25" s="670" t="s">
        <v>879</v>
      </c>
      <c r="J25" s="670" t="s">
        <v>992</v>
      </c>
      <c r="K25" s="670" t="s">
        <v>1035</v>
      </c>
      <c r="L25" s="670" t="s">
        <v>1034</v>
      </c>
      <c r="M25" s="670" t="s">
        <v>1033</v>
      </c>
      <c r="N25" s="670" t="s">
        <v>1054</v>
      </c>
      <c r="O25" s="670" t="s">
        <v>1135</v>
      </c>
    </row>
    <row r="26" spans="1:15" x14ac:dyDescent="0.25">
      <c r="A26" s="1056">
        <v>2012</v>
      </c>
      <c r="B26" s="197"/>
      <c r="C26" s="197"/>
      <c r="D26" s="197"/>
      <c r="E26" s="197"/>
      <c r="F26" s="197"/>
      <c r="G26" s="197"/>
      <c r="H26" s="197"/>
      <c r="I26" s="197"/>
      <c r="J26" s="197"/>
      <c r="K26" s="197"/>
      <c r="L26" s="197"/>
      <c r="M26" s="197"/>
      <c r="N26" s="197"/>
      <c r="O26" s="197"/>
    </row>
    <row r="27" spans="1:15" x14ac:dyDescent="0.25">
      <c r="A27" s="169" t="s">
        <v>561</v>
      </c>
      <c r="B27" s="197"/>
      <c r="C27" s="197">
        <v>996</v>
      </c>
      <c r="D27" s="197">
        <v>298</v>
      </c>
      <c r="E27" s="197">
        <v>996</v>
      </c>
      <c r="F27" s="197">
        <v>498</v>
      </c>
      <c r="G27" s="197"/>
      <c r="H27" s="197"/>
      <c r="I27" s="197"/>
      <c r="J27" s="197"/>
      <c r="K27" s="197"/>
      <c r="L27" s="197"/>
      <c r="M27" s="197"/>
      <c r="N27" s="197"/>
      <c r="O27" s="197"/>
    </row>
    <row r="28" spans="1:15" x14ac:dyDescent="0.25">
      <c r="A28" s="169" t="s">
        <v>14</v>
      </c>
      <c r="B28" s="197"/>
      <c r="C28" s="197">
        <v>1746</v>
      </c>
      <c r="D28" s="197">
        <v>947</v>
      </c>
      <c r="E28" s="197">
        <v>1746</v>
      </c>
      <c r="F28" s="197">
        <v>672</v>
      </c>
      <c r="G28" s="197">
        <v>641</v>
      </c>
      <c r="H28" s="197"/>
      <c r="I28" s="197"/>
      <c r="J28" s="197"/>
      <c r="K28" s="197"/>
      <c r="L28" s="197"/>
      <c r="M28" s="197"/>
      <c r="N28" s="197"/>
      <c r="O28" s="197"/>
    </row>
    <row r="29" spans="1:15" x14ac:dyDescent="0.25">
      <c r="A29" s="169" t="s">
        <v>18</v>
      </c>
      <c r="B29" s="197">
        <v>3000</v>
      </c>
      <c r="C29" s="197"/>
      <c r="D29" s="197">
        <v>1180</v>
      </c>
      <c r="E29" s="197"/>
      <c r="F29" s="197"/>
      <c r="G29" s="197"/>
      <c r="H29" s="197"/>
      <c r="I29" s="197"/>
      <c r="J29" s="197"/>
      <c r="K29" s="197"/>
      <c r="L29" s="197"/>
      <c r="M29" s="197"/>
      <c r="N29" s="197"/>
      <c r="O29" s="197"/>
    </row>
    <row r="30" spans="1:15" x14ac:dyDescent="0.25">
      <c r="A30" s="169" t="s">
        <v>11</v>
      </c>
      <c r="B30" s="197"/>
      <c r="C30" s="197">
        <v>1015</v>
      </c>
      <c r="D30" s="197">
        <v>197</v>
      </c>
      <c r="E30" s="197">
        <v>788</v>
      </c>
      <c r="F30" s="197">
        <v>354</v>
      </c>
      <c r="G30" s="197"/>
      <c r="H30" s="197"/>
      <c r="I30" s="197"/>
      <c r="J30" s="197"/>
      <c r="K30" s="197"/>
      <c r="L30" s="197"/>
      <c r="M30" s="197"/>
      <c r="N30" s="197"/>
      <c r="O30" s="197"/>
    </row>
    <row r="31" spans="1:15" x14ac:dyDescent="0.25">
      <c r="A31" s="169" t="s">
        <v>941</v>
      </c>
      <c r="B31" s="197"/>
      <c r="C31" s="197">
        <v>240</v>
      </c>
      <c r="D31" s="197">
        <v>323</v>
      </c>
      <c r="E31" s="197"/>
      <c r="F31" s="197"/>
      <c r="G31" s="197"/>
      <c r="H31" s="197"/>
      <c r="I31" s="197"/>
      <c r="J31" s="197"/>
      <c r="K31" s="197"/>
      <c r="L31" s="197"/>
      <c r="M31" s="197"/>
      <c r="N31" s="197"/>
      <c r="O31" s="197"/>
    </row>
    <row r="32" spans="1:15" x14ac:dyDescent="0.25">
      <c r="A32" s="169" t="s">
        <v>817</v>
      </c>
      <c r="B32" s="197"/>
      <c r="C32" s="197">
        <v>720</v>
      </c>
      <c r="D32" s="197">
        <v>190</v>
      </c>
      <c r="E32" s="197">
        <v>720</v>
      </c>
      <c r="F32" s="197">
        <v>190</v>
      </c>
      <c r="G32" s="197">
        <v>749</v>
      </c>
      <c r="H32" s="197"/>
      <c r="I32" s="197"/>
      <c r="J32" s="197"/>
      <c r="K32" s="197"/>
      <c r="L32" s="197"/>
      <c r="M32" s="197"/>
      <c r="N32" s="197"/>
      <c r="O32" s="197"/>
    </row>
    <row r="33" spans="1:15" x14ac:dyDescent="0.25">
      <c r="A33" s="169" t="s">
        <v>13</v>
      </c>
      <c r="B33" s="197"/>
      <c r="C33" s="197">
        <v>2937</v>
      </c>
      <c r="D33" s="197">
        <v>5055</v>
      </c>
      <c r="E33" s="197">
        <v>3854</v>
      </c>
      <c r="F33" s="197">
        <v>2937</v>
      </c>
      <c r="G33" s="197"/>
      <c r="H33" s="197"/>
      <c r="I33" s="197"/>
      <c r="J33" s="197"/>
      <c r="K33" s="197"/>
      <c r="L33" s="197"/>
      <c r="M33" s="197"/>
      <c r="N33" s="197"/>
      <c r="O33" s="197"/>
    </row>
    <row r="34" spans="1:15" x14ac:dyDescent="0.25">
      <c r="A34" s="169" t="s">
        <v>17</v>
      </c>
      <c r="B34" s="197">
        <v>8740</v>
      </c>
      <c r="C34" s="197"/>
      <c r="D34" s="197">
        <v>5465</v>
      </c>
      <c r="E34" s="197">
        <v>192</v>
      </c>
      <c r="F34" s="197"/>
      <c r="G34" s="197"/>
      <c r="H34" s="197"/>
      <c r="I34" s="197"/>
      <c r="J34" s="197"/>
      <c r="K34" s="197"/>
      <c r="L34" s="197"/>
      <c r="M34" s="197"/>
      <c r="N34" s="197"/>
      <c r="O34" s="197"/>
    </row>
    <row r="35" spans="1:15" x14ac:dyDescent="0.25">
      <c r="A35" s="1056" t="s">
        <v>993</v>
      </c>
      <c r="B35" s="197">
        <v>11740</v>
      </c>
      <c r="C35" s="197">
        <v>7654</v>
      </c>
      <c r="D35" s="197">
        <v>13655</v>
      </c>
      <c r="E35" s="197">
        <v>8296</v>
      </c>
      <c r="F35" s="197">
        <v>4651</v>
      </c>
      <c r="G35" s="197">
        <v>1390</v>
      </c>
      <c r="H35" s="197"/>
      <c r="I35" s="197"/>
      <c r="J35" s="197"/>
      <c r="K35" s="197"/>
      <c r="L35" s="197"/>
      <c r="M35" s="197"/>
      <c r="N35" s="197"/>
      <c r="O35" s="197"/>
    </row>
    <row r="36" spans="1:15" x14ac:dyDescent="0.25">
      <c r="A36" s="1056">
        <v>2013</v>
      </c>
      <c r="B36" s="197"/>
      <c r="C36" s="197"/>
      <c r="D36" s="197"/>
      <c r="E36" s="197"/>
      <c r="F36" s="197"/>
      <c r="G36" s="197"/>
      <c r="H36" s="197"/>
      <c r="I36" s="197"/>
      <c r="J36" s="197"/>
      <c r="K36" s="197"/>
      <c r="L36" s="197"/>
      <c r="M36" s="197"/>
      <c r="N36" s="197"/>
      <c r="O36" s="197"/>
    </row>
    <row r="37" spans="1:15" x14ac:dyDescent="0.25">
      <c r="A37" s="169" t="s">
        <v>561</v>
      </c>
      <c r="B37" s="197"/>
      <c r="C37" s="197"/>
      <c r="D37" s="197"/>
      <c r="E37" s="197"/>
      <c r="F37" s="197"/>
      <c r="G37" s="197"/>
      <c r="H37" s="197"/>
      <c r="I37" s="197"/>
      <c r="J37" s="197"/>
      <c r="K37" s="197"/>
      <c r="L37" s="197"/>
      <c r="M37" s="197"/>
      <c r="N37" s="197"/>
      <c r="O37" s="197"/>
    </row>
    <row r="38" spans="1:15" x14ac:dyDescent="0.25">
      <c r="A38" s="169" t="s">
        <v>14</v>
      </c>
      <c r="B38" s="197">
        <v>60</v>
      </c>
      <c r="C38" s="197">
        <v>2450</v>
      </c>
      <c r="D38" s="197">
        <v>1259</v>
      </c>
      <c r="E38" s="197">
        <v>2450</v>
      </c>
      <c r="F38" s="197">
        <v>1225</v>
      </c>
      <c r="G38" s="197">
        <v>1225</v>
      </c>
      <c r="H38" s="197">
        <v>1225</v>
      </c>
      <c r="I38" s="197"/>
      <c r="J38" s="197">
        <v>2450</v>
      </c>
      <c r="K38" s="197"/>
      <c r="L38" s="197"/>
      <c r="M38" s="197"/>
      <c r="N38" s="197"/>
      <c r="O38" s="197"/>
    </row>
    <row r="39" spans="1:15" x14ac:dyDescent="0.25">
      <c r="A39" s="169" t="s">
        <v>18</v>
      </c>
      <c r="B39" s="197">
        <v>679</v>
      </c>
      <c r="C39" s="197">
        <v>1840</v>
      </c>
      <c r="D39" s="197">
        <v>742</v>
      </c>
      <c r="E39" s="197">
        <v>742</v>
      </c>
      <c r="F39" s="197">
        <v>371</v>
      </c>
      <c r="G39" s="197">
        <v>371</v>
      </c>
      <c r="H39" s="197">
        <v>371</v>
      </c>
      <c r="I39" s="197"/>
      <c r="J39" s="197">
        <v>742</v>
      </c>
      <c r="K39" s="197"/>
      <c r="L39" s="197"/>
      <c r="M39" s="197"/>
      <c r="N39" s="197"/>
      <c r="O39" s="197">
        <v>371</v>
      </c>
    </row>
    <row r="40" spans="1:15" x14ac:dyDescent="0.25">
      <c r="A40" s="169" t="s">
        <v>11</v>
      </c>
      <c r="B40" s="197"/>
      <c r="C40" s="197">
        <v>2036</v>
      </c>
      <c r="D40" s="197">
        <v>1420</v>
      </c>
      <c r="E40" s="197">
        <v>2036</v>
      </c>
      <c r="F40" s="197">
        <v>1018</v>
      </c>
      <c r="G40" s="197">
        <v>1018</v>
      </c>
      <c r="H40" s="197">
        <v>1018</v>
      </c>
      <c r="I40" s="197"/>
      <c r="J40" s="197">
        <v>2036</v>
      </c>
      <c r="K40" s="197"/>
      <c r="L40" s="197"/>
      <c r="M40" s="197"/>
      <c r="N40" s="197"/>
      <c r="O40" s="197"/>
    </row>
    <row r="41" spans="1:15" x14ac:dyDescent="0.25">
      <c r="A41" s="169" t="s">
        <v>941</v>
      </c>
      <c r="B41" s="197"/>
      <c r="C41" s="197">
        <v>1474</v>
      </c>
      <c r="D41" s="197">
        <v>5</v>
      </c>
      <c r="E41" s="197">
        <v>1474</v>
      </c>
      <c r="F41" s="197">
        <v>737</v>
      </c>
      <c r="G41" s="197">
        <v>737</v>
      </c>
      <c r="H41" s="197">
        <v>706</v>
      </c>
      <c r="I41" s="197"/>
      <c r="J41" s="197">
        <v>1412</v>
      </c>
      <c r="K41" s="197"/>
      <c r="L41" s="197"/>
      <c r="M41" s="197"/>
      <c r="N41" s="197"/>
      <c r="O41" s="197"/>
    </row>
    <row r="42" spans="1:15" x14ac:dyDescent="0.25">
      <c r="A42" s="169" t="s">
        <v>817</v>
      </c>
      <c r="B42" s="197"/>
      <c r="C42" s="197">
        <v>2341</v>
      </c>
      <c r="D42" s="197">
        <v>799</v>
      </c>
      <c r="E42" s="197">
        <v>2341</v>
      </c>
      <c r="F42" s="197">
        <v>799</v>
      </c>
      <c r="G42" s="197">
        <v>799</v>
      </c>
      <c r="H42" s="197">
        <v>1542</v>
      </c>
      <c r="I42" s="197"/>
      <c r="J42" s="197">
        <v>1598</v>
      </c>
      <c r="K42" s="197"/>
      <c r="L42" s="197"/>
      <c r="M42" s="197"/>
      <c r="N42" s="197"/>
      <c r="O42" s="197">
        <v>799</v>
      </c>
    </row>
    <row r="43" spans="1:15" x14ac:dyDescent="0.25">
      <c r="A43" s="169" t="s">
        <v>13</v>
      </c>
      <c r="B43" s="197"/>
      <c r="C43" s="197">
        <v>7125</v>
      </c>
      <c r="D43" s="197">
        <v>1445</v>
      </c>
      <c r="E43" s="197">
        <v>5541</v>
      </c>
      <c r="F43" s="197">
        <v>2770</v>
      </c>
      <c r="G43" s="197">
        <v>4355</v>
      </c>
      <c r="H43" s="197">
        <v>2770</v>
      </c>
      <c r="I43" s="197"/>
      <c r="J43" s="197">
        <v>5988</v>
      </c>
      <c r="K43" s="197"/>
      <c r="L43" s="197"/>
      <c r="M43" s="197"/>
      <c r="N43" s="197"/>
      <c r="O43" s="197">
        <v>0</v>
      </c>
    </row>
    <row r="44" spans="1:15" x14ac:dyDescent="0.25">
      <c r="A44" s="169" t="s">
        <v>15</v>
      </c>
      <c r="B44" s="197">
        <v>492</v>
      </c>
      <c r="C44" s="197">
        <v>1427</v>
      </c>
      <c r="D44" s="197">
        <v>720</v>
      </c>
      <c r="E44" s="197">
        <v>720</v>
      </c>
      <c r="F44" s="197">
        <v>360</v>
      </c>
      <c r="G44" s="197">
        <v>360</v>
      </c>
      <c r="H44" s="197">
        <v>360</v>
      </c>
      <c r="I44" s="197"/>
      <c r="J44" s="197">
        <v>720</v>
      </c>
      <c r="K44" s="197"/>
      <c r="L44" s="197"/>
      <c r="M44" s="197"/>
      <c r="N44" s="197"/>
      <c r="O44" s="197">
        <v>360</v>
      </c>
    </row>
    <row r="45" spans="1:15" x14ac:dyDescent="0.25">
      <c r="A45" s="169" t="s">
        <v>17</v>
      </c>
      <c r="B45" s="197"/>
      <c r="C45" s="197">
        <v>6417</v>
      </c>
      <c r="D45" s="197">
        <v>5323</v>
      </c>
      <c r="E45" s="197">
        <v>6417</v>
      </c>
      <c r="F45" s="197">
        <v>1800</v>
      </c>
      <c r="G45" s="197">
        <v>1081</v>
      </c>
      <c r="H45" s="197">
        <v>4617</v>
      </c>
      <c r="I45" s="197"/>
      <c r="J45" s="197">
        <v>10017</v>
      </c>
      <c r="K45" s="197"/>
      <c r="L45" s="197"/>
      <c r="M45" s="197"/>
      <c r="N45" s="197"/>
      <c r="O45" s="197">
        <v>2841</v>
      </c>
    </row>
    <row r="46" spans="1:15" x14ac:dyDescent="0.25">
      <c r="A46" s="1056" t="s">
        <v>994</v>
      </c>
      <c r="B46" s="197">
        <v>1231</v>
      </c>
      <c r="C46" s="197">
        <v>25110</v>
      </c>
      <c r="D46" s="197">
        <v>11713</v>
      </c>
      <c r="E46" s="197">
        <v>21721</v>
      </c>
      <c r="F46" s="197">
        <v>9080</v>
      </c>
      <c r="G46" s="197">
        <v>9946</v>
      </c>
      <c r="H46" s="197">
        <v>12609</v>
      </c>
      <c r="I46" s="197"/>
      <c r="J46" s="197">
        <v>24963</v>
      </c>
      <c r="K46" s="197"/>
      <c r="L46" s="197"/>
      <c r="M46" s="197"/>
      <c r="N46" s="197"/>
      <c r="O46" s="197">
        <v>4371</v>
      </c>
    </row>
    <row r="47" spans="1:15" x14ac:dyDescent="0.25">
      <c r="A47" s="1056">
        <v>2014</v>
      </c>
      <c r="B47" s="197"/>
      <c r="C47" s="197"/>
      <c r="D47" s="197"/>
      <c r="E47" s="197"/>
      <c r="F47" s="197"/>
      <c r="G47" s="197"/>
      <c r="H47" s="197"/>
      <c r="I47" s="197"/>
      <c r="J47" s="197"/>
      <c r="K47" s="197"/>
      <c r="L47" s="197"/>
      <c r="M47" s="197"/>
      <c r="N47" s="197"/>
      <c r="O47" s="197"/>
    </row>
    <row r="48" spans="1:15" x14ac:dyDescent="0.25">
      <c r="A48" s="169" t="s">
        <v>14</v>
      </c>
      <c r="B48" s="197">
        <v>1</v>
      </c>
      <c r="C48" s="197">
        <v>4</v>
      </c>
      <c r="D48" s="197"/>
      <c r="E48" s="197">
        <v>4</v>
      </c>
      <c r="F48" s="197">
        <v>2</v>
      </c>
      <c r="G48" s="197">
        <v>5</v>
      </c>
      <c r="H48" s="197">
        <v>2</v>
      </c>
      <c r="I48" s="197"/>
      <c r="J48" s="197">
        <v>4</v>
      </c>
      <c r="K48" s="197"/>
      <c r="L48" s="197"/>
      <c r="M48" s="197"/>
      <c r="N48" s="197"/>
      <c r="O48" s="197"/>
    </row>
    <row r="49" spans="1:15" x14ac:dyDescent="0.25">
      <c r="A49" s="169" t="s">
        <v>18</v>
      </c>
      <c r="B49" s="197">
        <v>784</v>
      </c>
      <c r="C49" s="197">
        <v>1566</v>
      </c>
      <c r="D49" s="197">
        <v>0</v>
      </c>
      <c r="E49" s="197">
        <v>1566</v>
      </c>
      <c r="F49" s="197">
        <v>473</v>
      </c>
      <c r="G49" s="197">
        <v>0</v>
      </c>
      <c r="H49" s="197">
        <v>784</v>
      </c>
      <c r="I49" s="197"/>
      <c r="J49" s="197">
        <v>2365</v>
      </c>
      <c r="K49" s="197"/>
      <c r="L49" s="197"/>
      <c r="M49" s="197"/>
      <c r="N49" s="197"/>
      <c r="O49" s="197">
        <v>784</v>
      </c>
    </row>
    <row r="50" spans="1:15" x14ac:dyDescent="0.25">
      <c r="A50" s="169" t="s">
        <v>13</v>
      </c>
      <c r="B50" s="197"/>
      <c r="C50" s="197">
        <v>2815</v>
      </c>
      <c r="D50" s="197"/>
      <c r="E50" s="197">
        <v>2008</v>
      </c>
      <c r="F50" s="197">
        <v>994</v>
      </c>
      <c r="G50" s="197">
        <v>8705</v>
      </c>
      <c r="H50" s="197">
        <v>994</v>
      </c>
      <c r="I50" s="197"/>
      <c r="J50" s="197">
        <v>2108</v>
      </c>
      <c r="K50" s="197"/>
      <c r="L50" s="197"/>
      <c r="M50" s="197"/>
      <c r="N50" s="197"/>
      <c r="O50" s="197"/>
    </row>
    <row r="51" spans="1:15" x14ac:dyDescent="0.25">
      <c r="A51" s="169" t="s">
        <v>15</v>
      </c>
      <c r="B51" s="197">
        <v>537</v>
      </c>
      <c r="C51" s="197">
        <v>1074</v>
      </c>
      <c r="D51" s="197">
        <v>382</v>
      </c>
      <c r="E51" s="197">
        <v>1074</v>
      </c>
      <c r="F51" s="197">
        <v>382</v>
      </c>
      <c r="G51" s="197">
        <v>0</v>
      </c>
      <c r="H51" s="197">
        <v>537</v>
      </c>
      <c r="I51" s="197"/>
      <c r="J51" s="197">
        <v>1910</v>
      </c>
      <c r="K51" s="197"/>
      <c r="L51" s="197"/>
      <c r="M51" s="197"/>
      <c r="N51" s="197"/>
      <c r="O51" s="197">
        <v>537</v>
      </c>
    </row>
    <row r="52" spans="1:15" x14ac:dyDescent="0.25">
      <c r="A52" s="169" t="s">
        <v>17</v>
      </c>
      <c r="B52" s="197"/>
      <c r="C52" s="197">
        <v>4710</v>
      </c>
      <c r="D52" s="197">
        <v>11501</v>
      </c>
      <c r="E52" s="197">
        <v>5348</v>
      </c>
      <c r="F52" s="197">
        <v>2355</v>
      </c>
      <c r="G52" s="197"/>
      <c r="H52" s="197">
        <v>2629</v>
      </c>
      <c r="I52" s="197"/>
      <c r="J52" s="197">
        <v>7041</v>
      </c>
      <c r="K52" s="197"/>
      <c r="L52" s="197"/>
      <c r="M52" s="197"/>
      <c r="N52" s="197"/>
      <c r="O52" s="197">
        <v>251</v>
      </c>
    </row>
    <row r="53" spans="1:15" x14ac:dyDescent="0.25">
      <c r="A53" s="1056" t="s">
        <v>995</v>
      </c>
      <c r="B53" s="197">
        <v>1322</v>
      </c>
      <c r="C53" s="197">
        <v>10169</v>
      </c>
      <c r="D53" s="197">
        <v>11883</v>
      </c>
      <c r="E53" s="197">
        <v>10000</v>
      </c>
      <c r="F53" s="197">
        <v>4206</v>
      </c>
      <c r="G53" s="197">
        <v>8710</v>
      </c>
      <c r="H53" s="197">
        <v>4946</v>
      </c>
      <c r="I53" s="197"/>
      <c r="J53" s="197">
        <v>13428</v>
      </c>
      <c r="K53" s="197"/>
      <c r="L53" s="197"/>
      <c r="M53" s="197"/>
      <c r="N53" s="197"/>
      <c r="O53" s="197">
        <v>1572</v>
      </c>
    </row>
    <row r="54" spans="1:15" x14ac:dyDescent="0.25">
      <c r="A54" s="1056">
        <v>2015</v>
      </c>
      <c r="B54" s="197"/>
      <c r="C54" s="197"/>
      <c r="D54" s="197"/>
      <c r="E54" s="197"/>
      <c r="F54" s="197"/>
      <c r="G54" s="197"/>
      <c r="H54" s="197"/>
      <c r="I54" s="197"/>
      <c r="J54" s="197"/>
      <c r="K54" s="197"/>
      <c r="L54" s="197"/>
      <c r="M54" s="197"/>
      <c r="N54" s="197"/>
      <c r="O54" s="197"/>
    </row>
    <row r="55" spans="1:15" x14ac:dyDescent="0.25">
      <c r="A55" s="169" t="s">
        <v>14</v>
      </c>
      <c r="B55" s="197"/>
      <c r="C55" s="197"/>
      <c r="D55" s="197">
        <v>876</v>
      </c>
      <c r="E55" s="197"/>
      <c r="F55" s="197"/>
      <c r="G55" s="197"/>
      <c r="H55" s="197"/>
      <c r="I55" s="197"/>
      <c r="J55" s="197"/>
      <c r="K55" s="197"/>
      <c r="L55" s="197"/>
      <c r="M55" s="197"/>
      <c r="N55" s="197"/>
      <c r="O55" s="197"/>
    </row>
    <row r="56" spans="1:15" x14ac:dyDescent="0.25">
      <c r="A56" s="169" t="s">
        <v>18</v>
      </c>
      <c r="B56" s="197">
        <v>134</v>
      </c>
      <c r="C56" s="197">
        <v>268</v>
      </c>
      <c r="D56" s="197">
        <v>0</v>
      </c>
      <c r="E56" s="197">
        <v>268</v>
      </c>
      <c r="F56" s="197">
        <v>88</v>
      </c>
      <c r="G56" s="197">
        <v>0</v>
      </c>
      <c r="H56" s="197">
        <v>134</v>
      </c>
      <c r="I56" s="197">
        <v>134</v>
      </c>
      <c r="J56" s="197">
        <v>340</v>
      </c>
      <c r="K56" s="197"/>
      <c r="L56" s="197"/>
      <c r="M56" s="197"/>
      <c r="N56" s="197"/>
      <c r="O56" s="197">
        <v>134</v>
      </c>
    </row>
    <row r="57" spans="1:15" x14ac:dyDescent="0.25">
      <c r="A57" s="169" t="s">
        <v>11</v>
      </c>
      <c r="B57" s="197"/>
      <c r="C57" s="197"/>
      <c r="D57" s="197">
        <v>879</v>
      </c>
      <c r="E57" s="197"/>
      <c r="F57" s="197"/>
      <c r="G57" s="197"/>
      <c r="H57" s="197"/>
      <c r="I57" s="197"/>
      <c r="J57" s="197"/>
      <c r="K57" s="197"/>
      <c r="L57" s="197"/>
      <c r="M57" s="197"/>
      <c r="N57" s="197"/>
      <c r="O57" s="197"/>
    </row>
    <row r="58" spans="1:15" x14ac:dyDescent="0.25">
      <c r="A58" s="169" t="s">
        <v>941</v>
      </c>
      <c r="B58" s="197"/>
      <c r="C58" s="197"/>
      <c r="D58" s="197">
        <v>111</v>
      </c>
      <c r="E58" s="197"/>
      <c r="F58" s="197"/>
      <c r="G58" s="197"/>
      <c r="H58" s="197"/>
      <c r="I58" s="197"/>
      <c r="J58" s="197"/>
      <c r="K58" s="197"/>
      <c r="L58" s="197"/>
      <c r="M58" s="197"/>
      <c r="N58" s="197"/>
      <c r="O58" s="197"/>
    </row>
    <row r="59" spans="1:15" x14ac:dyDescent="0.25">
      <c r="A59" s="169" t="s">
        <v>817</v>
      </c>
      <c r="B59" s="197"/>
      <c r="C59" s="197"/>
      <c r="D59" s="197"/>
      <c r="E59" s="197"/>
      <c r="F59" s="197"/>
      <c r="G59" s="197"/>
      <c r="H59" s="197"/>
      <c r="I59" s="197"/>
      <c r="J59" s="197"/>
      <c r="K59" s="197"/>
      <c r="L59" s="197"/>
      <c r="M59" s="197"/>
      <c r="N59" s="197"/>
      <c r="O59" s="197"/>
    </row>
    <row r="60" spans="1:15" x14ac:dyDescent="0.25">
      <c r="A60" s="169" t="s">
        <v>13</v>
      </c>
      <c r="B60" s="197"/>
      <c r="C60" s="197">
        <v>5527</v>
      </c>
      <c r="D60" s="197">
        <v>1982</v>
      </c>
      <c r="E60" s="197">
        <v>3964</v>
      </c>
      <c r="F60" s="197">
        <v>1982</v>
      </c>
      <c r="G60" s="197"/>
      <c r="H60" s="197">
        <v>1964</v>
      </c>
      <c r="I60" s="197">
        <v>1982</v>
      </c>
      <c r="J60" s="197">
        <v>9910</v>
      </c>
      <c r="K60" s="197"/>
      <c r="L60" s="197"/>
      <c r="M60" s="197"/>
      <c r="N60" s="197"/>
      <c r="O60" s="197">
        <v>1108</v>
      </c>
    </row>
    <row r="61" spans="1:15" x14ac:dyDescent="0.25">
      <c r="A61" s="169" t="s">
        <v>15</v>
      </c>
      <c r="B61" s="197">
        <v>7</v>
      </c>
      <c r="C61" s="197">
        <v>14</v>
      </c>
      <c r="D61" s="197">
        <v>451</v>
      </c>
      <c r="E61" s="197">
        <v>1248</v>
      </c>
      <c r="F61" s="197">
        <v>5</v>
      </c>
      <c r="G61" s="197">
        <v>0</v>
      </c>
      <c r="H61" s="197">
        <v>624</v>
      </c>
      <c r="I61" s="197">
        <v>7</v>
      </c>
      <c r="J61" s="197">
        <v>2151</v>
      </c>
      <c r="K61" s="197"/>
      <c r="L61" s="197"/>
      <c r="M61" s="197"/>
      <c r="N61" s="197"/>
      <c r="O61" s="197">
        <v>7</v>
      </c>
    </row>
    <row r="62" spans="1:15" x14ac:dyDescent="0.25">
      <c r="A62" s="169" t="s">
        <v>17</v>
      </c>
      <c r="B62" s="197">
        <v>0</v>
      </c>
      <c r="C62" s="197">
        <v>14942</v>
      </c>
      <c r="D62" s="197">
        <v>7473</v>
      </c>
      <c r="E62" s="197">
        <v>16540</v>
      </c>
      <c r="F62" s="197">
        <v>7472</v>
      </c>
      <c r="G62" s="197">
        <v>509</v>
      </c>
      <c r="H62" s="197">
        <v>7472</v>
      </c>
      <c r="I62" s="197">
        <v>7472</v>
      </c>
      <c r="J62" s="197">
        <v>37360</v>
      </c>
      <c r="K62" s="197"/>
      <c r="L62" s="197"/>
      <c r="M62" s="197"/>
      <c r="N62" s="197"/>
      <c r="O62" s="197">
        <v>5972</v>
      </c>
    </row>
    <row r="63" spans="1:15" x14ac:dyDescent="0.25">
      <c r="A63" s="1056" t="s">
        <v>996</v>
      </c>
      <c r="B63" s="197">
        <v>141</v>
      </c>
      <c r="C63" s="197">
        <v>20751</v>
      </c>
      <c r="D63" s="197">
        <v>11772</v>
      </c>
      <c r="E63" s="197">
        <v>22020</v>
      </c>
      <c r="F63" s="197">
        <v>9547</v>
      </c>
      <c r="G63" s="197">
        <v>509</v>
      </c>
      <c r="H63" s="197">
        <v>10194</v>
      </c>
      <c r="I63" s="197">
        <v>9595</v>
      </c>
      <c r="J63" s="197">
        <v>49761</v>
      </c>
      <c r="K63" s="197"/>
      <c r="L63" s="197"/>
      <c r="M63" s="197"/>
      <c r="N63" s="197"/>
      <c r="O63" s="197">
        <v>7221</v>
      </c>
    </row>
    <row r="64" spans="1:15" x14ac:dyDescent="0.25">
      <c r="A64" s="1056">
        <v>2016</v>
      </c>
      <c r="B64" s="197"/>
      <c r="C64" s="197"/>
      <c r="D64" s="197"/>
      <c r="E64" s="197"/>
      <c r="F64" s="197"/>
      <c r="G64" s="197"/>
      <c r="H64" s="197"/>
      <c r="I64" s="197"/>
      <c r="J64" s="197"/>
      <c r="K64" s="197"/>
      <c r="L64" s="197"/>
      <c r="M64" s="197"/>
      <c r="N64" s="197"/>
      <c r="O64" s="197"/>
    </row>
    <row r="65" spans="1:15" x14ac:dyDescent="0.25">
      <c r="A65" s="169" t="s">
        <v>561</v>
      </c>
      <c r="B65" s="197"/>
      <c r="C65" s="197"/>
      <c r="D65" s="197"/>
      <c r="E65" s="197">
        <v>919</v>
      </c>
      <c r="F65" s="197"/>
      <c r="G65" s="197"/>
      <c r="H65" s="197"/>
      <c r="I65" s="197"/>
      <c r="J65" s="197"/>
      <c r="K65" s="197"/>
      <c r="L65" s="197"/>
      <c r="M65" s="197"/>
      <c r="N65" s="197"/>
      <c r="O65" s="197">
        <v>492</v>
      </c>
    </row>
    <row r="66" spans="1:15" x14ac:dyDescent="0.25">
      <c r="A66" s="169" t="s">
        <v>817</v>
      </c>
      <c r="B66" s="197"/>
      <c r="C66" s="197">
        <v>724</v>
      </c>
      <c r="D66" s="197">
        <v>724</v>
      </c>
      <c r="E66" s="197">
        <v>703</v>
      </c>
      <c r="F66" s="197">
        <v>724</v>
      </c>
      <c r="G66" s="197">
        <v>195</v>
      </c>
      <c r="H66" s="197"/>
      <c r="I66" s="197">
        <v>724</v>
      </c>
      <c r="J66" s="197"/>
      <c r="K66" s="197">
        <v>628</v>
      </c>
      <c r="L66" s="197"/>
      <c r="M66" s="197">
        <v>628</v>
      </c>
      <c r="N66" s="197"/>
      <c r="O66" s="197"/>
    </row>
    <row r="67" spans="1:15" x14ac:dyDescent="0.25">
      <c r="A67" s="169" t="s">
        <v>13</v>
      </c>
      <c r="B67" s="197"/>
      <c r="C67" s="197"/>
      <c r="D67" s="197">
        <v>60</v>
      </c>
      <c r="E67" s="197"/>
      <c r="F67" s="197">
        <v>2084</v>
      </c>
      <c r="G67" s="197"/>
      <c r="H67" s="197"/>
      <c r="I67" s="197"/>
      <c r="J67" s="197"/>
      <c r="K67" s="197"/>
      <c r="L67" s="197"/>
      <c r="M67" s="197"/>
      <c r="N67" s="197"/>
      <c r="O67" s="197"/>
    </row>
    <row r="68" spans="1:15" x14ac:dyDescent="0.25">
      <c r="A68" s="169" t="s">
        <v>17</v>
      </c>
      <c r="B68" s="197">
        <v>1080</v>
      </c>
      <c r="C68" s="197">
        <v>6059</v>
      </c>
      <c r="D68" s="197">
        <v>2327</v>
      </c>
      <c r="E68" s="197">
        <v>3567</v>
      </c>
      <c r="F68" s="197">
        <v>1903</v>
      </c>
      <c r="G68" s="197"/>
      <c r="H68" s="197">
        <v>5179</v>
      </c>
      <c r="I68" s="197">
        <v>6164</v>
      </c>
      <c r="J68" s="197">
        <v>13639</v>
      </c>
      <c r="K68" s="197"/>
      <c r="L68" s="197"/>
      <c r="M68" s="197"/>
      <c r="N68" s="197"/>
      <c r="O68" s="197">
        <v>1714</v>
      </c>
    </row>
    <row r="69" spans="1:15" x14ac:dyDescent="0.25">
      <c r="A69" s="1056" t="s">
        <v>997</v>
      </c>
      <c r="B69" s="197">
        <v>1080</v>
      </c>
      <c r="C69" s="197">
        <v>6783</v>
      </c>
      <c r="D69" s="197">
        <v>3111</v>
      </c>
      <c r="E69" s="197">
        <v>5189</v>
      </c>
      <c r="F69" s="197">
        <v>4711</v>
      </c>
      <c r="G69" s="197">
        <v>195</v>
      </c>
      <c r="H69" s="197">
        <v>5179</v>
      </c>
      <c r="I69" s="197">
        <v>6888</v>
      </c>
      <c r="J69" s="197">
        <v>13639</v>
      </c>
      <c r="K69" s="197">
        <v>628</v>
      </c>
      <c r="L69" s="197"/>
      <c r="M69" s="197">
        <v>628</v>
      </c>
      <c r="N69" s="197"/>
      <c r="O69" s="197">
        <v>2206</v>
      </c>
    </row>
    <row r="70" spans="1:15" x14ac:dyDescent="0.25">
      <c r="A70" s="1056">
        <v>2017</v>
      </c>
      <c r="B70" s="197"/>
      <c r="C70" s="197"/>
      <c r="D70" s="197"/>
      <c r="E70" s="197"/>
      <c r="F70" s="197"/>
      <c r="G70" s="197"/>
      <c r="H70" s="197"/>
      <c r="I70" s="197"/>
      <c r="J70" s="197"/>
      <c r="K70" s="197"/>
      <c r="L70" s="197"/>
      <c r="M70" s="197"/>
      <c r="N70" s="197"/>
      <c r="O70" s="197"/>
    </row>
    <row r="71" spans="1:15" x14ac:dyDescent="0.25">
      <c r="A71" s="169" t="s">
        <v>14</v>
      </c>
      <c r="B71" s="197"/>
      <c r="C71" s="197">
        <v>182</v>
      </c>
      <c r="D71" s="197">
        <v>182</v>
      </c>
      <c r="E71" s="197">
        <v>182</v>
      </c>
      <c r="F71" s="197">
        <v>91</v>
      </c>
      <c r="G71" s="197"/>
      <c r="H71" s="197"/>
      <c r="I71" s="197">
        <v>91</v>
      </c>
      <c r="J71" s="197">
        <v>455</v>
      </c>
      <c r="K71" s="197"/>
      <c r="L71" s="197"/>
      <c r="M71" s="197"/>
      <c r="N71" s="197"/>
      <c r="O71" s="197"/>
    </row>
    <row r="72" spans="1:15" x14ac:dyDescent="0.25">
      <c r="A72" s="169" t="s">
        <v>817</v>
      </c>
      <c r="B72" s="197">
        <v>1325</v>
      </c>
      <c r="C72" s="197">
        <v>690</v>
      </c>
      <c r="D72" s="197"/>
      <c r="E72" s="197"/>
      <c r="F72" s="197"/>
      <c r="G72" s="197"/>
      <c r="H72" s="197"/>
      <c r="I72" s="197"/>
      <c r="J72" s="197"/>
      <c r="K72" s="197"/>
      <c r="L72" s="197"/>
      <c r="M72" s="197"/>
      <c r="N72" s="197"/>
      <c r="O72" s="197"/>
    </row>
    <row r="73" spans="1:15" x14ac:dyDescent="0.25">
      <c r="A73" s="169" t="s">
        <v>13</v>
      </c>
      <c r="B73" s="197">
        <v>4326</v>
      </c>
      <c r="C73" s="197">
        <v>5426</v>
      </c>
      <c r="D73" s="197">
        <v>3752</v>
      </c>
      <c r="E73" s="197">
        <v>2802</v>
      </c>
      <c r="F73" s="197">
        <v>2031</v>
      </c>
      <c r="G73" s="197"/>
      <c r="H73" s="197">
        <v>1288</v>
      </c>
      <c r="I73" s="197">
        <v>680</v>
      </c>
      <c r="J73" s="197">
        <v>8895</v>
      </c>
      <c r="K73" s="197">
        <v>2082</v>
      </c>
      <c r="L73" s="197"/>
      <c r="M73" s="197"/>
      <c r="N73" s="197">
        <v>389</v>
      </c>
      <c r="O73" s="197"/>
    </row>
    <row r="74" spans="1:15" x14ac:dyDescent="0.25">
      <c r="A74" s="169" t="s">
        <v>15</v>
      </c>
      <c r="B74" s="197"/>
      <c r="C74" s="197"/>
      <c r="D74" s="197">
        <v>502</v>
      </c>
      <c r="E74" s="197">
        <v>1384</v>
      </c>
      <c r="F74" s="197"/>
      <c r="G74" s="197"/>
      <c r="H74" s="197"/>
      <c r="I74" s="197"/>
      <c r="J74" s="197"/>
      <c r="K74" s="197"/>
      <c r="L74" s="197"/>
      <c r="M74" s="197"/>
      <c r="N74" s="197"/>
      <c r="O74" s="197">
        <v>270</v>
      </c>
    </row>
    <row r="75" spans="1:15" x14ac:dyDescent="0.25">
      <c r="A75" s="169" t="s">
        <v>17</v>
      </c>
      <c r="B75" s="197">
        <v>34354</v>
      </c>
      <c r="C75" s="197">
        <v>10887</v>
      </c>
      <c r="D75" s="197">
        <v>3348</v>
      </c>
      <c r="E75" s="197">
        <v>11608</v>
      </c>
      <c r="F75" s="197">
        <v>4385</v>
      </c>
      <c r="G75" s="197">
        <v>6</v>
      </c>
      <c r="H75" s="197">
        <v>2588</v>
      </c>
      <c r="I75" s="197">
        <v>3912</v>
      </c>
      <c r="J75" s="197">
        <v>29520</v>
      </c>
      <c r="K75" s="197">
        <v>14075</v>
      </c>
      <c r="L75" s="197">
        <v>10017</v>
      </c>
      <c r="M75" s="197"/>
      <c r="N75" s="197"/>
      <c r="O75" s="197">
        <v>14930</v>
      </c>
    </row>
    <row r="76" spans="1:15" x14ac:dyDescent="0.25">
      <c r="A76" s="1056" t="s">
        <v>1040</v>
      </c>
      <c r="B76" s="197">
        <v>40005</v>
      </c>
      <c r="C76" s="197">
        <v>17185</v>
      </c>
      <c r="D76" s="197">
        <v>7784</v>
      </c>
      <c r="E76" s="197">
        <v>15976</v>
      </c>
      <c r="F76" s="197">
        <v>6507</v>
      </c>
      <c r="G76" s="197">
        <v>6</v>
      </c>
      <c r="H76" s="197">
        <v>3876</v>
      </c>
      <c r="I76" s="197">
        <v>4683</v>
      </c>
      <c r="J76" s="197">
        <v>38870</v>
      </c>
      <c r="K76" s="197">
        <v>16157</v>
      </c>
      <c r="L76" s="197">
        <v>10017</v>
      </c>
      <c r="M76" s="197"/>
      <c r="N76" s="197">
        <v>389</v>
      </c>
      <c r="O76" s="197">
        <v>15200</v>
      </c>
    </row>
    <row r="77" spans="1:15" x14ac:dyDescent="0.25">
      <c r="A77" s="1056">
        <v>2018</v>
      </c>
      <c r="B77" s="197"/>
      <c r="C77" s="197"/>
      <c r="D77" s="197"/>
      <c r="E77" s="197"/>
      <c r="F77" s="197"/>
      <c r="G77" s="197"/>
      <c r="H77" s="197"/>
      <c r="I77" s="197"/>
      <c r="J77" s="197"/>
      <c r="K77" s="197"/>
      <c r="L77" s="197"/>
      <c r="M77" s="197"/>
      <c r="N77" s="197"/>
      <c r="O77" s="197"/>
    </row>
    <row r="78" spans="1:15" x14ac:dyDescent="0.25">
      <c r="A78" s="169" t="s">
        <v>13</v>
      </c>
      <c r="B78" s="197"/>
      <c r="C78" s="197">
        <v>1714</v>
      </c>
      <c r="D78" s="197"/>
      <c r="E78" s="197">
        <v>1714</v>
      </c>
      <c r="F78" s="197">
        <v>857</v>
      </c>
      <c r="G78" s="197"/>
      <c r="H78" s="197"/>
      <c r="I78" s="197"/>
      <c r="J78" s="197">
        <v>4285</v>
      </c>
      <c r="K78" s="197"/>
      <c r="L78" s="197"/>
      <c r="M78" s="197"/>
      <c r="N78" s="197"/>
      <c r="O78" s="197">
        <v>1440</v>
      </c>
    </row>
    <row r="79" spans="1:15" x14ac:dyDescent="0.25">
      <c r="A79" s="169" t="s">
        <v>17</v>
      </c>
      <c r="B79" s="197"/>
      <c r="C79" s="197">
        <v>725</v>
      </c>
      <c r="D79" s="197"/>
      <c r="E79" s="197">
        <v>125</v>
      </c>
      <c r="F79" s="197">
        <v>425</v>
      </c>
      <c r="G79" s="197"/>
      <c r="H79" s="197"/>
      <c r="I79" s="197"/>
      <c r="J79" s="197">
        <v>675</v>
      </c>
      <c r="K79" s="197"/>
      <c r="L79" s="197"/>
      <c r="M79" s="197"/>
      <c r="N79" s="197">
        <v>300</v>
      </c>
      <c r="O79" s="197">
        <v>21227</v>
      </c>
    </row>
    <row r="80" spans="1:15" x14ac:dyDescent="0.25">
      <c r="A80" s="1056" t="s">
        <v>1137</v>
      </c>
      <c r="B80" s="197"/>
      <c r="C80" s="197">
        <v>2439</v>
      </c>
      <c r="D80" s="197"/>
      <c r="E80" s="197">
        <v>1839</v>
      </c>
      <c r="F80" s="197">
        <v>1282</v>
      </c>
      <c r="G80" s="197"/>
      <c r="H80" s="197"/>
      <c r="I80" s="197"/>
      <c r="J80" s="197">
        <v>4960</v>
      </c>
      <c r="K80" s="197"/>
      <c r="L80" s="197"/>
      <c r="M80" s="197"/>
      <c r="N80" s="197">
        <v>300</v>
      </c>
      <c r="O80" s="197">
        <v>22667</v>
      </c>
    </row>
    <row r="81" spans="1:15" x14ac:dyDescent="0.25">
      <c r="A81" s="1056" t="s">
        <v>204</v>
      </c>
      <c r="B81" s="197">
        <v>55519</v>
      </c>
      <c r="C81" s="197">
        <v>90091</v>
      </c>
      <c r="D81" s="197">
        <v>59918</v>
      </c>
      <c r="E81" s="197">
        <v>85041</v>
      </c>
      <c r="F81" s="197">
        <v>39984</v>
      </c>
      <c r="G81" s="197">
        <v>20756</v>
      </c>
      <c r="H81" s="197">
        <v>36804</v>
      </c>
      <c r="I81" s="197">
        <v>21166</v>
      </c>
      <c r="J81" s="197">
        <v>145621</v>
      </c>
      <c r="K81" s="197">
        <v>16785</v>
      </c>
      <c r="L81" s="197">
        <v>10017</v>
      </c>
      <c r="M81" s="197">
        <v>628</v>
      </c>
      <c r="N81" s="197">
        <v>689</v>
      </c>
      <c r="O81" s="197">
        <v>53237</v>
      </c>
    </row>
  </sheetData>
  <mergeCells count="1">
    <mergeCell ref="A2:H2"/>
  </mergeCell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800"/>
    <pageSetUpPr fitToPage="1"/>
  </sheetPr>
  <dimension ref="A1:AI24"/>
  <sheetViews>
    <sheetView showZeros="0" topLeftCell="Y1" workbookViewId="0">
      <selection activeCell="AB5" sqref="AB5"/>
    </sheetView>
  </sheetViews>
  <sheetFormatPr defaultRowHeight="16.5" customHeight="1" x14ac:dyDescent="0.25"/>
  <cols>
    <col min="1" max="1" width="23.42578125" customWidth="1"/>
    <col min="2" max="2" width="26.28515625" customWidth="1"/>
    <col min="3" max="3" width="27" customWidth="1"/>
    <col min="4" max="4" width="29.42578125" customWidth="1"/>
    <col min="5" max="5" width="19.7109375" customWidth="1"/>
    <col min="11" max="11" width="9.140625" style="78"/>
    <col min="12" max="12" width="10.140625" customWidth="1"/>
    <col min="13" max="13" width="9.140625" style="78"/>
    <col min="14" max="14" width="22.7109375" customWidth="1"/>
    <col min="15" max="15" width="16.42578125" style="78" customWidth="1"/>
    <col min="16" max="16" width="19.140625" customWidth="1"/>
    <col min="18" max="18" width="16.28515625" customWidth="1"/>
    <col min="20" max="20" width="23.140625" customWidth="1"/>
    <col min="22" max="22" width="35.28515625" customWidth="1"/>
    <col min="23" max="23" width="9.140625" style="78"/>
    <col min="24" max="24" width="40.42578125" style="78" bestFit="1" customWidth="1"/>
    <col min="26" max="27" width="30" customWidth="1"/>
    <col min="28" max="28" width="28.42578125" customWidth="1"/>
    <col min="31" max="31" width="17.42578125" customWidth="1"/>
    <col min="32" max="32" width="19.5703125" customWidth="1"/>
    <col min="33" max="33" width="11.5703125" customWidth="1"/>
    <col min="34" max="34" width="11.28515625" customWidth="1"/>
  </cols>
  <sheetData>
    <row r="1" spans="1:35" s="41" customFormat="1" ht="16.5" customHeight="1" x14ac:dyDescent="0.25">
      <c r="A1" s="41" t="s">
        <v>315</v>
      </c>
      <c r="B1" s="41" t="s">
        <v>317</v>
      </c>
      <c r="C1" s="41" t="s">
        <v>316</v>
      </c>
      <c r="D1" s="41" t="s">
        <v>199</v>
      </c>
      <c r="E1" s="41" t="s">
        <v>319</v>
      </c>
      <c r="F1" s="41" t="s">
        <v>318</v>
      </c>
      <c r="J1" s="3" t="s">
        <v>10</v>
      </c>
      <c r="K1" s="3"/>
      <c r="L1" s="3" t="s">
        <v>7</v>
      </c>
      <c r="M1" s="3"/>
      <c r="N1" s="3" t="s">
        <v>22</v>
      </c>
      <c r="O1" s="3"/>
      <c r="P1" s="3" t="s">
        <v>330</v>
      </c>
      <c r="R1" s="41" t="s">
        <v>682</v>
      </c>
      <c r="T1" s="41" t="s">
        <v>686</v>
      </c>
      <c r="V1" s="41" t="s">
        <v>760</v>
      </c>
      <c r="W1" s="78"/>
      <c r="X1" s="78" t="s">
        <v>769</v>
      </c>
      <c r="Z1" s="41" t="s">
        <v>752</v>
      </c>
      <c r="AA1" s="41" t="s">
        <v>191</v>
      </c>
      <c r="AB1" s="41" t="s">
        <v>750</v>
      </c>
      <c r="AE1" s="41" t="s">
        <v>785</v>
      </c>
      <c r="AF1" s="41" t="s">
        <v>681</v>
      </c>
      <c r="AG1" s="41" t="s">
        <v>786</v>
      </c>
      <c r="AH1" s="41" t="s">
        <v>787</v>
      </c>
    </row>
    <row r="2" spans="1:35" ht="16.5" customHeight="1" x14ac:dyDescent="0.25">
      <c r="A2" t="s">
        <v>218</v>
      </c>
      <c r="B2" t="s">
        <v>302</v>
      </c>
      <c r="C2" t="s">
        <v>292</v>
      </c>
      <c r="D2" t="s">
        <v>295</v>
      </c>
      <c r="E2">
        <v>12</v>
      </c>
      <c r="F2">
        <v>2</v>
      </c>
      <c r="J2" s="47" t="s">
        <v>7</v>
      </c>
      <c r="K2" s="47"/>
      <c r="L2" s="47" t="s">
        <v>561</v>
      </c>
      <c r="M2" s="47"/>
      <c r="N2" s="47" t="s">
        <v>19</v>
      </c>
      <c r="O2" s="47"/>
      <c r="P2" s="47" t="s">
        <v>326</v>
      </c>
      <c r="R2" t="s">
        <v>1047</v>
      </c>
      <c r="T2" t="s">
        <v>834</v>
      </c>
      <c r="V2" t="s">
        <v>707</v>
      </c>
      <c r="X2" s="78" t="s">
        <v>770</v>
      </c>
      <c r="Z2" s="249" t="s">
        <v>724</v>
      </c>
      <c r="AA2" s="249"/>
      <c r="AB2" s="249"/>
      <c r="AE2" t="s">
        <v>788</v>
      </c>
      <c r="AF2" s="265" t="s">
        <v>810</v>
      </c>
      <c r="AG2" s="91">
        <v>0</v>
      </c>
      <c r="AH2">
        <v>0.5</v>
      </c>
    </row>
    <row r="3" spans="1:35" ht="16.5" customHeight="1" x14ac:dyDescent="0.25">
      <c r="A3" t="s">
        <v>310</v>
      </c>
      <c r="B3" t="s">
        <v>311</v>
      </c>
      <c r="C3" t="s">
        <v>312</v>
      </c>
      <c r="D3" t="s">
        <v>313</v>
      </c>
      <c r="E3" s="78">
        <v>12</v>
      </c>
      <c r="F3">
        <v>1</v>
      </c>
      <c r="J3" s="3"/>
      <c r="K3" s="3"/>
      <c r="L3" s="47" t="s">
        <v>14</v>
      </c>
      <c r="M3" s="47"/>
      <c r="N3" s="47" t="s">
        <v>759</v>
      </c>
      <c r="O3" s="47"/>
      <c r="P3" s="47" t="s">
        <v>327</v>
      </c>
      <c r="R3" t="s">
        <v>831</v>
      </c>
      <c r="T3" t="s">
        <v>679</v>
      </c>
      <c r="V3" t="s">
        <v>768</v>
      </c>
      <c r="X3" s="78" t="s">
        <v>771</v>
      </c>
      <c r="Z3" s="247" t="s">
        <v>273</v>
      </c>
      <c r="AA3" s="247" t="s">
        <v>611</v>
      </c>
      <c r="AB3" s="248" t="s">
        <v>1159</v>
      </c>
      <c r="AE3" s="78" t="s">
        <v>789</v>
      </c>
      <c r="AF3" s="265" t="s">
        <v>811</v>
      </c>
      <c r="AG3">
        <v>0.5</v>
      </c>
      <c r="AH3">
        <v>1</v>
      </c>
    </row>
    <row r="4" spans="1:35" ht="16.5" customHeight="1" x14ac:dyDescent="0.25">
      <c r="A4" t="s">
        <v>284</v>
      </c>
      <c r="B4" t="s">
        <v>303</v>
      </c>
      <c r="C4" t="s">
        <v>288</v>
      </c>
      <c r="D4" t="s">
        <v>298</v>
      </c>
      <c r="E4" s="78">
        <v>12</v>
      </c>
      <c r="F4">
        <v>1</v>
      </c>
      <c r="J4" s="47"/>
      <c r="K4" s="47"/>
      <c r="L4" s="47" t="s">
        <v>18</v>
      </c>
      <c r="M4" s="47"/>
      <c r="N4" s="47" t="s">
        <v>929</v>
      </c>
      <c r="O4" s="47"/>
      <c r="P4" s="47" t="s">
        <v>325</v>
      </c>
      <c r="R4" t="s">
        <v>607</v>
      </c>
      <c r="T4" t="s">
        <v>678</v>
      </c>
      <c r="V4" t="s">
        <v>763</v>
      </c>
      <c r="X4" s="78" t="s">
        <v>772</v>
      </c>
      <c r="Z4" s="247" t="s">
        <v>575</v>
      </c>
      <c r="AA4" s="247" t="s">
        <v>751</v>
      </c>
      <c r="AB4" s="248" t="s">
        <v>815</v>
      </c>
      <c r="AE4" s="78" t="s">
        <v>790</v>
      </c>
      <c r="AF4" s="265" t="s">
        <v>801</v>
      </c>
      <c r="AG4">
        <v>1</v>
      </c>
      <c r="AH4">
        <v>2</v>
      </c>
    </row>
    <row r="5" spans="1:35" ht="16.5" customHeight="1" x14ac:dyDescent="0.25">
      <c r="A5" t="s">
        <v>219</v>
      </c>
      <c r="B5" t="s">
        <v>304</v>
      </c>
      <c r="C5" t="s">
        <v>293</v>
      </c>
      <c r="D5" t="s">
        <v>296</v>
      </c>
      <c r="E5" s="78">
        <v>12</v>
      </c>
      <c r="F5">
        <v>1</v>
      </c>
      <c r="J5" s="3"/>
      <c r="K5" s="3"/>
      <c r="L5" s="47" t="s">
        <v>817</v>
      </c>
      <c r="M5" s="47"/>
      <c r="N5" s="47" t="s">
        <v>20</v>
      </c>
      <c r="O5" s="47"/>
      <c r="P5" s="47"/>
      <c r="R5" t="s">
        <v>832</v>
      </c>
      <c r="T5" t="s">
        <v>835</v>
      </c>
      <c r="V5" t="s">
        <v>765</v>
      </c>
      <c r="X5" s="78" t="s">
        <v>773</v>
      </c>
      <c r="Z5" s="247" t="s">
        <v>658</v>
      </c>
      <c r="AA5" s="247" t="s">
        <v>610</v>
      </c>
      <c r="AB5" s="550" t="s">
        <v>1055</v>
      </c>
      <c r="AE5" s="78" t="s">
        <v>791</v>
      </c>
      <c r="AF5" s="265" t="s">
        <v>800</v>
      </c>
      <c r="AG5">
        <v>2</v>
      </c>
      <c r="AH5">
        <v>3</v>
      </c>
    </row>
    <row r="6" spans="1:35" ht="16.5" customHeight="1" x14ac:dyDescent="0.25">
      <c r="A6" t="s">
        <v>552</v>
      </c>
      <c r="B6" t="s">
        <v>305</v>
      </c>
      <c r="C6" t="s">
        <v>297</v>
      </c>
      <c r="D6" t="s">
        <v>301</v>
      </c>
      <c r="E6" s="78">
        <v>12</v>
      </c>
      <c r="F6">
        <v>2</v>
      </c>
      <c r="J6" s="47"/>
      <c r="K6" s="47"/>
      <c r="L6" s="47" t="s">
        <v>11</v>
      </c>
      <c r="M6" s="47"/>
      <c r="N6" s="47" t="s">
        <v>21</v>
      </c>
      <c r="O6" s="47"/>
      <c r="P6" s="47"/>
      <c r="R6" t="s">
        <v>833</v>
      </c>
      <c r="T6" t="s">
        <v>838</v>
      </c>
      <c r="V6" t="s">
        <v>764</v>
      </c>
      <c r="X6" s="78" t="s">
        <v>784</v>
      </c>
      <c r="Z6" s="247" t="s">
        <v>913</v>
      </c>
      <c r="AA6" s="247" t="s">
        <v>914</v>
      </c>
      <c r="AB6" s="550" t="s">
        <v>1147</v>
      </c>
      <c r="AE6" s="78" t="s">
        <v>792</v>
      </c>
      <c r="AF6" s="265" t="s">
        <v>802</v>
      </c>
      <c r="AG6">
        <v>3</v>
      </c>
      <c r="AH6">
        <v>5</v>
      </c>
    </row>
    <row r="7" spans="1:35" ht="16.5" customHeight="1" x14ac:dyDescent="0.25">
      <c r="A7" t="s">
        <v>193</v>
      </c>
      <c r="B7" t="s">
        <v>306</v>
      </c>
      <c r="C7" t="s">
        <v>289</v>
      </c>
      <c r="D7" t="s">
        <v>299</v>
      </c>
      <c r="E7" s="78">
        <v>12</v>
      </c>
      <c r="F7">
        <v>1</v>
      </c>
      <c r="J7" s="47"/>
      <c r="K7" s="47"/>
      <c r="L7" s="47" t="s">
        <v>941</v>
      </c>
      <c r="M7" s="47"/>
      <c r="N7" s="47"/>
      <c r="O7" s="47"/>
      <c r="P7" s="47"/>
      <c r="R7" t="s">
        <v>809</v>
      </c>
      <c r="T7" t="s">
        <v>836</v>
      </c>
      <c r="V7" t="s">
        <v>766</v>
      </c>
      <c r="X7" s="78" t="s">
        <v>774</v>
      </c>
      <c r="Z7" s="247" t="s">
        <v>270</v>
      </c>
      <c r="AA7" s="247" t="s">
        <v>753</v>
      </c>
      <c r="AB7" s="248" t="s">
        <v>1146</v>
      </c>
      <c r="AE7" s="78" t="s">
        <v>793</v>
      </c>
      <c r="AF7" s="265" t="s">
        <v>803</v>
      </c>
      <c r="AG7">
        <v>5</v>
      </c>
      <c r="AH7">
        <v>11</v>
      </c>
    </row>
    <row r="8" spans="1:35" ht="16.5" customHeight="1" x14ac:dyDescent="0.25">
      <c r="A8" t="s">
        <v>535</v>
      </c>
      <c r="B8" t="s">
        <v>537</v>
      </c>
      <c r="C8" t="s">
        <v>539</v>
      </c>
      <c r="D8" t="s">
        <v>541</v>
      </c>
      <c r="E8" s="78">
        <v>12</v>
      </c>
      <c r="F8">
        <v>1</v>
      </c>
      <c r="J8" s="47"/>
      <c r="K8" s="47"/>
      <c r="L8" s="47" t="s">
        <v>13</v>
      </c>
      <c r="M8" s="47"/>
      <c r="N8" s="47"/>
      <c r="O8" s="47"/>
      <c r="P8" s="47"/>
      <c r="T8" t="s">
        <v>839</v>
      </c>
      <c r="V8" t="s">
        <v>762</v>
      </c>
      <c r="X8" s="78" t="s">
        <v>775</v>
      </c>
      <c r="AE8" s="78" t="s">
        <v>794</v>
      </c>
      <c r="AF8" s="265" t="s">
        <v>804</v>
      </c>
      <c r="AG8">
        <v>11</v>
      </c>
      <c r="AH8">
        <v>15</v>
      </c>
    </row>
    <row r="9" spans="1:35" ht="16.5" customHeight="1" x14ac:dyDescent="0.25">
      <c r="A9" t="s">
        <v>536</v>
      </c>
      <c r="B9" t="s">
        <v>538</v>
      </c>
      <c r="C9" t="s">
        <v>540</v>
      </c>
      <c r="D9" t="s">
        <v>542</v>
      </c>
      <c r="E9" s="78">
        <v>12</v>
      </c>
      <c r="F9">
        <v>5</v>
      </c>
      <c r="J9" s="47"/>
      <c r="K9" s="47"/>
      <c r="L9" s="47" t="s">
        <v>16</v>
      </c>
      <c r="M9" s="47"/>
      <c r="N9" s="47"/>
      <c r="O9" s="47"/>
      <c r="P9" s="47"/>
      <c r="T9" t="s">
        <v>837</v>
      </c>
      <c r="V9" t="s">
        <v>761</v>
      </c>
      <c r="X9" s="78" t="s">
        <v>776</v>
      </c>
      <c r="AE9" s="78" t="s">
        <v>795</v>
      </c>
      <c r="AF9" s="265" t="s">
        <v>805</v>
      </c>
      <c r="AG9">
        <v>15</v>
      </c>
      <c r="AH9">
        <v>18</v>
      </c>
    </row>
    <row r="10" spans="1:35" ht="16.5" customHeight="1" x14ac:dyDescent="0.25">
      <c r="A10" t="s">
        <v>285</v>
      </c>
      <c r="B10" s="78" t="s">
        <v>307</v>
      </c>
      <c r="C10" s="78" t="s">
        <v>290</v>
      </c>
      <c r="D10" s="78" t="s">
        <v>300</v>
      </c>
      <c r="E10" s="78">
        <v>12</v>
      </c>
      <c r="F10" s="78">
        <v>1</v>
      </c>
      <c r="J10" s="47"/>
      <c r="K10" s="47"/>
      <c r="L10" s="47" t="s">
        <v>15</v>
      </c>
      <c r="M10" s="47"/>
      <c r="N10" s="47"/>
      <c r="O10" s="47"/>
      <c r="P10" s="47"/>
      <c r="V10" t="s">
        <v>767</v>
      </c>
      <c r="X10" s="78" t="s">
        <v>777</v>
      </c>
      <c r="AE10" s="78" t="s">
        <v>796</v>
      </c>
      <c r="AF10" s="265" t="s">
        <v>806</v>
      </c>
      <c r="AG10">
        <v>18</v>
      </c>
      <c r="AH10">
        <v>24</v>
      </c>
    </row>
    <row r="11" spans="1:35" ht="16.5" customHeight="1" x14ac:dyDescent="0.25">
      <c r="A11" t="s">
        <v>286</v>
      </c>
      <c r="B11" s="78" t="s">
        <v>308</v>
      </c>
      <c r="C11" s="78" t="s">
        <v>291</v>
      </c>
      <c r="D11" s="78" t="s">
        <v>294</v>
      </c>
      <c r="E11" s="78">
        <v>12</v>
      </c>
      <c r="F11" s="78">
        <v>1</v>
      </c>
      <c r="J11" s="47"/>
      <c r="K11" s="47"/>
      <c r="L11" s="47" t="s">
        <v>17</v>
      </c>
      <c r="M11" s="47"/>
      <c r="N11" s="47"/>
      <c r="O11" s="47"/>
      <c r="P11" s="47"/>
      <c r="X11" s="78" t="s">
        <v>778</v>
      </c>
      <c r="AE11" s="78" t="s">
        <v>797</v>
      </c>
      <c r="AF11" s="265" t="s">
        <v>807</v>
      </c>
      <c r="AG11">
        <v>24</v>
      </c>
      <c r="AH11">
        <v>49</v>
      </c>
    </row>
    <row r="12" spans="1:35" ht="16.5" customHeight="1" x14ac:dyDescent="0.25">
      <c r="A12" s="78" t="s">
        <v>871</v>
      </c>
      <c r="B12" s="78" t="s">
        <v>875</v>
      </c>
      <c r="C12" s="78" t="s">
        <v>876</v>
      </c>
      <c r="D12" s="78" t="s">
        <v>877</v>
      </c>
      <c r="E12" s="78">
        <v>12</v>
      </c>
      <c r="F12" s="78">
        <v>1</v>
      </c>
      <c r="X12" s="78" t="s">
        <v>779</v>
      </c>
      <c r="AE12" s="78" t="s">
        <v>798</v>
      </c>
      <c r="AF12" s="265" t="s">
        <v>808</v>
      </c>
      <c r="AG12">
        <v>49</v>
      </c>
      <c r="AH12">
        <v>60</v>
      </c>
    </row>
    <row r="13" spans="1:35" ht="16.5" customHeight="1" x14ac:dyDescent="0.25">
      <c r="A13" t="s">
        <v>1022</v>
      </c>
      <c r="B13" t="s">
        <v>1030</v>
      </c>
      <c r="E13" s="669">
        <v>12</v>
      </c>
      <c r="F13" s="669">
        <v>1</v>
      </c>
      <c r="X13" s="78" t="s">
        <v>780</v>
      </c>
      <c r="AE13" s="78" t="s">
        <v>799</v>
      </c>
      <c r="AF13" s="265" t="s">
        <v>809</v>
      </c>
      <c r="AG13">
        <v>60</v>
      </c>
    </row>
    <row r="14" spans="1:35" ht="16.5" customHeight="1" x14ac:dyDescent="0.25">
      <c r="A14" t="s">
        <v>1023</v>
      </c>
      <c r="B14" t="s">
        <v>1031</v>
      </c>
      <c r="E14" s="669">
        <v>12</v>
      </c>
      <c r="F14" s="669">
        <v>1</v>
      </c>
      <c r="X14" s="78" t="s">
        <v>783</v>
      </c>
      <c r="AE14" s="78"/>
      <c r="AF14" s="78"/>
      <c r="AG14" s="78"/>
      <c r="AH14" s="78"/>
      <c r="AI14" s="78"/>
    </row>
    <row r="15" spans="1:35" ht="16.5" customHeight="1" x14ac:dyDescent="0.25">
      <c r="A15" t="s">
        <v>1024</v>
      </c>
      <c r="B15" t="s">
        <v>1032</v>
      </c>
      <c r="E15" s="669">
        <v>12</v>
      </c>
      <c r="F15" s="669">
        <v>1</v>
      </c>
      <c r="X15" s="78" t="s">
        <v>781</v>
      </c>
    </row>
    <row r="16" spans="1:35" ht="16.5" customHeight="1" x14ac:dyDescent="0.25">
      <c r="A16" t="s">
        <v>1049</v>
      </c>
      <c r="B16" s="669" t="s">
        <v>1050</v>
      </c>
      <c r="E16" s="669">
        <v>12</v>
      </c>
      <c r="F16" s="669">
        <v>1</v>
      </c>
    </row>
    <row r="17" spans="1:24" ht="16.5" customHeight="1" x14ac:dyDescent="0.25">
      <c r="X17" s="78" t="s">
        <v>782</v>
      </c>
    </row>
    <row r="18" spans="1:24" s="669" customFormat="1" ht="16.5" customHeight="1" x14ac:dyDescent="0.25"/>
    <row r="19" spans="1:24" s="669" customFormat="1" ht="16.5" customHeight="1" x14ac:dyDescent="0.25"/>
    <row r="20" spans="1:24" s="669" customFormat="1" ht="16.5" customHeight="1" x14ac:dyDescent="0.25"/>
    <row r="21" spans="1:24" s="669" customFormat="1" ht="16.5" customHeight="1" x14ac:dyDescent="0.25"/>
    <row r="23" spans="1:24" ht="16.5" customHeight="1" x14ac:dyDescent="0.25">
      <c r="A23" s="63">
        <v>43190</v>
      </c>
    </row>
    <row r="24" spans="1:24" ht="16.5" customHeight="1" x14ac:dyDescent="0.25">
      <c r="A24" s="3"/>
    </row>
  </sheetData>
  <sortState ref="A1:C8">
    <sortCondition ref="A2"/>
  </sortState>
  <printOptions gridLines="1"/>
  <pageMargins left="0.25" right="0.25" top="0.75" bottom="0.75" header="0.3" footer="0.3"/>
  <pageSetup paperSize="9" scale="24" orientation="landscape" r:id="rId1"/>
  <ignoredErrors>
    <ignoredError sqref="AF4:AF5" numberStoredAsText="1"/>
  </ignoredErrors>
  <tableParts count="1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10"/>
  <sheetViews>
    <sheetView topLeftCell="A2" zoomScale="80" zoomScaleNormal="80" workbookViewId="0">
      <selection activeCell="B9" sqref="B9"/>
    </sheetView>
  </sheetViews>
  <sheetFormatPr defaultRowHeight="15" x14ac:dyDescent="0.25"/>
  <cols>
    <col min="1" max="1" width="33" customWidth="1"/>
    <col min="2" max="2" width="148.28515625" customWidth="1"/>
  </cols>
  <sheetData>
    <row r="1" spans="1:2" hidden="1" x14ac:dyDescent="0.25"/>
    <row r="2" spans="1:2" ht="33" customHeight="1" thickBot="1" x14ac:dyDescent="0.3">
      <c r="A2" s="1089" t="s">
        <v>723</v>
      </c>
      <c r="B2" s="1091" t="s">
        <v>1021</v>
      </c>
    </row>
    <row r="3" spans="1:2" ht="15.75" hidden="1" customHeight="1" thickBot="1" x14ac:dyDescent="0.3">
      <c r="A3" s="1090"/>
      <c r="B3" s="1092"/>
    </row>
    <row r="4" spans="1:2" ht="30.75" customHeight="1" x14ac:dyDescent="0.25">
      <c r="A4" s="1089" t="s">
        <v>727</v>
      </c>
      <c r="B4" s="1091" t="s">
        <v>731</v>
      </c>
    </row>
    <row r="5" spans="1:2" ht="45" customHeight="1" thickBot="1" x14ac:dyDescent="0.3">
      <c r="A5" s="1090"/>
      <c r="B5" s="1092"/>
    </row>
    <row r="6" spans="1:2" ht="37.5" customHeight="1" thickBot="1" x14ac:dyDescent="0.3">
      <c r="A6" s="149" t="s">
        <v>729</v>
      </c>
      <c r="B6" s="148" t="s">
        <v>732</v>
      </c>
    </row>
    <row r="7" spans="1:2" ht="66.75" customHeight="1" thickBot="1" x14ac:dyDescent="0.3">
      <c r="A7" s="150" t="s">
        <v>728</v>
      </c>
      <c r="B7" s="148" t="s">
        <v>720</v>
      </c>
    </row>
    <row r="8" spans="1:2" ht="38.25" customHeight="1" thickBot="1" x14ac:dyDescent="0.3">
      <c r="A8" s="149" t="s">
        <v>730</v>
      </c>
      <c r="B8" s="148" t="s">
        <v>675</v>
      </c>
    </row>
    <row r="9" spans="1:2" ht="38.25" customHeight="1" thickBot="1" x14ac:dyDescent="0.3">
      <c r="A9" s="151" t="s">
        <v>190</v>
      </c>
      <c r="B9" s="152" t="s">
        <v>673</v>
      </c>
    </row>
    <row r="10" spans="1:2" ht="38.25" customHeight="1" thickBot="1" x14ac:dyDescent="0.3">
      <c r="A10" s="151" t="s">
        <v>19</v>
      </c>
      <c r="B10" s="152" t="s">
        <v>721</v>
      </c>
    </row>
  </sheetData>
  <mergeCells count="4">
    <mergeCell ref="A2:A3"/>
    <mergeCell ref="B2:B3"/>
    <mergeCell ref="B4:B5"/>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Q142"/>
  <sheetViews>
    <sheetView showZeros="0" tabSelected="1" zoomScale="88" zoomScaleNormal="88" workbookViewId="0">
      <selection activeCell="D20" sqref="D20"/>
    </sheetView>
  </sheetViews>
  <sheetFormatPr defaultColWidth="9.140625" defaultRowHeight="15" x14ac:dyDescent="0.25"/>
  <cols>
    <col min="1" max="1" width="16.85546875" style="16" customWidth="1"/>
    <col min="2" max="2" width="15.7109375" style="16" customWidth="1"/>
    <col min="3" max="3" width="15.42578125" style="16" customWidth="1"/>
    <col min="4" max="4" width="14.85546875" style="16" customWidth="1"/>
    <col min="5" max="5" width="19" style="16" bestFit="1" customWidth="1"/>
    <col min="6" max="6" width="15.85546875" style="16" customWidth="1"/>
    <col min="7" max="7" width="17.140625" style="1" customWidth="1"/>
    <col min="8" max="8" width="20.7109375" style="16" customWidth="1"/>
    <col min="9" max="9" width="23.42578125" style="1" customWidth="1"/>
    <col min="10" max="10" width="25.28515625" style="1" customWidth="1"/>
    <col min="11" max="11" width="16.42578125" style="1" customWidth="1"/>
    <col min="12" max="12" width="29.140625" style="16" customWidth="1"/>
    <col min="13" max="13" width="20.28515625" style="16" customWidth="1"/>
    <col min="14" max="14" width="15.140625" style="16" customWidth="1"/>
    <col min="15" max="15" width="14" style="16" customWidth="1"/>
    <col min="16" max="16" width="11" style="16" customWidth="1"/>
    <col min="17" max="17" width="7.7109375" style="285" customWidth="1"/>
    <col min="18" max="18" width="11" style="470" bestFit="1" customWidth="1"/>
    <col min="19" max="19" width="6.85546875" style="720" customWidth="1"/>
    <col min="20" max="20" width="19.42578125" style="255" customWidth="1"/>
    <col min="21" max="21" width="26.5703125" style="255" customWidth="1"/>
    <col min="22" max="22" width="23.28515625" style="286" customWidth="1"/>
    <col min="23" max="23" width="11.140625" style="286" customWidth="1"/>
    <col min="24" max="24" width="15.7109375" style="16" customWidth="1"/>
    <col min="25" max="25" width="11.28515625" style="16" customWidth="1"/>
    <col min="26" max="26" width="12.7109375" style="16" customWidth="1"/>
    <col min="27" max="27" width="21.7109375" style="16" customWidth="1"/>
    <col min="28" max="28" width="16.42578125" style="16" customWidth="1"/>
    <col min="29" max="29" width="14.140625" style="255" customWidth="1"/>
    <col min="30" max="30" width="11.7109375" style="606" customWidth="1"/>
    <col min="31" max="31" width="24" style="58" customWidth="1"/>
    <col min="32" max="32" width="18" style="16" customWidth="1"/>
    <col min="33" max="33" width="15.42578125" style="16" customWidth="1"/>
    <col min="34" max="34" width="46.28515625" style="16" customWidth="1"/>
    <col min="35" max="35" width="75.42578125" style="67" customWidth="1"/>
    <col min="36" max="36" width="19.140625" style="16" customWidth="1"/>
    <col min="37" max="63" width="9.140625" style="16"/>
    <col min="64" max="65" width="9.140625" style="58"/>
    <col min="66" max="16384" width="9.140625" style="16"/>
  </cols>
  <sheetData>
    <row r="1" spans="1:68" ht="33" customHeight="1" x14ac:dyDescent="0.25">
      <c r="A1" s="482"/>
      <c r="B1" s="483"/>
      <c r="C1" s="483"/>
      <c r="D1" s="483"/>
      <c r="E1" s="483"/>
      <c r="F1" s="483"/>
      <c r="G1" s="483"/>
      <c r="H1" s="483"/>
      <c r="I1" s="483"/>
      <c r="J1" s="483"/>
      <c r="K1" s="483"/>
      <c r="L1" s="483"/>
      <c r="M1" s="483"/>
      <c r="N1" s="483"/>
      <c r="O1" s="483"/>
      <c r="P1" s="483"/>
      <c r="Q1" s="483"/>
      <c r="R1" s="484"/>
      <c r="S1" s="711"/>
      <c r="T1" s="483"/>
      <c r="U1" s="483"/>
      <c r="V1" s="483"/>
      <c r="W1" s="483"/>
      <c r="X1" s="483"/>
      <c r="Y1" s="483"/>
      <c r="Z1" s="483"/>
      <c r="AA1" s="483"/>
      <c r="AB1" s="483"/>
      <c r="AC1" s="483"/>
      <c r="AD1" s="484"/>
      <c r="AE1" s="483"/>
      <c r="AF1" s="483"/>
      <c r="AG1" s="483"/>
      <c r="AH1" s="483"/>
      <c r="AI1" s="485"/>
      <c r="AJ1" s="485"/>
      <c r="BJ1" s="58"/>
      <c r="BK1" s="58"/>
      <c r="BL1" s="16"/>
      <c r="BM1" s="16"/>
    </row>
    <row r="2" spans="1:68" ht="36" customHeight="1" x14ac:dyDescent="0.25">
      <c r="A2" s="486" t="s">
        <v>733</v>
      </c>
      <c r="B2" s="481"/>
      <c r="C2" s="481"/>
      <c r="D2" s="481"/>
      <c r="E2" s="481"/>
      <c r="F2" s="481"/>
      <c r="G2" s="481"/>
      <c r="H2" s="481"/>
      <c r="I2" s="481"/>
      <c r="J2" s="481"/>
      <c r="K2" s="481"/>
      <c r="L2" s="481"/>
      <c r="M2" s="481"/>
      <c r="N2" s="481"/>
      <c r="O2" s="481"/>
      <c r="P2" s="481"/>
      <c r="Q2" s="481"/>
      <c r="R2" s="469"/>
      <c r="S2" s="712"/>
      <c r="T2" s="481"/>
      <c r="U2" s="481"/>
      <c r="V2" s="481"/>
      <c r="W2" s="481"/>
      <c r="X2" s="481"/>
      <c r="Y2" s="481"/>
      <c r="Z2" s="481"/>
      <c r="AA2" s="481"/>
      <c r="AB2" s="481"/>
      <c r="AC2" s="628"/>
      <c r="AD2" s="469"/>
      <c r="AE2" s="481"/>
      <c r="AF2" s="481"/>
      <c r="AG2" s="589"/>
      <c r="AH2" s="481"/>
      <c r="AI2" s="487"/>
      <c r="AJ2" s="487"/>
      <c r="BH2" s="58"/>
      <c r="BI2" s="58"/>
      <c r="BL2" s="16"/>
      <c r="BM2" s="16"/>
    </row>
    <row r="3" spans="1:68" ht="30.75" hidden="1" customHeight="1" x14ac:dyDescent="0.25">
      <c r="A3" s="1093" t="s">
        <v>1145</v>
      </c>
      <c r="B3" s="1094"/>
      <c r="C3" s="488"/>
      <c r="D3" s="488"/>
      <c r="E3" s="488"/>
      <c r="F3" s="488"/>
      <c r="G3" s="488"/>
      <c r="H3" s="488"/>
      <c r="I3" s="488"/>
      <c r="J3" s="488"/>
      <c r="K3" s="488"/>
      <c r="L3" s="488"/>
      <c r="M3" s="488"/>
      <c r="N3" s="488"/>
      <c r="O3" s="488"/>
      <c r="P3" s="488"/>
      <c r="Q3" s="488"/>
      <c r="R3" s="489"/>
      <c r="S3" s="713"/>
      <c r="T3" s="488"/>
      <c r="U3" s="488"/>
      <c r="V3" s="488"/>
      <c r="W3" s="488"/>
      <c r="X3" s="488"/>
      <c r="Y3" s="488"/>
      <c r="Z3" s="488"/>
      <c r="AA3" s="488"/>
      <c r="AB3" s="488"/>
      <c r="AC3" s="488"/>
      <c r="AD3" s="489"/>
      <c r="AE3" s="488"/>
      <c r="AF3" s="488"/>
      <c r="AG3" s="488"/>
      <c r="AH3" s="488"/>
      <c r="AI3" s="490"/>
      <c r="AJ3" s="490"/>
      <c r="BH3" s="58"/>
      <c r="BI3" s="58"/>
      <c r="BL3" s="16"/>
      <c r="BM3" s="16"/>
    </row>
    <row r="4" spans="1:68" s="639" customFormat="1" ht="32.25" customHeight="1" x14ac:dyDescent="0.25">
      <c r="A4" s="631" t="s">
        <v>329</v>
      </c>
      <c r="B4" s="632" t="s">
        <v>10</v>
      </c>
      <c r="C4" s="632" t="s">
        <v>321</v>
      </c>
      <c r="D4" s="632" t="s">
        <v>489</v>
      </c>
      <c r="E4" s="632" t="s">
        <v>490</v>
      </c>
      <c r="F4" s="631" t="s">
        <v>0</v>
      </c>
      <c r="G4" s="632" t="s">
        <v>322</v>
      </c>
      <c r="H4" s="632" t="s">
        <v>486</v>
      </c>
      <c r="I4" s="632" t="s">
        <v>485</v>
      </c>
      <c r="J4" s="632" t="s">
        <v>487</v>
      </c>
      <c r="K4" s="632" t="s">
        <v>488</v>
      </c>
      <c r="L4" s="631" t="s">
        <v>9</v>
      </c>
      <c r="M4" s="631" t="s">
        <v>8</v>
      </c>
      <c r="N4" s="632" t="s">
        <v>2</v>
      </c>
      <c r="O4" s="632" t="s">
        <v>3</v>
      </c>
      <c r="P4" s="631" t="s">
        <v>601</v>
      </c>
      <c r="Q4" s="633" t="s">
        <v>4</v>
      </c>
      <c r="R4" s="634" t="s">
        <v>5</v>
      </c>
      <c r="S4" s="714" t="s">
        <v>320</v>
      </c>
      <c r="T4" s="631" t="s">
        <v>758</v>
      </c>
      <c r="U4" s="631" t="s">
        <v>706</v>
      </c>
      <c r="V4" s="631" t="s">
        <v>22</v>
      </c>
      <c r="W4" s="631" t="s">
        <v>812</v>
      </c>
      <c r="X4" s="631" t="s">
        <v>602</v>
      </c>
      <c r="Y4" s="631" t="s">
        <v>708</v>
      </c>
      <c r="Z4" s="635" t="s">
        <v>709</v>
      </c>
      <c r="AA4" s="635" t="s">
        <v>713</v>
      </c>
      <c r="AB4" s="635" t="s">
        <v>951</v>
      </c>
      <c r="AC4" s="631" t="s">
        <v>615</v>
      </c>
      <c r="AD4" s="636" t="s">
        <v>614</v>
      </c>
      <c r="AE4" s="631" t="s">
        <v>323</v>
      </c>
      <c r="AF4" s="631" t="s">
        <v>324</v>
      </c>
      <c r="AG4" s="637" t="s">
        <v>333</v>
      </c>
      <c r="AH4" s="636" t="s">
        <v>328</v>
      </c>
      <c r="AI4" s="631" t="s">
        <v>750</v>
      </c>
      <c r="AJ4" s="638" t="s">
        <v>756</v>
      </c>
      <c r="BO4" s="640"/>
      <c r="BP4" s="640"/>
    </row>
    <row r="5" spans="1:68" ht="17.25" customHeight="1" x14ac:dyDescent="0.25">
      <c r="A5" s="316" t="s">
        <v>331</v>
      </c>
      <c r="B5" s="316" t="s">
        <v>7</v>
      </c>
      <c r="C5" s="316" t="s">
        <v>334</v>
      </c>
      <c r="D5" s="316" t="s">
        <v>17</v>
      </c>
      <c r="E5" s="316" t="s">
        <v>559</v>
      </c>
      <c r="F5" s="316" t="s">
        <v>13</v>
      </c>
      <c r="G5" s="316" t="s">
        <v>355</v>
      </c>
      <c r="H5" s="316" t="s">
        <v>361</v>
      </c>
      <c r="I5" s="316" t="s">
        <v>360</v>
      </c>
      <c r="J5" s="316" t="s">
        <v>451</v>
      </c>
      <c r="K5" s="316">
        <v>197537</v>
      </c>
      <c r="L5" s="316" t="s">
        <v>38</v>
      </c>
      <c r="M5" s="316" t="s">
        <v>124</v>
      </c>
      <c r="N5" s="64">
        <v>92.985095000000001</v>
      </c>
      <c r="O5" s="64">
        <v>20.108101999999999</v>
      </c>
      <c r="P5" s="316"/>
      <c r="Q5" s="704">
        <v>1238</v>
      </c>
      <c r="R5" s="703">
        <v>4364</v>
      </c>
      <c r="S5" s="715">
        <v>3.7019064124783361</v>
      </c>
      <c r="T5" s="540" t="s">
        <v>326</v>
      </c>
      <c r="U5" s="540" t="s">
        <v>707</v>
      </c>
      <c r="V5" s="540" t="s">
        <v>20</v>
      </c>
      <c r="W5" s="318"/>
      <c r="X5" s="316"/>
      <c r="Y5" s="316"/>
      <c r="Z5" s="316" t="s">
        <v>608</v>
      </c>
      <c r="AA5" s="316" t="str">
        <f>CONCATENATE(Camp_List[[#This Row],[Ethnicity]],"-",Camp_List[[#This Row],[Religion]])</f>
        <v>-Muslim</v>
      </c>
      <c r="AB5" s="253" t="s">
        <v>952</v>
      </c>
      <c r="AC5" s="316" t="s">
        <v>612</v>
      </c>
      <c r="AD5" s="601" t="s">
        <v>575</v>
      </c>
      <c r="AE5" s="316" t="s">
        <v>829</v>
      </c>
      <c r="AF5" s="316" t="s">
        <v>830</v>
      </c>
      <c r="AG5" s="254">
        <v>43190</v>
      </c>
      <c r="AH5" s="546"/>
      <c r="AI5" s="64" t="str">
        <f>IFERROR(VLOOKUP(Camp_List[[#This Row],[Responsible Agency]],Organization_t[],3,0),"")</f>
        <v>Yadu Shresk
Emergency Project Coordinator
campro.mmr@lwfdws.org</v>
      </c>
      <c r="AJ5" s="480">
        <f ca="1">IF((SUMIFS(Data_Shelter_t[Coverage],Data_Shelter_t[Pcode],Camp_List[[#This Row],[P_Code]]))&gt;1,1,SUMIFS(Data_Shelter_t[Coverage],Data_Shelter_t[Pcode],Camp_List[[#This Row],[P_Code]]))</f>
        <v>0.62035541195476573</v>
      </c>
      <c r="BL5" s="16"/>
      <c r="BM5" s="16"/>
      <c r="BO5" s="58"/>
      <c r="BP5" s="58"/>
    </row>
    <row r="6" spans="1:68" ht="17.25" customHeight="1" x14ac:dyDescent="0.25">
      <c r="A6" s="316" t="s">
        <v>331</v>
      </c>
      <c r="B6" s="316" t="s">
        <v>7</v>
      </c>
      <c r="C6" s="316" t="s">
        <v>334</v>
      </c>
      <c r="D6" s="316" t="s">
        <v>17</v>
      </c>
      <c r="E6" s="316" t="s">
        <v>559</v>
      </c>
      <c r="F6" s="316" t="s">
        <v>17</v>
      </c>
      <c r="G6" s="316" t="s">
        <v>393</v>
      </c>
      <c r="H6" s="316" t="s">
        <v>459</v>
      </c>
      <c r="I6" s="316" t="s">
        <v>529</v>
      </c>
      <c r="J6" s="316" t="s">
        <v>961</v>
      </c>
      <c r="K6" s="316" t="s">
        <v>962</v>
      </c>
      <c r="L6" s="316" t="s">
        <v>59</v>
      </c>
      <c r="M6" s="316" t="s">
        <v>145</v>
      </c>
      <c r="N6" s="64">
        <v>92.875814000000005</v>
      </c>
      <c r="O6" s="64">
        <v>20.128488999999998</v>
      </c>
      <c r="P6" s="316"/>
      <c r="Q6" s="704">
        <v>392</v>
      </c>
      <c r="R6" s="703">
        <v>2252</v>
      </c>
      <c r="S6" s="715">
        <v>5.1612090680100753</v>
      </c>
      <c r="T6" s="540" t="s">
        <v>326</v>
      </c>
      <c r="U6" s="540" t="s">
        <v>707</v>
      </c>
      <c r="V6" s="540" t="s">
        <v>20</v>
      </c>
      <c r="W6" s="316"/>
      <c r="X6" s="316"/>
      <c r="Y6" s="316"/>
      <c r="Z6" s="316" t="s">
        <v>608</v>
      </c>
      <c r="AA6" s="316" t="str">
        <f>CONCATENATE(Camp_List[[#This Row],[Ethnicity]],"-",Camp_List[[#This Row],[Religion]])</f>
        <v>-Muslim</v>
      </c>
      <c r="AB6" s="316" t="s">
        <v>952</v>
      </c>
      <c r="AC6" s="316" t="s">
        <v>612</v>
      </c>
      <c r="AD6" s="601" t="s">
        <v>575</v>
      </c>
      <c r="AE6" s="316" t="s">
        <v>829</v>
      </c>
      <c r="AF6" s="316" t="s">
        <v>830</v>
      </c>
      <c r="AG6" s="254">
        <v>43190</v>
      </c>
      <c r="AH6" s="546"/>
      <c r="AI6" s="64" t="str">
        <f>IFERROR(VLOOKUP(Camp_List[[#This Row],[Responsible Agency]],Organization_t[],3,0),"")</f>
        <v>Yadu Shresk
Emergency Project Coordinator
campro.mmr@lwfdws.org</v>
      </c>
      <c r="AJ6" s="480">
        <f ca="1">IF((SUMIFS(Data_Shelter_t[Coverage],Data_Shelter_t[Pcode],Camp_List[[#This Row],[P_Code]]))&gt;1,1,SUMIFS(Data_Shelter_t[Coverage],Data_Shelter_t[Pcode],Camp_List[[#This Row],[P_Code]]))</f>
        <v>1</v>
      </c>
      <c r="BL6" s="16"/>
      <c r="BM6" s="16"/>
      <c r="BO6" s="58"/>
      <c r="BP6" s="58"/>
    </row>
    <row r="7" spans="1:68" ht="17.25" customHeight="1" x14ac:dyDescent="0.25">
      <c r="A7" s="316" t="s">
        <v>331</v>
      </c>
      <c r="B7" s="316" t="s">
        <v>7</v>
      </c>
      <c r="C7" s="316" t="s">
        <v>334</v>
      </c>
      <c r="D7" s="316" t="s">
        <v>17</v>
      </c>
      <c r="E7" s="316" t="s">
        <v>559</v>
      </c>
      <c r="F7" s="316" t="s">
        <v>17</v>
      </c>
      <c r="G7" s="316" t="s">
        <v>393</v>
      </c>
      <c r="H7" s="316" t="s">
        <v>399</v>
      </c>
      <c r="I7" s="316" t="s">
        <v>398</v>
      </c>
      <c r="J7" s="316" t="s">
        <v>454</v>
      </c>
      <c r="K7" s="316">
        <v>196192</v>
      </c>
      <c r="L7" s="316" t="s">
        <v>509</v>
      </c>
      <c r="M7" s="316" t="s">
        <v>510</v>
      </c>
      <c r="N7" s="64">
        <v>92.804803000000007</v>
      </c>
      <c r="O7" s="64">
        <v>20.182987000000001</v>
      </c>
      <c r="P7" s="316"/>
      <c r="Q7" s="704">
        <v>41</v>
      </c>
      <c r="R7" s="703">
        <v>226</v>
      </c>
      <c r="S7" s="715">
        <v>5.5121951219512191</v>
      </c>
      <c r="T7" s="540" t="s">
        <v>326</v>
      </c>
      <c r="U7" s="540" t="s">
        <v>707</v>
      </c>
      <c r="V7" s="540" t="s">
        <v>759</v>
      </c>
      <c r="W7" s="316"/>
      <c r="X7" s="316"/>
      <c r="Y7" s="316"/>
      <c r="Z7" s="316" t="s">
        <v>608</v>
      </c>
      <c r="AA7" s="316" t="str">
        <f>CONCATENATE(Camp_List[[#This Row],[Ethnicity]],"-",Camp_List[[#This Row],[Religion]])</f>
        <v>-Muslim</v>
      </c>
      <c r="AB7" s="316" t="s">
        <v>952</v>
      </c>
      <c r="AC7" s="316" t="s">
        <v>613</v>
      </c>
      <c r="AD7" s="601" t="s">
        <v>270</v>
      </c>
      <c r="AE7" s="316" t="s">
        <v>462</v>
      </c>
      <c r="AF7" s="316" t="s">
        <v>477</v>
      </c>
      <c r="AG7" s="254">
        <v>43190</v>
      </c>
      <c r="AH7" s="316"/>
      <c r="AI7" s="64" t="str">
        <f>IFERROR(VLOOKUP(Camp_List[[#This Row],[Responsible Agency]],Organization_t[],3,0),"")</f>
        <v>Richard Tracey, CCCM/NFI/Shelter Cluster Coordinator, tracey@unhcr.org,09448027896</v>
      </c>
      <c r="AJ7" s="480">
        <f>IF((SUMIFS(Data_Shelter_t[Coverage],Data_Shelter_t[Pcode],Camp_List[[#This Row],[P_Code]]))&gt;1,1,SUMIFS(Data_Shelter_t[Coverage],Data_Shelter_t[Pcode],Camp_List[[#This Row],[P_Code]]))</f>
        <v>0</v>
      </c>
      <c r="BL7" s="16"/>
      <c r="BM7" s="16"/>
      <c r="BO7" s="58"/>
      <c r="BP7" s="58"/>
    </row>
    <row r="8" spans="1:68" ht="17.25" customHeight="1" x14ac:dyDescent="0.25">
      <c r="A8" s="316" t="s">
        <v>331</v>
      </c>
      <c r="B8" s="316" t="s">
        <v>7</v>
      </c>
      <c r="C8" s="316" t="s">
        <v>334</v>
      </c>
      <c r="D8" s="316" t="s">
        <v>17</v>
      </c>
      <c r="E8" s="316" t="s">
        <v>559</v>
      </c>
      <c r="F8" s="316" t="s">
        <v>17</v>
      </c>
      <c r="G8" s="316" t="s">
        <v>393</v>
      </c>
      <c r="H8" s="316" t="s">
        <v>399</v>
      </c>
      <c r="I8" s="316" t="s">
        <v>398</v>
      </c>
      <c r="J8" s="316" t="s">
        <v>454</v>
      </c>
      <c r="K8" s="316">
        <v>196192</v>
      </c>
      <c r="L8" s="316" t="s">
        <v>581</v>
      </c>
      <c r="M8" s="316" t="s">
        <v>583</v>
      </c>
      <c r="N8" s="64">
        <v>92.813028000000003</v>
      </c>
      <c r="O8" s="64">
        <v>20.179417000000001</v>
      </c>
      <c r="P8" s="316"/>
      <c r="Q8" s="704">
        <v>1028</v>
      </c>
      <c r="R8" s="703">
        <v>4833</v>
      </c>
      <c r="S8" s="715">
        <v>4.8655967903711135</v>
      </c>
      <c r="T8" s="540" t="s">
        <v>326</v>
      </c>
      <c r="U8" s="540" t="s">
        <v>707</v>
      </c>
      <c r="V8" s="540" t="s">
        <v>20</v>
      </c>
      <c r="W8" s="316"/>
      <c r="X8" s="316"/>
      <c r="Y8" s="316"/>
      <c r="Z8" s="316" t="s">
        <v>608</v>
      </c>
      <c r="AA8" s="316" t="str">
        <f>CONCATENATE(Camp_List[[#This Row],[Ethnicity]],"-",Camp_List[[#This Row],[Religion]])</f>
        <v>-Muslim</v>
      </c>
      <c r="AB8" s="316" t="s">
        <v>952</v>
      </c>
      <c r="AC8" s="316" t="s">
        <v>612</v>
      </c>
      <c r="AD8" s="601" t="s">
        <v>273</v>
      </c>
      <c r="AE8" s="316" t="s">
        <v>829</v>
      </c>
      <c r="AF8" s="316" t="s">
        <v>830</v>
      </c>
      <c r="AG8" s="254">
        <v>43190</v>
      </c>
      <c r="AH8" s="546"/>
      <c r="AI8" s="64" t="str">
        <f>IFERROR(VLOOKUP(Camp_List[[#This Row],[Responsible Agency]],Organization_t[],3,0),"")</f>
        <v xml:space="preserve">Travis Lyon
CCCM Officer
travis.lyon@drcmm.org
Phone: +95 976 089 8622 </v>
      </c>
      <c r="AJ8" s="480">
        <f ca="1">IF((SUMIFS(Data_Shelter_t[Coverage],Data_Shelter_t[Pcode],Camp_List[[#This Row],[P_Code]]))&gt;1,1,SUMIFS(Data_Shelter_t[Coverage],Data_Shelter_t[Pcode],Camp_List[[#This Row],[P_Code]]))</f>
        <v>0.98832684824902717</v>
      </c>
      <c r="BL8" s="16"/>
      <c r="BM8" s="16"/>
      <c r="BO8" s="58"/>
      <c r="BP8" s="58"/>
    </row>
    <row r="9" spans="1:68" ht="17.25" hidden="1" customHeight="1" x14ac:dyDescent="0.25">
      <c r="A9" s="316" t="s">
        <v>332</v>
      </c>
      <c r="B9" s="316" t="s">
        <v>7</v>
      </c>
      <c r="C9" s="316" t="s">
        <v>334</v>
      </c>
      <c r="D9" s="316" t="s">
        <v>561</v>
      </c>
      <c r="E9" s="316" t="s">
        <v>562</v>
      </c>
      <c r="F9" s="316" t="s">
        <v>16</v>
      </c>
      <c r="G9" s="316" t="s">
        <v>385</v>
      </c>
      <c r="H9" s="316" t="s">
        <v>388</v>
      </c>
      <c r="I9" s="316" t="s">
        <v>387</v>
      </c>
      <c r="J9" s="316" t="s">
        <v>958</v>
      </c>
      <c r="K9" s="316" t="s">
        <v>957</v>
      </c>
      <c r="L9" s="316" t="s">
        <v>57</v>
      </c>
      <c r="M9" s="316" t="s">
        <v>143</v>
      </c>
      <c r="N9" s="64">
        <v>93.857592999999994</v>
      </c>
      <c r="O9" s="64">
        <v>19.088283000000001</v>
      </c>
      <c r="P9" s="316"/>
      <c r="Q9" s="704"/>
      <c r="R9" s="703"/>
      <c r="S9" s="715"/>
      <c r="T9" s="540" t="s">
        <v>326</v>
      </c>
      <c r="U9" s="540" t="s">
        <v>707</v>
      </c>
      <c r="V9" s="540" t="s">
        <v>20</v>
      </c>
      <c r="W9" s="316"/>
      <c r="X9" s="316"/>
      <c r="Y9" s="316"/>
      <c r="Z9" s="316"/>
      <c r="AA9" s="316"/>
      <c r="AB9" s="253"/>
      <c r="AC9" s="316"/>
      <c r="AD9" s="602"/>
      <c r="AE9" s="316" t="s">
        <v>462</v>
      </c>
      <c r="AF9" s="316" t="s">
        <v>477</v>
      </c>
      <c r="AG9" s="254">
        <v>42893</v>
      </c>
      <c r="AH9" s="544" t="s">
        <v>1061</v>
      </c>
      <c r="AI9" s="64" t="str">
        <f>IFERROR(VLOOKUP(Camp_List[[#This Row],[Responsible Agency]],Organization_t[],3,0),"")</f>
        <v/>
      </c>
      <c r="AJ9" s="480">
        <f>IF((SUMIFS(Data_Shelter_t[Coverage],Data_Shelter_t[Pcode],Camp_List[[#This Row],[P_Code]]))&gt;1,1,SUMIFS(Data_Shelter_t[Coverage],Data_Shelter_t[Pcode],Camp_List[[#This Row],[P_Code]]))</f>
        <v>0</v>
      </c>
      <c r="BL9" s="16"/>
      <c r="BM9" s="16"/>
      <c r="BO9" s="58"/>
      <c r="BP9" s="58"/>
    </row>
    <row r="10" spans="1:68" ht="17.25" customHeight="1" x14ac:dyDescent="0.25">
      <c r="A10" s="316" t="s">
        <v>331</v>
      </c>
      <c r="B10" s="316" t="s">
        <v>7</v>
      </c>
      <c r="C10" s="316" t="s">
        <v>334</v>
      </c>
      <c r="D10" s="316" t="s">
        <v>17</v>
      </c>
      <c r="E10" s="316" t="s">
        <v>559</v>
      </c>
      <c r="F10" s="316" t="s">
        <v>17</v>
      </c>
      <c r="G10" s="316" t="s">
        <v>393</v>
      </c>
      <c r="H10" s="316" t="s">
        <v>399</v>
      </c>
      <c r="I10" s="316" t="s">
        <v>398</v>
      </c>
      <c r="J10" s="316" t="s">
        <v>454</v>
      </c>
      <c r="K10" s="316">
        <v>196192</v>
      </c>
      <c r="L10" s="316" t="s">
        <v>582</v>
      </c>
      <c r="M10" s="316" t="s">
        <v>584</v>
      </c>
      <c r="N10" s="64">
        <v>92.807552000000001</v>
      </c>
      <c r="O10" s="64">
        <v>20.181405999999999</v>
      </c>
      <c r="P10" s="316"/>
      <c r="Q10" s="1026">
        <v>1340</v>
      </c>
      <c r="R10" s="703">
        <v>7377</v>
      </c>
      <c r="S10" s="716">
        <v>5.3330763299922896</v>
      </c>
      <c r="T10" s="540" t="s">
        <v>326</v>
      </c>
      <c r="U10" s="540" t="s">
        <v>707</v>
      </c>
      <c r="V10" s="540" t="s">
        <v>20</v>
      </c>
      <c r="W10" s="316"/>
      <c r="X10" s="316"/>
      <c r="Y10" s="316"/>
      <c r="Z10" s="316" t="s">
        <v>608</v>
      </c>
      <c r="AA10" s="316" t="str">
        <f>CONCATENATE(Camp_List[[#This Row],[Ethnicity]],"-",Camp_List[[#This Row],[Religion]])</f>
        <v>-Muslim</v>
      </c>
      <c r="AB10" s="316" t="s">
        <v>952</v>
      </c>
      <c r="AC10" s="316" t="s">
        <v>612</v>
      </c>
      <c r="AD10" s="601" t="s">
        <v>273</v>
      </c>
      <c r="AE10" s="316" t="s">
        <v>829</v>
      </c>
      <c r="AF10" s="316" t="s">
        <v>830</v>
      </c>
      <c r="AG10" s="254">
        <v>43190</v>
      </c>
      <c r="AH10" s="776"/>
      <c r="AI10" s="64" t="str">
        <f>IFERROR(VLOOKUP(Camp_List[[#This Row],[Responsible Agency]],Organization_t[],3,0),"")</f>
        <v xml:space="preserve">Travis Lyon
CCCM Officer
travis.lyon@drcmm.org
Phone: +95 976 089 8622 </v>
      </c>
      <c r="AJ10" s="480">
        <f ca="1">IF((SUMIFS(Data_Shelter_t[Coverage],Data_Shelter_t[Pcode],Camp_List[[#This Row],[P_Code]]))&gt;1,1,SUMIFS(Data_Shelter_t[Coverage],Data_Shelter_t[Pcode],Camp_List[[#This Row],[P_Code]]))</f>
        <v>1</v>
      </c>
      <c r="BL10" s="16"/>
      <c r="BM10" s="16"/>
      <c r="BO10" s="58"/>
      <c r="BP10" s="58"/>
    </row>
    <row r="11" spans="1:68" ht="17.25" customHeight="1" x14ac:dyDescent="0.25">
      <c r="A11" s="316" t="s">
        <v>331</v>
      </c>
      <c r="B11" s="316" t="s">
        <v>7</v>
      </c>
      <c r="C11" s="316" t="s">
        <v>334</v>
      </c>
      <c r="D11" s="316" t="s">
        <v>17</v>
      </c>
      <c r="E11" s="316" t="s">
        <v>559</v>
      </c>
      <c r="F11" s="316" t="s">
        <v>17</v>
      </c>
      <c r="G11" s="316" t="s">
        <v>393</v>
      </c>
      <c r="H11" s="316" t="s">
        <v>397</v>
      </c>
      <c r="I11" s="535" t="s">
        <v>396</v>
      </c>
      <c r="J11" s="316" t="s">
        <v>455</v>
      </c>
      <c r="K11" s="535">
        <v>196206</v>
      </c>
      <c r="L11" s="316" t="s">
        <v>61</v>
      </c>
      <c r="M11" s="316" t="s">
        <v>147</v>
      </c>
      <c r="N11" s="64">
        <v>92.827427</v>
      </c>
      <c r="O11" s="64">
        <v>20.16846</v>
      </c>
      <c r="P11" s="316"/>
      <c r="Q11" s="704">
        <f>1473+510</f>
        <v>1983</v>
      </c>
      <c r="R11" s="703">
        <f>8863+2500</f>
        <v>11363</v>
      </c>
      <c r="S11" s="715">
        <v>5.8618468146027203</v>
      </c>
      <c r="T11" s="540" t="s">
        <v>326</v>
      </c>
      <c r="U11" s="540" t="s">
        <v>707</v>
      </c>
      <c r="V11" s="540" t="s">
        <v>20</v>
      </c>
      <c r="W11" s="316"/>
      <c r="X11" s="316"/>
      <c r="Y11" s="316"/>
      <c r="Z11" s="316" t="s">
        <v>608</v>
      </c>
      <c r="AA11" s="316" t="str">
        <f>CONCATENATE(Camp_List[[#This Row],[Ethnicity]],"-",Camp_List[[#This Row],[Religion]])</f>
        <v>-Muslim</v>
      </c>
      <c r="AB11" s="316" t="s">
        <v>952</v>
      </c>
      <c r="AC11" s="316" t="s">
        <v>612</v>
      </c>
      <c r="AD11" s="601" t="s">
        <v>273</v>
      </c>
      <c r="AE11" s="316" t="s">
        <v>829</v>
      </c>
      <c r="AF11" s="316" t="s">
        <v>830</v>
      </c>
      <c r="AG11" s="254">
        <v>43190</v>
      </c>
      <c r="AH11" s="546" t="s">
        <v>1123</v>
      </c>
      <c r="AI11" s="64" t="str">
        <f>IFERROR(VLOOKUP(Camp_List[[#This Row],[Responsible Agency]],Organization_t[],3,0),"")</f>
        <v xml:space="preserve">Travis Lyon
CCCM Officer
travis.lyon@drcmm.org
Phone: +95 976 089 8622 </v>
      </c>
      <c r="AJ11" s="480">
        <f ca="1">IF((SUMIFS(Data_Shelter_t[Coverage],Data_Shelter_t[Pcode],Camp_List[[#This Row],[P_Code]]))&gt;1,1,SUMIFS(Data_Shelter_t[Coverage],Data_Shelter_t[Pcode],Camp_List[[#This Row],[P_Code]]))</f>
        <v>0.98991427130610188</v>
      </c>
      <c r="BL11" s="16"/>
      <c r="BM11" s="16"/>
      <c r="BO11" s="58"/>
      <c r="BP11" s="58"/>
    </row>
    <row r="12" spans="1:68" ht="17.25" customHeight="1" x14ac:dyDescent="0.25">
      <c r="A12" s="316" t="s">
        <v>331</v>
      </c>
      <c r="B12" s="316" t="s">
        <v>7</v>
      </c>
      <c r="C12" s="316" t="s">
        <v>334</v>
      </c>
      <c r="D12" s="316" t="s">
        <v>17</v>
      </c>
      <c r="E12" s="316" t="s">
        <v>559</v>
      </c>
      <c r="F12" s="316" t="s">
        <v>17</v>
      </c>
      <c r="G12" s="316" t="s">
        <v>393</v>
      </c>
      <c r="H12" s="316" t="s">
        <v>397</v>
      </c>
      <c r="I12" s="316" t="s">
        <v>396</v>
      </c>
      <c r="J12" s="316" t="s">
        <v>455</v>
      </c>
      <c r="K12" s="316">
        <v>196206</v>
      </c>
      <c r="L12" s="316" t="s">
        <v>499</v>
      </c>
      <c r="M12" s="316" t="s">
        <v>500</v>
      </c>
      <c r="N12" s="64">
        <v>92.830074999999994</v>
      </c>
      <c r="O12" s="64">
        <v>20.167421999999998</v>
      </c>
      <c r="P12" s="316"/>
      <c r="Q12" s="704">
        <v>518</v>
      </c>
      <c r="R12" s="702">
        <v>2951</v>
      </c>
      <c r="S12" s="715">
        <v>5.6969111969111967</v>
      </c>
      <c r="T12" s="540" t="s">
        <v>326</v>
      </c>
      <c r="U12" s="540" t="s">
        <v>707</v>
      </c>
      <c r="V12" s="540" t="s">
        <v>759</v>
      </c>
      <c r="W12" s="318"/>
      <c r="X12" s="316"/>
      <c r="Y12" s="316"/>
      <c r="Z12" s="316" t="s">
        <v>608</v>
      </c>
      <c r="AA12" s="316" t="str">
        <f>CONCATENATE(Camp_List[[#This Row],[Ethnicity]],"-",Camp_List[[#This Row],[Religion]])</f>
        <v>-Muslim</v>
      </c>
      <c r="AB12" s="316" t="s">
        <v>952</v>
      </c>
      <c r="AC12" s="316" t="s">
        <v>613</v>
      </c>
      <c r="AD12" s="601" t="s">
        <v>270</v>
      </c>
      <c r="AE12" s="316" t="s">
        <v>462</v>
      </c>
      <c r="AF12" s="316" t="s">
        <v>477</v>
      </c>
      <c r="AG12" s="254">
        <v>43190</v>
      </c>
      <c r="AH12" s="316"/>
      <c r="AI12" s="64" t="str">
        <f>IFERROR(VLOOKUP(Camp_List[[#This Row],[Responsible Agency]],Organization_t[],3,0),"")</f>
        <v>Richard Tracey, CCCM/NFI/Shelter Cluster Coordinator, tracey@unhcr.org,09448027896</v>
      </c>
      <c r="AJ12" s="480">
        <f>IF((SUMIFS(Data_Shelter_t[Coverage],Data_Shelter_t[Pcode],Camp_List[[#This Row],[P_Code]]))&gt;1,1,SUMIFS(Data_Shelter_t[Coverage],Data_Shelter_t[Pcode],Camp_List[[#This Row],[P_Code]]))</f>
        <v>0</v>
      </c>
      <c r="BL12" s="16"/>
      <c r="BM12" s="16"/>
      <c r="BO12" s="58"/>
      <c r="BP12" s="58"/>
    </row>
    <row r="13" spans="1:68" ht="17.25" customHeight="1" x14ac:dyDescent="0.25">
      <c r="A13" s="316" t="s">
        <v>331</v>
      </c>
      <c r="B13" s="316" t="s">
        <v>7</v>
      </c>
      <c r="C13" s="316" t="s">
        <v>334</v>
      </c>
      <c r="D13" s="316" t="s">
        <v>17</v>
      </c>
      <c r="E13" s="316" t="s">
        <v>559</v>
      </c>
      <c r="F13" s="316" t="s">
        <v>14</v>
      </c>
      <c r="G13" s="316" t="s">
        <v>364</v>
      </c>
      <c r="H13" s="316" t="s">
        <v>375</v>
      </c>
      <c r="I13" s="316" t="s">
        <v>374</v>
      </c>
      <c r="J13" s="316" t="s">
        <v>442</v>
      </c>
      <c r="K13" s="535">
        <v>196829</v>
      </c>
      <c r="L13" s="316" t="s">
        <v>45</v>
      </c>
      <c r="M13" s="316" t="s">
        <v>131</v>
      </c>
      <c r="N13" s="64">
        <v>92.965980999999999</v>
      </c>
      <c r="O13" s="64">
        <v>20.865687000000001</v>
      </c>
      <c r="P13" s="316"/>
      <c r="Q13" s="704">
        <v>85</v>
      </c>
      <c r="R13" s="703">
        <v>546</v>
      </c>
      <c r="S13" s="715">
        <v>6.8</v>
      </c>
      <c r="T13" s="540" t="s">
        <v>326</v>
      </c>
      <c r="U13" s="540" t="s">
        <v>707</v>
      </c>
      <c r="V13" s="540" t="s">
        <v>21</v>
      </c>
      <c r="W13" s="318" t="s">
        <v>813</v>
      </c>
      <c r="X13" s="316"/>
      <c r="Y13" s="316"/>
      <c r="Z13" s="316" t="s">
        <v>608</v>
      </c>
      <c r="AA13" s="316" t="str">
        <f>CONCATENATE(Camp_List[[#This Row],[Ethnicity]],"-",Camp_List[[#This Row],[Religion]])</f>
        <v>-Muslim</v>
      </c>
      <c r="AB13" s="316" t="s">
        <v>952</v>
      </c>
      <c r="AC13" s="316" t="s">
        <v>613</v>
      </c>
      <c r="AD13" s="601" t="s">
        <v>270</v>
      </c>
      <c r="AE13" s="316" t="s">
        <v>462</v>
      </c>
      <c r="AF13" s="316" t="s">
        <v>869</v>
      </c>
      <c r="AG13" s="254">
        <v>43190</v>
      </c>
      <c r="AH13" s="532" t="s">
        <v>953</v>
      </c>
      <c r="AI13" s="64" t="str">
        <f>IFERROR(VLOOKUP(Camp_List[[#This Row],[Responsible Agency]],Organization_t[],3,0),"")</f>
        <v>Richard Tracey, CCCM/NFI/Shelter Cluster Coordinator, tracey@unhcr.org,09448027896</v>
      </c>
      <c r="AJ13" s="480">
        <f ca="1">IF((SUMIFS(Data_Shelter_t[Coverage],Data_Shelter_t[Pcode],Camp_List[[#This Row],[P_Code]]))&gt;1,1,SUMIFS(Data_Shelter_t[Coverage],Data_Shelter_t[Pcode],Camp_List[[#This Row],[P_Code]]))</f>
        <v>0.84705882352941175</v>
      </c>
      <c r="BL13" s="16"/>
      <c r="BM13" s="16"/>
      <c r="BO13" s="58"/>
      <c r="BP13" s="58"/>
    </row>
    <row r="14" spans="1:68" ht="17.25" customHeight="1" x14ac:dyDescent="0.25">
      <c r="A14" s="316" t="s">
        <v>331</v>
      </c>
      <c r="B14" s="316" t="s">
        <v>7</v>
      </c>
      <c r="C14" s="316" t="s">
        <v>334</v>
      </c>
      <c r="D14" s="316" t="s">
        <v>17</v>
      </c>
      <c r="E14" s="316" t="s">
        <v>559</v>
      </c>
      <c r="F14" s="316" t="s">
        <v>17</v>
      </c>
      <c r="G14" s="316" t="s">
        <v>393</v>
      </c>
      <c r="H14" s="316" t="s">
        <v>399</v>
      </c>
      <c r="I14" s="316" t="s">
        <v>398</v>
      </c>
      <c r="J14" s="316" t="s">
        <v>399</v>
      </c>
      <c r="K14" s="316">
        <v>196191</v>
      </c>
      <c r="L14" s="316" t="s">
        <v>62</v>
      </c>
      <c r="M14" s="316" t="s">
        <v>148</v>
      </c>
      <c r="N14" s="64">
        <v>92.823166999999998</v>
      </c>
      <c r="O14" s="64">
        <v>20.181778000000001</v>
      </c>
      <c r="P14" s="316"/>
      <c r="Q14" s="704">
        <v>799</v>
      </c>
      <c r="R14" s="703">
        <v>4481</v>
      </c>
      <c r="S14" s="715">
        <v>5.4411027568922306</v>
      </c>
      <c r="T14" s="540" t="s">
        <v>326</v>
      </c>
      <c r="U14" s="540" t="s">
        <v>707</v>
      </c>
      <c r="V14" s="540" t="s">
        <v>20</v>
      </c>
      <c r="W14" s="318"/>
      <c r="X14" s="316"/>
      <c r="Y14" s="316"/>
      <c r="Z14" s="316" t="s">
        <v>608</v>
      </c>
      <c r="AA14" s="316" t="str">
        <f>CONCATENATE(Camp_List[[#This Row],[Ethnicity]],"-",Camp_List[[#This Row],[Religion]])</f>
        <v>-Muslim</v>
      </c>
      <c r="AB14" s="316" t="s">
        <v>952</v>
      </c>
      <c r="AC14" s="316" t="s">
        <v>612</v>
      </c>
      <c r="AD14" s="601" t="s">
        <v>575</v>
      </c>
      <c r="AE14" s="316" t="s">
        <v>829</v>
      </c>
      <c r="AF14" s="316" t="s">
        <v>830</v>
      </c>
      <c r="AG14" s="254">
        <v>43190</v>
      </c>
      <c r="AH14" s="546"/>
      <c r="AI14" s="64" t="str">
        <f>IFERROR(VLOOKUP(Camp_List[[#This Row],[Responsible Agency]],Organization_t[],3,0),"")</f>
        <v>Yadu Shresk
Emergency Project Coordinator
campro.mmr@lwfdws.org</v>
      </c>
      <c r="AJ14" s="480">
        <f ca="1">IF((SUMIFS(Data_Shelter_t[Coverage],Data_Shelter_t[Pcode],Camp_List[[#This Row],[P_Code]]))&gt;1,1,SUMIFS(Data_Shelter_t[Coverage],Data_Shelter_t[Pcode],Camp_List[[#This Row],[P_Code]]))</f>
        <v>1</v>
      </c>
      <c r="BL14" s="16"/>
      <c r="BM14" s="16"/>
      <c r="BO14" s="58"/>
      <c r="BP14" s="58"/>
    </row>
    <row r="15" spans="1:68" ht="17.25" customHeight="1" x14ac:dyDescent="0.25">
      <c r="A15" s="316" t="s">
        <v>331</v>
      </c>
      <c r="B15" s="446" t="s">
        <v>7</v>
      </c>
      <c r="C15" s="446" t="s">
        <v>334</v>
      </c>
      <c r="D15" s="446" t="s">
        <v>17</v>
      </c>
      <c r="E15" s="446" t="s">
        <v>559</v>
      </c>
      <c r="F15" s="446" t="s">
        <v>13</v>
      </c>
      <c r="G15" s="446" t="s">
        <v>355</v>
      </c>
      <c r="H15" s="316" t="s">
        <v>361</v>
      </c>
      <c r="I15" s="316" t="s">
        <v>360</v>
      </c>
      <c r="J15" s="316" t="s">
        <v>40</v>
      </c>
      <c r="K15" s="316" t="s">
        <v>932</v>
      </c>
      <c r="L15" s="446" t="s">
        <v>40</v>
      </c>
      <c r="M15" s="446" t="s">
        <v>126</v>
      </c>
      <c r="N15" s="447">
        <v>93.010368999999997</v>
      </c>
      <c r="O15" s="447">
        <v>20.090183</v>
      </c>
      <c r="P15" s="446"/>
      <c r="Q15" s="704">
        <v>1343</v>
      </c>
      <c r="R15" s="703">
        <v>5945</v>
      </c>
      <c r="S15" s="715">
        <v>4.8249227600411899</v>
      </c>
      <c r="T15" s="540" t="s">
        <v>326</v>
      </c>
      <c r="U15" s="540" t="s">
        <v>707</v>
      </c>
      <c r="V15" s="630" t="s">
        <v>20</v>
      </c>
      <c r="W15" s="446"/>
      <c r="X15" s="446"/>
      <c r="Y15" s="446"/>
      <c r="Z15" s="316" t="s">
        <v>608</v>
      </c>
      <c r="AA15" s="316" t="str">
        <f>CONCATENATE(Camp_List[[#This Row],[Ethnicity]],"-",Camp_List[[#This Row],[Religion]])</f>
        <v>-Muslim</v>
      </c>
      <c r="AB15" s="253" t="s">
        <v>952</v>
      </c>
      <c r="AC15" s="316" t="s">
        <v>612</v>
      </c>
      <c r="AD15" s="603" t="s">
        <v>273</v>
      </c>
      <c r="AE15" s="446"/>
      <c r="AF15" s="316" t="s">
        <v>830</v>
      </c>
      <c r="AG15" s="254">
        <v>43190</v>
      </c>
      <c r="AH15" s="546"/>
      <c r="AI15" s="542" t="str">
        <f>IFERROR(VLOOKUP(Camp_List[[#This Row],[Responsible Agency]],Organization_t[],3,0),"")</f>
        <v xml:space="preserve">Travis Lyon
CCCM Officer
travis.lyon@drcmm.org
Phone: +95 976 089 8622 </v>
      </c>
      <c r="AJ15" s="548">
        <f ca="1">IF((SUMIFS(Data_Shelter_t[Coverage],Data_Shelter_t[Pcode],Camp_List[[#This Row],[P_Code]]))&gt;1,1,SUMIFS(Data_Shelter_t[Coverage],Data_Shelter_t[Pcode],Camp_List[[#This Row],[P_Code]]))</f>
        <v>0.99478778853313476</v>
      </c>
      <c r="BL15" s="16"/>
      <c r="BM15" s="16"/>
      <c r="BO15" s="58"/>
      <c r="BP15" s="58"/>
    </row>
    <row r="16" spans="1:68" ht="17.25" customHeight="1" x14ac:dyDescent="0.25">
      <c r="A16" s="316" t="s">
        <v>331</v>
      </c>
      <c r="B16" s="316" t="s">
        <v>7</v>
      </c>
      <c r="C16" s="316" t="s">
        <v>334</v>
      </c>
      <c r="D16" s="316" t="s">
        <v>17</v>
      </c>
      <c r="E16" s="316" t="s">
        <v>559</v>
      </c>
      <c r="F16" s="316" t="s">
        <v>17</v>
      </c>
      <c r="G16" s="316" t="s">
        <v>393</v>
      </c>
      <c r="H16" s="316" t="s">
        <v>397</v>
      </c>
      <c r="I16" s="316" t="s">
        <v>396</v>
      </c>
      <c r="J16" s="316" t="s">
        <v>397</v>
      </c>
      <c r="K16" s="316">
        <v>196200</v>
      </c>
      <c r="L16" s="316" t="s">
        <v>580</v>
      </c>
      <c r="M16" s="316" t="s">
        <v>268</v>
      </c>
      <c r="N16" s="64">
        <v>92.831000000000003</v>
      </c>
      <c r="O16" s="64">
        <v>20.185917</v>
      </c>
      <c r="P16" s="316"/>
      <c r="Q16" s="704">
        <v>621</v>
      </c>
      <c r="R16" s="703">
        <v>3440</v>
      </c>
      <c r="S16" s="715">
        <v>5.3717948717948714</v>
      </c>
      <c r="T16" s="540" t="s">
        <v>326</v>
      </c>
      <c r="U16" s="540" t="s">
        <v>707</v>
      </c>
      <c r="V16" s="540" t="s">
        <v>20</v>
      </c>
      <c r="W16" s="318"/>
      <c r="X16" s="316"/>
      <c r="Y16" s="316"/>
      <c r="Z16" s="316" t="s">
        <v>608</v>
      </c>
      <c r="AA16" s="316" t="str">
        <f>CONCATENATE(Camp_List[[#This Row],[Ethnicity]],"-",Camp_List[[#This Row],[Religion]])</f>
        <v>-Muslim</v>
      </c>
      <c r="AB16" s="316" t="s">
        <v>952</v>
      </c>
      <c r="AC16" s="316" t="s">
        <v>612</v>
      </c>
      <c r="AD16" s="601" t="s">
        <v>913</v>
      </c>
      <c r="AE16" s="316" t="s">
        <v>829</v>
      </c>
      <c r="AF16" s="316" t="s">
        <v>830</v>
      </c>
      <c r="AG16" s="254">
        <v>43190</v>
      </c>
      <c r="AH16" s="546"/>
      <c r="AI16" s="64" t="str">
        <f>IFERROR(VLOOKUP(Camp_List[[#This Row],[Responsible Agency]],Organization_t[],3,0),"")</f>
        <v xml:space="preserve">Yasmine Maimuna Colijn , Camp Management PM 
 , yasmine.colijn@nrc.no, +95(0) 9250526637 </v>
      </c>
      <c r="AJ16" s="480">
        <f ca="1">IF((SUMIFS(Data_Shelter_t[Coverage],Data_Shelter_t[Pcode],Camp_List[[#This Row],[P_Code]]))&gt;1,1,SUMIFS(Data_Shelter_t[Coverage],Data_Shelter_t[Pcode],Camp_List[[#This Row],[P_Code]]))</f>
        <v>1</v>
      </c>
      <c r="BL16" s="16"/>
      <c r="BM16" s="16"/>
      <c r="BO16" s="58"/>
      <c r="BP16" s="58"/>
    </row>
    <row r="17" spans="1:69" ht="17.25" customHeight="1" x14ac:dyDescent="0.25">
      <c r="A17" s="316" t="s">
        <v>331</v>
      </c>
      <c r="B17" s="316" t="s">
        <v>7</v>
      </c>
      <c r="C17" s="316" t="s">
        <v>334</v>
      </c>
      <c r="D17" s="316" t="s">
        <v>17</v>
      </c>
      <c r="E17" s="316" t="s">
        <v>559</v>
      </c>
      <c r="F17" s="316" t="s">
        <v>13</v>
      </c>
      <c r="G17" s="316" t="s">
        <v>355</v>
      </c>
      <c r="H17" s="316" t="s">
        <v>358</v>
      </c>
      <c r="I17" s="316" t="s">
        <v>357</v>
      </c>
      <c r="J17" s="316" t="s">
        <v>450</v>
      </c>
      <c r="K17" s="316" t="s">
        <v>933</v>
      </c>
      <c r="L17" s="316" t="s">
        <v>991</v>
      </c>
      <c r="M17" s="316" t="s">
        <v>125</v>
      </c>
      <c r="N17" s="64">
        <v>93.154551999999995</v>
      </c>
      <c r="O17" s="64">
        <v>20.073437999999999</v>
      </c>
      <c r="P17" s="316"/>
      <c r="Q17" s="1062">
        <v>905</v>
      </c>
      <c r="R17" s="703">
        <v>4079</v>
      </c>
      <c r="S17" s="715">
        <v>4.7418321588725201</v>
      </c>
      <c r="T17" s="540" t="s">
        <v>326</v>
      </c>
      <c r="U17" s="540" t="s">
        <v>707</v>
      </c>
      <c r="V17" s="630" t="s">
        <v>20</v>
      </c>
      <c r="W17" s="540"/>
      <c r="X17" s="316"/>
      <c r="Y17" s="316"/>
      <c r="Z17" s="316" t="s">
        <v>608</v>
      </c>
      <c r="AA17" s="316" t="str">
        <f>CONCATENATE(Camp_List[[#This Row],[Ethnicity]],"-",Camp_List[[#This Row],[Religion]])</f>
        <v>-Muslim</v>
      </c>
      <c r="AB17" s="253" t="s">
        <v>952</v>
      </c>
      <c r="AC17" s="316" t="s">
        <v>612</v>
      </c>
      <c r="AD17" s="603" t="s">
        <v>575</v>
      </c>
      <c r="AE17" s="316"/>
      <c r="AF17" s="316" t="s">
        <v>830</v>
      </c>
      <c r="AG17" s="254">
        <v>43190</v>
      </c>
      <c r="AH17" s="546"/>
      <c r="AI17" s="541" t="str">
        <f>IFERROR(VLOOKUP(Camp_List[[#This Row],[Responsible Agency]],Organization_t[],3,0),"")</f>
        <v>Yadu Shresk
Emergency Project Coordinator
campro.mmr@lwfdws.org</v>
      </c>
      <c r="AJ17" s="548">
        <f ca="1">IF((SUMIFS(Data_Shelter_t[Coverage],Data_Shelter_t[Pcode],Camp_List[[#This Row],[P_Code]]))&gt;1,1,SUMIFS(Data_Shelter_t[Coverage],Data_Shelter_t[Pcode],Camp_List[[#This Row],[P_Code]]))</f>
        <v>1</v>
      </c>
      <c r="BL17" s="16"/>
      <c r="BM17" s="16"/>
      <c r="BO17" s="58"/>
      <c r="BP17" s="58"/>
    </row>
    <row r="18" spans="1:69" ht="17.25" customHeight="1" x14ac:dyDescent="0.25">
      <c r="A18" s="316" t="s">
        <v>331</v>
      </c>
      <c r="B18" s="316" t="s">
        <v>7</v>
      </c>
      <c r="C18" s="316" t="s">
        <v>334</v>
      </c>
      <c r="D18" s="316" t="s">
        <v>17</v>
      </c>
      <c r="E18" s="316" t="s">
        <v>559</v>
      </c>
      <c r="F18" s="316" t="s">
        <v>17</v>
      </c>
      <c r="G18" s="316" t="s">
        <v>393</v>
      </c>
      <c r="H18" s="316" t="s">
        <v>395</v>
      </c>
      <c r="I18" s="316" t="s">
        <v>394</v>
      </c>
      <c r="J18" s="316" t="s">
        <v>501</v>
      </c>
      <c r="K18" s="316">
        <v>196158</v>
      </c>
      <c r="L18" s="316" t="s">
        <v>585</v>
      </c>
      <c r="M18" s="316" t="s">
        <v>502</v>
      </c>
      <c r="N18" s="64">
        <v>92.774193999999994</v>
      </c>
      <c r="O18" s="64">
        <v>20.206778</v>
      </c>
      <c r="P18" s="316"/>
      <c r="Q18" s="704">
        <v>734</v>
      </c>
      <c r="R18" s="703">
        <v>4007</v>
      </c>
      <c r="S18" s="715">
        <v>5.221879815100154</v>
      </c>
      <c r="T18" s="540" t="s">
        <v>326</v>
      </c>
      <c r="U18" s="540" t="s">
        <v>707</v>
      </c>
      <c r="V18" s="540" t="s">
        <v>20</v>
      </c>
      <c r="W18" s="318"/>
      <c r="X18" s="316"/>
      <c r="Y18" s="316"/>
      <c r="Z18" s="316" t="s">
        <v>608</v>
      </c>
      <c r="AA18" s="316" t="str">
        <f>CONCATENATE(Camp_List[[#This Row],[Ethnicity]],"-",Camp_List[[#This Row],[Religion]])</f>
        <v>-Muslim</v>
      </c>
      <c r="AB18" s="316" t="s">
        <v>952</v>
      </c>
      <c r="AC18" s="316" t="s">
        <v>612</v>
      </c>
      <c r="AD18" s="601" t="s">
        <v>273</v>
      </c>
      <c r="AE18" s="316" t="s">
        <v>829</v>
      </c>
      <c r="AF18" s="316" t="s">
        <v>830</v>
      </c>
      <c r="AG18" s="254">
        <v>43190</v>
      </c>
      <c r="AH18" s="546"/>
      <c r="AI18" s="64" t="str">
        <f>IFERROR(VLOOKUP(Camp_List[[#This Row],[Responsible Agency]],Organization_t[],3,0),"")</f>
        <v xml:space="preserve">Travis Lyon
CCCM Officer
travis.lyon@drcmm.org
Phone: +95 976 089 8622 </v>
      </c>
      <c r="AJ18" s="480">
        <f ca="1">IF((SUMIFS(Data_Shelter_t[Coverage],Data_Shelter_t[Pcode],Camp_List[[#This Row],[P_Code]]))&gt;1,1,SUMIFS(Data_Shelter_t[Coverage],Data_Shelter_t[Pcode],Camp_List[[#This Row],[P_Code]]))</f>
        <v>0.87193460490463215</v>
      </c>
      <c r="BL18" s="16"/>
      <c r="BM18" s="16"/>
      <c r="BO18" s="58"/>
      <c r="BP18" s="58"/>
    </row>
    <row r="19" spans="1:69" ht="17.25" customHeight="1" x14ac:dyDescent="0.25">
      <c r="A19" s="316" t="s">
        <v>331</v>
      </c>
      <c r="B19" s="316" t="s">
        <v>7</v>
      </c>
      <c r="C19" s="316" t="s">
        <v>334</v>
      </c>
      <c r="D19" s="316" t="s">
        <v>17</v>
      </c>
      <c r="E19" s="316" t="s">
        <v>559</v>
      </c>
      <c r="F19" s="316" t="s">
        <v>17</v>
      </c>
      <c r="G19" s="316" t="s">
        <v>393</v>
      </c>
      <c r="H19" s="316" t="s">
        <v>399</v>
      </c>
      <c r="I19" s="316" t="s">
        <v>398</v>
      </c>
      <c r="J19" s="316" t="s">
        <v>454</v>
      </c>
      <c r="K19" s="316">
        <v>196192</v>
      </c>
      <c r="L19" s="316" t="s">
        <v>586</v>
      </c>
      <c r="M19" s="316" t="s">
        <v>588</v>
      </c>
      <c r="N19" s="64">
        <v>92.798880999999994</v>
      </c>
      <c r="O19" s="64">
        <v>20.18994</v>
      </c>
      <c r="P19" s="316"/>
      <c r="Q19" s="704">
        <v>2668</v>
      </c>
      <c r="R19" s="703">
        <v>13794</v>
      </c>
      <c r="S19" s="715">
        <v>5.1939901103081016</v>
      </c>
      <c r="T19" s="540" t="s">
        <v>326</v>
      </c>
      <c r="U19" s="540" t="s">
        <v>707</v>
      </c>
      <c r="V19" s="540" t="s">
        <v>20</v>
      </c>
      <c r="W19" s="318"/>
      <c r="X19" s="316"/>
      <c r="Y19" s="316"/>
      <c r="Z19" s="316" t="s">
        <v>608</v>
      </c>
      <c r="AA19" s="316" t="str">
        <f>CONCATENATE(Camp_List[[#This Row],[Ethnicity]],"-",Camp_List[[#This Row],[Religion]])</f>
        <v>-Muslim</v>
      </c>
      <c r="AB19" s="316" t="s">
        <v>952</v>
      </c>
      <c r="AC19" s="316" t="s">
        <v>612</v>
      </c>
      <c r="AD19" s="601" t="s">
        <v>273</v>
      </c>
      <c r="AE19" s="316" t="s">
        <v>829</v>
      </c>
      <c r="AF19" s="316" t="s">
        <v>830</v>
      </c>
      <c r="AG19" s="254">
        <v>43190</v>
      </c>
      <c r="AH19" s="546"/>
      <c r="AI19" s="16" t="str">
        <f>IFERROR(VLOOKUP(Camp_List[[#This Row],[Responsible Agency]],Organization_t[],3,0),"")</f>
        <v xml:space="preserve">Travis Lyon
CCCM Officer
travis.lyon@drcmm.org
Phone: +95 976 089 8622 </v>
      </c>
      <c r="AJ19" s="480">
        <f ca="1">IF((SUMIFS(Data_Shelter_t[Coverage],Data_Shelter_t[Pcode],Camp_List[[#This Row],[P_Code]]))&gt;1,1,SUMIFS(Data_Shelter_t[Coverage],Data_Shelter_t[Pcode],Camp_List[[#This Row],[P_Code]]))</f>
        <v>1</v>
      </c>
      <c r="BL19" s="16"/>
      <c r="BM19" s="16"/>
      <c r="BP19" s="58"/>
      <c r="BQ19" s="58"/>
    </row>
    <row r="20" spans="1:69" ht="17.25" customHeight="1" x14ac:dyDescent="0.25">
      <c r="A20" s="316" t="s">
        <v>331</v>
      </c>
      <c r="B20" s="316" t="s">
        <v>7</v>
      </c>
      <c r="C20" s="316" t="s">
        <v>334</v>
      </c>
      <c r="D20" s="316" t="s">
        <v>561</v>
      </c>
      <c r="E20" s="316" t="s">
        <v>562</v>
      </c>
      <c r="F20" s="316" t="s">
        <v>561</v>
      </c>
      <c r="G20" s="316" t="s">
        <v>386</v>
      </c>
      <c r="H20" s="316" t="s">
        <v>391</v>
      </c>
      <c r="I20" s="316" t="s">
        <v>392</v>
      </c>
      <c r="J20" s="316" t="s">
        <v>440</v>
      </c>
      <c r="K20" s="316">
        <v>198486</v>
      </c>
      <c r="L20" s="316" t="s">
        <v>56</v>
      </c>
      <c r="M20" s="316" t="s">
        <v>141</v>
      </c>
      <c r="N20" s="64">
        <v>93.512326000000002</v>
      </c>
      <c r="O20" s="64">
        <v>19.424576999999999</v>
      </c>
      <c r="P20" s="316"/>
      <c r="Q20" s="704">
        <v>415</v>
      </c>
      <c r="R20" s="703">
        <v>1050</v>
      </c>
      <c r="S20" s="715">
        <v>2.9836065573770494</v>
      </c>
      <c r="T20" s="540" t="s">
        <v>326</v>
      </c>
      <c r="U20" s="540" t="s">
        <v>707</v>
      </c>
      <c r="V20" s="540" t="s">
        <v>20</v>
      </c>
      <c r="W20" s="318"/>
      <c r="X20" s="316"/>
      <c r="Y20" s="316"/>
      <c r="Z20" s="316" t="s">
        <v>608</v>
      </c>
      <c r="AA20" s="316" t="str">
        <f>CONCATENATE(Camp_List[[#This Row],[Ethnicity]],"-",Camp_List[[#This Row],[Religion]])</f>
        <v>-Muslim</v>
      </c>
      <c r="AB20" s="316" t="s">
        <v>952</v>
      </c>
      <c r="AC20" s="316" t="s">
        <v>613</v>
      </c>
      <c r="AD20" s="601" t="s">
        <v>270</v>
      </c>
      <c r="AE20" s="316" t="s">
        <v>462</v>
      </c>
      <c r="AF20" s="316" t="s">
        <v>477</v>
      </c>
      <c r="AG20" s="254">
        <v>43190</v>
      </c>
      <c r="AH20" s="316"/>
      <c r="AI20" s="64" t="str">
        <f>IFERROR(VLOOKUP(Camp_List[[#This Row],[Responsible Agency]],Organization_t[],3,0),"")</f>
        <v>Richard Tracey, CCCM/NFI/Shelter Cluster Coordinator, tracey@unhcr.org,09448027896</v>
      </c>
      <c r="AJ20" s="480">
        <f ca="1">IF((SUMIFS(Data_Shelter_t[Coverage],Data_Shelter_t[Pcode],Camp_List[[#This Row],[P_Code]]))&gt;1,1,SUMIFS(Data_Shelter_t[Coverage],Data_Shelter_t[Pcode],Camp_List[[#This Row],[P_Code]]))</f>
        <v>1</v>
      </c>
      <c r="BL20" s="16"/>
      <c r="BM20" s="16"/>
      <c r="BP20" s="58"/>
      <c r="BQ20" s="58"/>
    </row>
    <row r="21" spans="1:69" ht="17.25" hidden="1" customHeight="1" x14ac:dyDescent="0.25">
      <c r="A21" s="316" t="s">
        <v>332</v>
      </c>
      <c r="B21" s="316" t="s">
        <v>7</v>
      </c>
      <c r="C21" s="316" t="s">
        <v>334</v>
      </c>
      <c r="D21" s="316" t="s">
        <v>561</v>
      </c>
      <c r="E21" s="316" t="s">
        <v>562</v>
      </c>
      <c r="F21" s="316" t="s">
        <v>16</v>
      </c>
      <c r="G21" s="316" t="s">
        <v>385</v>
      </c>
      <c r="H21" s="316" t="s">
        <v>388</v>
      </c>
      <c r="I21" s="316" t="s">
        <v>387</v>
      </c>
      <c r="J21" s="316" t="s">
        <v>959</v>
      </c>
      <c r="K21" s="316" t="s">
        <v>960</v>
      </c>
      <c r="L21" s="316" t="s">
        <v>58</v>
      </c>
      <c r="M21" s="316" t="s">
        <v>144</v>
      </c>
      <c r="N21" s="64">
        <v>93.865170000000006</v>
      </c>
      <c r="O21" s="64">
        <v>19.091054</v>
      </c>
      <c r="P21" s="316"/>
      <c r="Q21" s="704"/>
      <c r="R21" s="703"/>
      <c r="S21" s="715"/>
      <c r="T21" s="540" t="s">
        <v>326</v>
      </c>
      <c r="U21" s="540" t="s">
        <v>707</v>
      </c>
      <c r="V21" s="809" t="s">
        <v>21</v>
      </c>
      <c r="W21" s="318"/>
      <c r="X21" s="316"/>
      <c r="Y21" s="316" t="s">
        <v>7</v>
      </c>
      <c r="Z21" s="316" t="s">
        <v>710</v>
      </c>
      <c r="AA21" s="316" t="str">
        <f>CONCATENATE(Camp_List[[#This Row],[Ethnicity]],"-",Camp_List[[#This Row],[Religion]])</f>
        <v>Rakhine-Buddhist</v>
      </c>
      <c r="AB21" s="316" t="s">
        <v>952</v>
      </c>
      <c r="AC21" s="316"/>
      <c r="AD21" s="601"/>
      <c r="AE21" s="316" t="s">
        <v>462</v>
      </c>
      <c r="AF21" s="316" t="s">
        <v>477</v>
      </c>
      <c r="AG21" s="254">
        <v>42916</v>
      </c>
      <c r="AH21" s="544" t="s">
        <v>1086</v>
      </c>
      <c r="AI21" s="64" t="str">
        <f>IFERROR(VLOOKUP(Camp_List[[#This Row],[Responsible Agency]],Organization_t[],3,0),"")</f>
        <v/>
      </c>
      <c r="AJ21" s="480">
        <f>IF((SUMIFS(Data_Shelter_t[Coverage],Data_Shelter_t[Pcode],Camp_List[[#This Row],[P_Code]]))&gt;1,1,SUMIFS(Data_Shelter_t[Coverage],Data_Shelter_t[Pcode],Camp_List[[#This Row],[P_Code]]))</f>
        <v>0</v>
      </c>
      <c r="BL21" s="16"/>
      <c r="BM21" s="16"/>
      <c r="BP21" s="58"/>
      <c r="BQ21" s="58"/>
    </row>
    <row r="22" spans="1:69" ht="17.25" customHeight="1" x14ac:dyDescent="0.25">
      <c r="A22" s="316" t="s">
        <v>331</v>
      </c>
      <c r="B22" s="316" t="s">
        <v>7</v>
      </c>
      <c r="C22" s="316" t="s">
        <v>334</v>
      </c>
      <c r="D22" s="316" t="s">
        <v>17</v>
      </c>
      <c r="E22" s="316" t="s">
        <v>559</v>
      </c>
      <c r="F22" s="316" t="s">
        <v>17</v>
      </c>
      <c r="G22" s="316" t="s">
        <v>393</v>
      </c>
      <c r="H22" s="316" t="s">
        <v>399</v>
      </c>
      <c r="I22" s="316" t="s">
        <v>398</v>
      </c>
      <c r="J22" s="316" t="s">
        <v>454</v>
      </c>
      <c r="K22" s="316">
        <v>196192</v>
      </c>
      <c r="L22" s="316" t="s">
        <v>587</v>
      </c>
      <c r="M22" s="316" t="s">
        <v>589</v>
      </c>
      <c r="N22" s="64">
        <v>92.802295999999998</v>
      </c>
      <c r="O22" s="64">
        <v>20.185092000000001</v>
      </c>
      <c r="P22" s="316"/>
      <c r="Q22" s="705">
        <v>2259</v>
      </c>
      <c r="R22" s="703">
        <v>11234</v>
      </c>
      <c r="S22" s="715">
        <v>5.2180115916183683</v>
      </c>
      <c r="T22" s="540" t="s">
        <v>326</v>
      </c>
      <c r="U22" s="540" t="s">
        <v>707</v>
      </c>
      <c r="V22" s="540" t="s">
        <v>20</v>
      </c>
      <c r="W22" s="318"/>
      <c r="X22" s="316"/>
      <c r="Y22" s="316"/>
      <c r="Z22" s="316" t="s">
        <v>608</v>
      </c>
      <c r="AA22" s="316" t="str">
        <f>CONCATENATE(Camp_List[[#This Row],[Ethnicity]],"-",Camp_List[[#This Row],[Religion]])</f>
        <v>-Muslim</v>
      </c>
      <c r="AB22" s="316" t="s">
        <v>952</v>
      </c>
      <c r="AC22" s="316" t="s">
        <v>612</v>
      </c>
      <c r="AD22" s="601" t="s">
        <v>575</v>
      </c>
      <c r="AE22" s="316" t="s">
        <v>829</v>
      </c>
      <c r="AF22" s="316" t="s">
        <v>830</v>
      </c>
      <c r="AG22" s="254">
        <v>43190</v>
      </c>
      <c r="AH22" s="546"/>
      <c r="AI22" s="64" t="str">
        <f>IFERROR(VLOOKUP(Camp_List[[#This Row],[Responsible Agency]],Organization_t[],3,0),"")</f>
        <v>Yadu Shresk
Emergency Project Coordinator
campro.mmr@lwfdws.org</v>
      </c>
      <c r="AJ22" s="480">
        <f ca="1">IF((SUMIFS(Data_Shelter_t[Coverage],Data_Shelter_t[Pcode],Camp_List[[#This Row],[P_Code]]))&gt;1,1,SUMIFS(Data_Shelter_t[Coverage],Data_Shelter_t[Pcode],Camp_List[[#This Row],[P_Code]]))</f>
        <v>1</v>
      </c>
      <c r="BL22" s="16"/>
      <c r="BM22" s="16"/>
      <c r="BP22" s="58"/>
      <c r="BQ22" s="58"/>
    </row>
    <row r="23" spans="1:69" ht="17.25" customHeight="1" x14ac:dyDescent="0.25">
      <c r="A23" s="316" t="s">
        <v>331</v>
      </c>
      <c r="B23" s="316" t="s">
        <v>7</v>
      </c>
      <c r="C23" s="316" t="s">
        <v>334</v>
      </c>
      <c r="D23" s="316" t="s">
        <v>17</v>
      </c>
      <c r="E23" s="316" t="s">
        <v>559</v>
      </c>
      <c r="F23" s="316" t="s">
        <v>17</v>
      </c>
      <c r="G23" s="316" t="s">
        <v>393</v>
      </c>
      <c r="H23" s="316" t="s">
        <v>395</v>
      </c>
      <c r="I23" s="316" t="s">
        <v>394</v>
      </c>
      <c r="J23" s="316" t="s">
        <v>65</v>
      </c>
      <c r="K23" s="316">
        <v>196154</v>
      </c>
      <c r="L23" s="316" t="s">
        <v>65</v>
      </c>
      <c r="M23" s="316" t="s">
        <v>151</v>
      </c>
      <c r="N23" s="64">
        <v>92.792479999999998</v>
      </c>
      <c r="O23" s="64">
        <v>20.202525000000001</v>
      </c>
      <c r="P23" s="316"/>
      <c r="Q23" s="704">
        <v>2692</v>
      </c>
      <c r="R23" s="703">
        <v>13743</v>
      </c>
      <c r="S23" s="715">
        <v>4.9991789819376029</v>
      </c>
      <c r="T23" s="540" t="s">
        <v>326</v>
      </c>
      <c r="U23" s="540" t="s">
        <v>707</v>
      </c>
      <c r="V23" s="540" t="s">
        <v>20</v>
      </c>
      <c r="W23" s="318"/>
      <c r="X23" s="316"/>
      <c r="Y23" s="316"/>
      <c r="Z23" s="316" t="s">
        <v>608</v>
      </c>
      <c r="AA23" s="316" t="str">
        <f>CONCATENATE(Camp_List[[#This Row],[Ethnicity]],"-",Camp_List[[#This Row],[Religion]])</f>
        <v>-Muslim</v>
      </c>
      <c r="AB23" s="316" t="s">
        <v>952</v>
      </c>
      <c r="AC23" s="316" t="s">
        <v>612</v>
      </c>
      <c r="AD23" s="601" t="s">
        <v>273</v>
      </c>
      <c r="AE23" s="316" t="s">
        <v>829</v>
      </c>
      <c r="AF23" s="316" t="s">
        <v>830</v>
      </c>
      <c r="AG23" s="254">
        <v>43190</v>
      </c>
      <c r="AH23" s="546"/>
      <c r="AI23" s="16" t="str">
        <f>IFERROR(VLOOKUP(Camp_List[[#This Row],[Responsible Agency]],Organization_t[],3,0),"")</f>
        <v xml:space="preserve">Travis Lyon
CCCM Officer
travis.lyon@drcmm.org
Phone: +95 976 089 8622 </v>
      </c>
      <c r="AJ23" s="480">
        <f ca="1">IF((SUMIFS(Data_Shelter_t[Coverage],Data_Shelter_t[Pcode],Camp_List[[#This Row],[P_Code]]))&gt;1,1,SUMIFS(Data_Shelter_t[Coverage],Data_Shelter_t[Pcode],Camp_List[[#This Row],[P_Code]]))</f>
        <v>0.99554234769687966</v>
      </c>
      <c r="BL23" s="16"/>
      <c r="BM23" s="16"/>
      <c r="BP23" s="58"/>
      <c r="BQ23" s="58"/>
    </row>
    <row r="24" spans="1:69" ht="17.25" customHeight="1" x14ac:dyDescent="0.25">
      <c r="A24" s="316" t="s">
        <v>331</v>
      </c>
      <c r="B24" s="316" t="s">
        <v>7</v>
      </c>
      <c r="C24" s="316" t="s">
        <v>334</v>
      </c>
      <c r="D24" s="316" t="s">
        <v>17</v>
      </c>
      <c r="E24" s="316" t="s">
        <v>559</v>
      </c>
      <c r="F24" s="316" t="s">
        <v>13</v>
      </c>
      <c r="G24" s="316" t="s">
        <v>355</v>
      </c>
      <c r="H24" s="316" t="s">
        <v>41</v>
      </c>
      <c r="I24" s="316" t="s">
        <v>359</v>
      </c>
      <c r="J24" s="316" t="s">
        <v>1164</v>
      </c>
      <c r="K24" s="316">
        <v>197548</v>
      </c>
      <c r="L24" s="316" t="s">
        <v>41</v>
      </c>
      <c r="M24" s="316" t="s">
        <v>127</v>
      </c>
      <c r="N24" s="64">
        <v>92.993758999999997</v>
      </c>
      <c r="O24" s="64">
        <v>20.064226000000001</v>
      </c>
      <c r="P24" s="316"/>
      <c r="Q24" s="704">
        <v>617</v>
      </c>
      <c r="R24" s="703">
        <v>2845</v>
      </c>
      <c r="S24" s="715">
        <v>3.7519500780031203</v>
      </c>
      <c r="T24" s="540" t="s">
        <v>326</v>
      </c>
      <c r="U24" s="540" t="s">
        <v>707</v>
      </c>
      <c r="V24" s="540" t="s">
        <v>20</v>
      </c>
      <c r="W24" s="318"/>
      <c r="X24" s="316"/>
      <c r="Y24" s="316" t="s">
        <v>716</v>
      </c>
      <c r="Z24" s="316" t="s">
        <v>608</v>
      </c>
      <c r="AA24" s="316" t="str">
        <f>CONCATENATE(Camp_List[[#This Row],[Ethnicity]],"-",Camp_List[[#This Row],[Religion]])</f>
        <v>Kaman-Muslim</v>
      </c>
      <c r="AB24" s="253" t="s">
        <v>952</v>
      </c>
      <c r="AC24" s="316" t="s">
        <v>612</v>
      </c>
      <c r="AD24" s="602" t="s">
        <v>273</v>
      </c>
      <c r="AE24" s="316" t="s">
        <v>829</v>
      </c>
      <c r="AF24" s="316" t="s">
        <v>830</v>
      </c>
      <c r="AG24" s="254">
        <v>43190</v>
      </c>
      <c r="AH24" s="546"/>
      <c r="AI24" s="64" t="str">
        <f>IFERROR(VLOOKUP(Camp_List[[#This Row],[Responsible Agency]],Organization_t[],3,0),"")</f>
        <v xml:space="preserve">Travis Lyon
CCCM Officer
travis.lyon@drcmm.org
Phone: +95 976 089 8622 </v>
      </c>
      <c r="AJ24" s="480">
        <f ca="1">IF((SUMIFS(Data_Shelter_t[Coverage],Data_Shelter_t[Pcode],Camp_List[[#This Row],[P_Code]]))&gt;1,1,SUMIFS(Data_Shelter_t[Coverage],Data_Shelter_t[Pcode],Camp_List[[#This Row],[P_Code]]))</f>
        <v>1</v>
      </c>
      <c r="BL24" s="16"/>
      <c r="BM24" s="16"/>
      <c r="BP24" s="58"/>
      <c r="BQ24" s="58"/>
    </row>
    <row r="25" spans="1:69" ht="17.25" customHeight="1" x14ac:dyDescent="0.25">
      <c r="A25" s="316" t="s">
        <v>331</v>
      </c>
      <c r="B25" s="316" t="s">
        <v>7</v>
      </c>
      <c r="C25" s="316" t="s">
        <v>334</v>
      </c>
      <c r="D25" s="316" t="s">
        <v>17</v>
      </c>
      <c r="E25" s="316" t="s">
        <v>559</v>
      </c>
      <c r="F25" s="316" t="s">
        <v>817</v>
      </c>
      <c r="G25" s="316" t="s">
        <v>356</v>
      </c>
      <c r="H25" s="316" t="s">
        <v>363</v>
      </c>
      <c r="I25" s="316" t="s">
        <v>362</v>
      </c>
      <c r="J25" s="535" t="s">
        <v>468</v>
      </c>
      <c r="K25" s="316">
        <v>217973</v>
      </c>
      <c r="L25" s="316" t="s">
        <v>36</v>
      </c>
      <c r="M25" s="316" t="s">
        <v>122</v>
      </c>
      <c r="N25" s="64">
        <v>93.370037999999994</v>
      </c>
      <c r="O25" s="64">
        <v>20.037655000000001</v>
      </c>
      <c r="P25" s="316"/>
      <c r="Q25" s="704">
        <v>687</v>
      </c>
      <c r="R25" s="703">
        <v>2606</v>
      </c>
      <c r="S25" s="715">
        <v>4.043413173652695</v>
      </c>
      <c r="T25" s="540" t="s">
        <v>326</v>
      </c>
      <c r="U25" s="540" t="s">
        <v>707</v>
      </c>
      <c r="V25" s="540" t="s">
        <v>20</v>
      </c>
      <c r="W25" s="318"/>
      <c r="X25" s="316"/>
      <c r="Y25" s="316"/>
      <c r="Z25" s="316" t="s">
        <v>608</v>
      </c>
      <c r="AA25" s="316" t="str">
        <f>CONCATENATE(Camp_List[[#This Row],[Ethnicity]],"-",Camp_List[[#This Row],[Religion]])</f>
        <v>-Muslim</v>
      </c>
      <c r="AB25" s="316" t="s">
        <v>470</v>
      </c>
      <c r="AC25" s="316" t="s">
        <v>613</v>
      </c>
      <c r="AD25" s="601" t="s">
        <v>658</v>
      </c>
      <c r="AE25" s="316" t="s">
        <v>829</v>
      </c>
      <c r="AF25" s="316" t="s">
        <v>830</v>
      </c>
      <c r="AG25" s="254">
        <v>43008</v>
      </c>
      <c r="AH25" s="316"/>
      <c r="AI25" s="64" t="str">
        <f>IFERROR(VLOOKUP(Camp_List[[#This Row],[Responsible Agency]],Organization_t[],3,0),"")</f>
        <v>Alejandro Cuyar, Head of Rakhine Programs, 
alejandro.cuyar@ri.org</v>
      </c>
      <c r="AJ25" s="480">
        <f ca="1">IF((SUMIFS(Data_Shelter_t[Coverage],Data_Shelter_t[Pcode],Camp_List[[#This Row],[P_Code]]))&gt;1,1,SUMIFS(Data_Shelter_t[Coverage],Data_Shelter_t[Pcode],Camp_List[[#This Row],[P_Code]]))</f>
        <v>1</v>
      </c>
      <c r="BL25" s="16"/>
      <c r="BM25" s="16"/>
      <c r="BP25" s="58"/>
      <c r="BQ25" s="58"/>
    </row>
    <row r="26" spans="1:69" ht="17.25" customHeight="1" x14ac:dyDescent="0.25">
      <c r="A26" s="316" t="s">
        <v>331</v>
      </c>
      <c r="B26" s="316" t="s">
        <v>7</v>
      </c>
      <c r="C26" s="316" t="s">
        <v>334</v>
      </c>
      <c r="D26" s="316" t="s">
        <v>17</v>
      </c>
      <c r="E26" s="316" t="s">
        <v>559</v>
      </c>
      <c r="F26" s="316" t="s">
        <v>17</v>
      </c>
      <c r="G26" s="316" t="s">
        <v>393</v>
      </c>
      <c r="H26" s="316" t="s">
        <v>397</v>
      </c>
      <c r="I26" s="316" t="s">
        <v>396</v>
      </c>
      <c r="J26" s="316" t="s">
        <v>1160</v>
      </c>
      <c r="K26" s="316">
        <v>196211</v>
      </c>
      <c r="L26" s="316" t="s">
        <v>66</v>
      </c>
      <c r="M26" s="316" t="s">
        <v>152</v>
      </c>
      <c r="N26" s="64">
        <v>92.839416999999997</v>
      </c>
      <c r="O26" s="64">
        <v>20.1585</v>
      </c>
      <c r="P26" s="316"/>
      <c r="Q26" s="705">
        <v>2270</v>
      </c>
      <c r="R26" s="703">
        <v>13049</v>
      </c>
      <c r="S26" s="715">
        <v>5.4372960372960373</v>
      </c>
      <c r="T26" s="540" t="s">
        <v>326</v>
      </c>
      <c r="U26" s="540" t="s">
        <v>707</v>
      </c>
      <c r="V26" s="540" t="s">
        <v>21</v>
      </c>
      <c r="W26" s="318"/>
      <c r="X26" s="316"/>
      <c r="Y26" s="316"/>
      <c r="Z26" s="316" t="s">
        <v>608</v>
      </c>
      <c r="AA26" s="316" t="str">
        <f>CONCATENATE(Camp_List[[#This Row],[Ethnicity]],"-",Camp_List[[#This Row],[Religion]])</f>
        <v>-Muslim</v>
      </c>
      <c r="AB26" s="316" t="s">
        <v>952</v>
      </c>
      <c r="AC26" s="316" t="s">
        <v>612</v>
      </c>
      <c r="AD26" s="601" t="s">
        <v>575</v>
      </c>
      <c r="AE26" s="316" t="s">
        <v>829</v>
      </c>
      <c r="AF26" s="316" t="s">
        <v>830</v>
      </c>
      <c r="AG26" s="254">
        <v>43190</v>
      </c>
      <c r="AH26" s="532"/>
      <c r="AI26" s="16" t="str">
        <f>IFERROR(VLOOKUP(Camp_List[[#This Row],[Responsible Agency]],Organization_t[],3,0),"")</f>
        <v>Yadu Shresk
Emergency Project Coordinator
campro.mmr@lwfdws.org</v>
      </c>
      <c r="AJ26" s="480">
        <f ca="1">IF((SUMIFS(Data_Shelter_t[Coverage],Data_Shelter_t[Pcode],Camp_List[[#This Row],[P_Code]]))&gt;1,1,SUMIFS(Data_Shelter_t[Coverage],Data_Shelter_t[Pcode],Camp_List[[#This Row],[P_Code]]))</f>
        <v>1</v>
      </c>
      <c r="BL26" s="16"/>
      <c r="BM26" s="16"/>
      <c r="BP26" s="58"/>
      <c r="BQ26" s="58"/>
    </row>
    <row r="27" spans="1:69" ht="17.25" customHeight="1" x14ac:dyDescent="0.25">
      <c r="A27" s="316" t="s">
        <v>331</v>
      </c>
      <c r="B27" s="316" t="s">
        <v>7</v>
      </c>
      <c r="C27" s="316" t="s">
        <v>334</v>
      </c>
      <c r="D27" s="316" t="s">
        <v>17</v>
      </c>
      <c r="E27" s="316" t="s">
        <v>559</v>
      </c>
      <c r="F27" s="534" t="s">
        <v>17</v>
      </c>
      <c r="G27" s="316" t="s">
        <v>393</v>
      </c>
      <c r="H27" s="316" t="s">
        <v>397</v>
      </c>
      <c r="I27" s="316" t="s">
        <v>396</v>
      </c>
      <c r="J27" s="534" t="s">
        <v>456</v>
      </c>
      <c r="K27" s="316">
        <v>196186</v>
      </c>
      <c r="L27" s="534" t="s">
        <v>68</v>
      </c>
      <c r="M27" s="537" t="s">
        <v>154</v>
      </c>
      <c r="N27" s="64">
        <v>92.831879000000001</v>
      </c>
      <c r="O27" s="64">
        <v>20.179939999999998</v>
      </c>
      <c r="P27" s="538"/>
      <c r="Q27" s="1063">
        <v>981</v>
      </c>
      <c r="R27" s="703">
        <v>5855</v>
      </c>
      <c r="S27" s="717">
        <v>5.7479674796747968</v>
      </c>
      <c r="T27" s="540" t="s">
        <v>326</v>
      </c>
      <c r="U27" s="540" t="s">
        <v>707</v>
      </c>
      <c r="V27" s="540" t="s">
        <v>20</v>
      </c>
      <c r="W27" s="318"/>
      <c r="X27" s="316"/>
      <c r="Y27" s="316"/>
      <c r="Z27" s="316" t="s">
        <v>608</v>
      </c>
      <c r="AA27" s="316" t="str">
        <f>CONCATENATE(Camp_List[[#This Row],[Ethnicity]],"-",Camp_List[[#This Row],[Religion]])</f>
        <v>-Muslim</v>
      </c>
      <c r="AB27" s="316" t="s">
        <v>952</v>
      </c>
      <c r="AC27" s="316" t="s">
        <v>612</v>
      </c>
      <c r="AD27" s="601" t="s">
        <v>913</v>
      </c>
      <c r="AE27" s="316" t="s">
        <v>829</v>
      </c>
      <c r="AF27" s="316" t="s">
        <v>830</v>
      </c>
      <c r="AG27" s="254">
        <v>43190</v>
      </c>
      <c r="AH27" s="316"/>
      <c r="AI27" s="547" t="str">
        <f>IFERROR(VLOOKUP(Camp_List[[#This Row],[Responsible Agency]],Organization_t[],3,0),"")</f>
        <v xml:space="preserve">Yasmine Maimuna Colijn , Camp Management PM 
 , yasmine.colijn@nrc.no, +95(0) 9250526637 </v>
      </c>
      <c r="AJ27" s="480">
        <f ca="1">IF((SUMIFS(Data_Shelter_t[Coverage],Data_Shelter_t[Pcode],Camp_List[[#This Row],[P_Code]]))&gt;1,1,SUMIFS(Data_Shelter_t[Coverage],Data_Shelter_t[Pcode],Camp_List[[#This Row],[P_Code]]))</f>
        <v>1</v>
      </c>
      <c r="BL27" s="16"/>
      <c r="BM27" s="16"/>
      <c r="BP27" s="58"/>
      <c r="BQ27" s="58"/>
    </row>
    <row r="28" spans="1:69" ht="17.25" customHeight="1" x14ac:dyDescent="0.25">
      <c r="A28" s="316" t="s">
        <v>331</v>
      </c>
      <c r="B28" s="316" t="s">
        <v>7</v>
      </c>
      <c r="C28" s="316" t="s">
        <v>334</v>
      </c>
      <c r="D28" s="316" t="s">
        <v>17</v>
      </c>
      <c r="E28" s="316" t="s">
        <v>559</v>
      </c>
      <c r="F28" s="316" t="s">
        <v>17</v>
      </c>
      <c r="G28" s="316" t="s">
        <v>393</v>
      </c>
      <c r="H28" s="316" t="s">
        <v>397</v>
      </c>
      <c r="I28" s="316" t="s">
        <v>396</v>
      </c>
      <c r="J28" s="316" t="s">
        <v>456</v>
      </c>
      <c r="K28" s="316">
        <v>196186</v>
      </c>
      <c r="L28" s="316" t="s">
        <v>497</v>
      </c>
      <c r="M28" s="316" t="s">
        <v>267</v>
      </c>
      <c r="N28" s="64">
        <v>92.842230000000001</v>
      </c>
      <c r="O28" s="64">
        <v>20.181742</v>
      </c>
      <c r="P28" s="316"/>
      <c r="Q28" s="704">
        <v>496</v>
      </c>
      <c r="R28" s="703">
        <v>2942</v>
      </c>
      <c r="S28" s="718">
        <v>5.931451612903226</v>
      </c>
      <c r="T28" s="316" t="s">
        <v>326</v>
      </c>
      <c r="U28" s="316" t="s">
        <v>707</v>
      </c>
      <c r="V28" s="316" t="s">
        <v>759</v>
      </c>
      <c r="W28" s="318"/>
      <c r="X28" s="316"/>
      <c r="Y28" s="316"/>
      <c r="Z28" s="316" t="s">
        <v>608</v>
      </c>
      <c r="AA28" s="316" t="str">
        <f>CONCATENATE(Camp_List[[#This Row],[Ethnicity]],"-",Camp_List[[#This Row],[Religion]])</f>
        <v>-Muslim</v>
      </c>
      <c r="AB28" s="316" t="s">
        <v>952</v>
      </c>
      <c r="AC28" s="316" t="s">
        <v>613</v>
      </c>
      <c r="AD28" s="601" t="s">
        <v>270</v>
      </c>
      <c r="AE28" s="316" t="s">
        <v>462</v>
      </c>
      <c r="AF28" s="316" t="s">
        <v>477</v>
      </c>
      <c r="AG28" s="254">
        <v>43190</v>
      </c>
      <c r="AH28" s="316"/>
      <c r="AI28" s="64" t="str">
        <f>IFERROR(VLOOKUP(Camp_List[[#This Row],[Responsible Agency]],Organization_t[],3,0),"")</f>
        <v>Richard Tracey, CCCM/NFI/Shelter Cluster Coordinator, tracey@unhcr.org,09448027896</v>
      </c>
      <c r="AJ28" s="480">
        <f>IF((SUMIFS(Data_Shelter_t[Coverage],Data_Shelter_t[Pcode],Camp_List[[#This Row],[P_Code]]))&gt;1,1,SUMIFS(Data_Shelter_t[Coverage],Data_Shelter_t[Pcode],Camp_List[[#This Row],[P_Code]]))</f>
        <v>0</v>
      </c>
      <c r="BL28" s="16"/>
      <c r="BM28" s="16"/>
      <c r="BP28" s="58"/>
      <c r="BQ28" s="58"/>
    </row>
    <row r="29" spans="1:69" ht="17.25" customHeight="1" x14ac:dyDescent="0.25">
      <c r="A29" s="316" t="s">
        <v>331</v>
      </c>
      <c r="B29" s="316" t="s">
        <v>7</v>
      </c>
      <c r="C29" s="316" t="s">
        <v>334</v>
      </c>
      <c r="D29" s="316" t="s">
        <v>17</v>
      </c>
      <c r="E29" s="316" t="s">
        <v>559</v>
      </c>
      <c r="F29" s="316" t="s">
        <v>13</v>
      </c>
      <c r="G29" s="316" t="s">
        <v>355</v>
      </c>
      <c r="H29" s="316" t="s">
        <v>358</v>
      </c>
      <c r="I29" s="316" t="s">
        <v>357</v>
      </c>
      <c r="J29" s="316" t="s">
        <v>450</v>
      </c>
      <c r="K29" s="316" t="s">
        <v>933</v>
      </c>
      <c r="L29" s="316" t="s">
        <v>990</v>
      </c>
      <c r="M29" s="316" t="s">
        <v>125</v>
      </c>
      <c r="N29" s="64">
        <v>93.154551999999995</v>
      </c>
      <c r="O29" s="64">
        <v>20.073437999999999</v>
      </c>
      <c r="P29" s="316"/>
      <c r="Q29" s="704">
        <v>1010</v>
      </c>
      <c r="R29" s="703">
        <v>4592</v>
      </c>
      <c r="S29" s="715">
        <v>4.7418321588725201</v>
      </c>
      <c r="T29" s="540" t="s">
        <v>326</v>
      </c>
      <c r="U29" s="540" t="s">
        <v>707</v>
      </c>
      <c r="V29" s="630" t="s">
        <v>929</v>
      </c>
      <c r="W29" s="540"/>
      <c r="X29" s="316"/>
      <c r="Y29" s="316"/>
      <c r="Z29" s="316" t="s">
        <v>608</v>
      </c>
      <c r="AA29" s="316" t="str">
        <f>CONCATENATE(Camp_List[[#This Row],[Ethnicity]],"-",Camp_List[[#This Row],[Religion]])</f>
        <v>-Muslim</v>
      </c>
      <c r="AB29" s="316" t="s">
        <v>952</v>
      </c>
      <c r="AC29" s="316" t="s">
        <v>612</v>
      </c>
      <c r="AD29" s="604" t="s">
        <v>575</v>
      </c>
      <c r="AE29" s="316" t="s">
        <v>829</v>
      </c>
      <c r="AF29" s="316" t="s">
        <v>830</v>
      </c>
      <c r="AG29" s="254">
        <v>43190</v>
      </c>
      <c r="AH29" s="810"/>
      <c r="AI29" s="541" t="str">
        <f>IFERROR(VLOOKUP(Camp_List[[#This Row],[Responsible Agency]],Organization_t[],3,0),"")</f>
        <v>Yadu Shresk
Emergency Project Coordinator
campro.mmr@lwfdws.org</v>
      </c>
      <c r="AJ29" s="548">
        <f ca="1">IF((SUMIFS(Data_Shelter_t[Coverage],Data_Shelter_t[Pcode],Camp_List[[#This Row],[P_Code]]))&gt;1,1,SUMIFS(Data_Shelter_t[Coverage],Data_Shelter_t[Pcode],Camp_List[[#This Row],[P_Code]]))</f>
        <v>1</v>
      </c>
      <c r="BL29" s="16"/>
      <c r="BM29" s="16"/>
      <c r="BP29" s="58"/>
      <c r="BQ29" s="58"/>
    </row>
    <row r="30" spans="1:69" ht="17.25" customHeight="1" x14ac:dyDescent="0.25">
      <c r="A30" s="532" t="s">
        <v>943</v>
      </c>
      <c r="B30" s="316" t="s">
        <v>7</v>
      </c>
      <c r="C30" s="316" t="s">
        <v>334</v>
      </c>
      <c r="D30" s="316" t="s">
        <v>561</v>
      </c>
      <c r="E30" s="316" t="s">
        <v>562</v>
      </c>
      <c r="F30" s="316" t="s">
        <v>561</v>
      </c>
      <c r="G30" s="316" t="s">
        <v>386</v>
      </c>
      <c r="H30" s="316" t="s">
        <v>390</v>
      </c>
      <c r="I30" s="316" t="s">
        <v>389</v>
      </c>
      <c r="J30" s="316" t="s">
        <v>441</v>
      </c>
      <c r="K30" s="316">
        <v>198469</v>
      </c>
      <c r="L30" s="316" t="s">
        <v>441</v>
      </c>
      <c r="M30" s="316" t="s">
        <v>142</v>
      </c>
      <c r="N30" s="64">
        <v>93.552452000000002</v>
      </c>
      <c r="O30" s="64">
        <v>19.421102000000001</v>
      </c>
      <c r="P30" s="316"/>
      <c r="Q30" s="704">
        <v>65</v>
      </c>
      <c r="R30" s="703">
        <v>327</v>
      </c>
      <c r="S30" s="715">
        <v>5.0307692307692307</v>
      </c>
      <c r="T30" s="540" t="s">
        <v>326</v>
      </c>
      <c r="U30" s="540" t="s">
        <v>707</v>
      </c>
      <c r="V30" s="540" t="s">
        <v>929</v>
      </c>
      <c r="W30" s="318"/>
      <c r="X30" s="316"/>
      <c r="Y30" s="316" t="s">
        <v>7</v>
      </c>
      <c r="Z30" s="316" t="s">
        <v>710</v>
      </c>
      <c r="AA30" s="316" t="str">
        <f>CONCATENATE(Camp_List[[#This Row],[Ethnicity]],"-",Camp_List[[#This Row],[Religion]])</f>
        <v>Rakhine-Buddhist</v>
      </c>
      <c r="AB30" s="316" t="s">
        <v>952</v>
      </c>
      <c r="AC30" s="316"/>
      <c r="AD30" s="601" t="s">
        <v>270</v>
      </c>
      <c r="AE30" s="316" t="s">
        <v>462</v>
      </c>
      <c r="AF30" s="316" t="s">
        <v>477</v>
      </c>
      <c r="AG30" s="254">
        <v>43190</v>
      </c>
      <c r="AH30" s="532" t="s">
        <v>1058</v>
      </c>
      <c r="AI30" s="64" t="str">
        <f>IFERROR(VLOOKUP(Camp_List[[#This Row],[Responsible Agency]],Organization_t[],3,0),"")</f>
        <v>Richard Tracey, CCCM/NFI/Shelter Cluster Coordinator, tracey@unhcr.org,09448027896</v>
      </c>
      <c r="AJ30" s="480">
        <f ca="1">IF((SUMIFS(Data_Shelter_t[Coverage],Data_Shelter_t[Pcode],Camp_List[[#This Row],[P_Code]]))&gt;1,1,SUMIFS(Data_Shelter_t[Coverage],Data_Shelter_t[Pcode],Camp_List[[#This Row],[P_Code]]))</f>
        <v>1</v>
      </c>
      <c r="BL30" s="16"/>
      <c r="BM30" s="16"/>
      <c r="BP30" s="58"/>
      <c r="BQ30" s="58"/>
    </row>
    <row r="31" spans="1:69" ht="17.25" customHeight="1" x14ac:dyDescent="0.25">
      <c r="A31" s="532" t="s">
        <v>943</v>
      </c>
      <c r="B31" s="316" t="s">
        <v>7</v>
      </c>
      <c r="C31" s="316" t="s">
        <v>334</v>
      </c>
      <c r="D31" s="316" t="s">
        <v>17</v>
      </c>
      <c r="E31" s="316" t="s">
        <v>559</v>
      </c>
      <c r="F31" s="316" t="s">
        <v>17</v>
      </c>
      <c r="G31" s="316" t="s">
        <v>393</v>
      </c>
      <c r="H31" s="316" t="s">
        <v>403</v>
      </c>
      <c r="I31" s="316" t="s">
        <v>515</v>
      </c>
      <c r="J31" s="316" t="s">
        <v>403</v>
      </c>
      <c r="K31" s="316" t="s">
        <v>402</v>
      </c>
      <c r="L31" s="316" t="s">
        <v>74</v>
      </c>
      <c r="M31" s="316" t="s">
        <v>269</v>
      </c>
      <c r="N31" s="64">
        <v>92.879138999999995</v>
      </c>
      <c r="O31" s="64">
        <v>20.155805999999998</v>
      </c>
      <c r="P31" s="316"/>
      <c r="Q31" s="705">
        <v>151</v>
      </c>
      <c r="R31" s="703">
        <v>654</v>
      </c>
      <c r="S31" s="715">
        <v>4.2384105960264904</v>
      </c>
      <c r="T31" s="540" t="s">
        <v>326</v>
      </c>
      <c r="U31" s="540"/>
      <c r="V31" s="540" t="s">
        <v>929</v>
      </c>
      <c r="W31" s="318"/>
      <c r="X31" s="316"/>
      <c r="Y31" s="316" t="s">
        <v>7</v>
      </c>
      <c r="Z31" s="316" t="s">
        <v>710</v>
      </c>
      <c r="AA31" s="316" t="str">
        <f>CONCATENATE(Camp_List[[#This Row],[Ethnicity]],"-",Camp_List[[#This Row],[Religion]])</f>
        <v>Rakhine-Buddhist</v>
      </c>
      <c r="AB31" s="316" t="s">
        <v>470</v>
      </c>
      <c r="AC31" s="316"/>
      <c r="AD31" s="601"/>
      <c r="AE31" s="316" t="s">
        <v>829</v>
      </c>
      <c r="AF31" s="316" t="s">
        <v>830</v>
      </c>
      <c r="AG31" s="254">
        <v>42766</v>
      </c>
      <c r="AH31" s="532" t="s">
        <v>955</v>
      </c>
      <c r="AI31" s="64" t="str">
        <f>IFERROR(VLOOKUP(Camp_List[[#This Row],[Responsible Agency]],Organization_t[],3,0),"")</f>
        <v/>
      </c>
      <c r="AJ31" s="480">
        <f ca="1">IF((SUMIFS(Data_Shelter_t[Coverage],Data_Shelter_t[Pcode],Camp_List[[#This Row],[P_Code]]))&gt;1,1,SUMIFS(Data_Shelter_t[Coverage],Data_Shelter_t[Pcode],Camp_List[[#This Row],[P_Code]]))</f>
        <v>1</v>
      </c>
      <c r="BL31" s="16"/>
      <c r="BM31" s="16"/>
      <c r="BP31" s="58"/>
      <c r="BQ31" s="58"/>
    </row>
    <row r="32" spans="1:69" ht="17.25" customHeight="1" x14ac:dyDescent="0.25">
      <c r="A32" s="532" t="s">
        <v>943</v>
      </c>
      <c r="B32" s="316" t="s">
        <v>7</v>
      </c>
      <c r="C32" s="316" t="s">
        <v>334</v>
      </c>
      <c r="D32" s="316" t="s">
        <v>17</v>
      </c>
      <c r="E32" s="316" t="s">
        <v>559</v>
      </c>
      <c r="F32" s="316" t="s">
        <v>14</v>
      </c>
      <c r="G32" s="316" t="s">
        <v>364</v>
      </c>
      <c r="H32" s="316" t="s">
        <v>368</v>
      </c>
      <c r="I32" s="316" t="s">
        <v>367</v>
      </c>
      <c r="J32" s="316" t="s">
        <v>1165</v>
      </c>
      <c r="K32" s="316">
        <v>196838</v>
      </c>
      <c r="L32" s="316" t="s">
        <v>52</v>
      </c>
      <c r="M32" s="316" t="s">
        <v>138</v>
      </c>
      <c r="N32" s="64">
        <v>93.006497999999993</v>
      </c>
      <c r="O32" s="64">
        <v>20.886997999999998</v>
      </c>
      <c r="P32" s="316"/>
      <c r="Q32" s="704">
        <v>97</v>
      </c>
      <c r="R32" s="703">
        <v>557</v>
      </c>
      <c r="S32" s="715">
        <v>5.9381443298969074</v>
      </c>
      <c r="T32" s="540" t="s">
        <v>326</v>
      </c>
      <c r="U32" s="540"/>
      <c r="V32" s="630" t="s">
        <v>929</v>
      </c>
      <c r="W32" s="540" t="s">
        <v>813</v>
      </c>
      <c r="X32" s="316"/>
      <c r="Y32" s="316"/>
      <c r="Z32" s="316" t="s">
        <v>608</v>
      </c>
      <c r="AA32" s="316" t="str">
        <f>CONCATENATE(Camp_List[[#This Row],[Ethnicity]],"-",Camp_List[[#This Row],[Religion]])</f>
        <v>-Muslim</v>
      </c>
      <c r="AB32" s="316" t="s">
        <v>952</v>
      </c>
      <c r="AC32" s="316"/>
      <c r="AD32" s="604"/>
      <c r="AE32" s="316" t="s">
        <v>462</v>
      </c>
      <c r="AF32" s="316" t="s">
        <v>869</v>
      </c>
      <c r="AG32" s="254">
        <v>42766</v>
      </c>
      <c r="AH32" s="545" t="s">
        <v>919</v>
      </c>
      <c r="AI32" s="541" t="str">
        <f>IFERROR(VLOOKUP(Camp_List[[#This Row],[Responsible Agency]],Organization_t[],3,0),"")</f>
        <v/>
      </c>
      <c r="AJ32" s="480">
        <f ca="1">IF((SUMIFS(Data_Shelter_t[Coverage],Data_Shelter_t[Pcode],Camp_List[[#This Row],[P_Code]]))&gt;1,1,SUMIFS(Data_Shelter_t[Coverage],Data_Shelter_t[Pcode],Camp_List[[#This Row],[P_Code]]))</f>
        <v>1</v>
      </c>
      <c r="BL32" s="16"/>
      <c r="BM32" s="16"/>
      <c r="BP32" s="58"/>
      <c r="BQ32" s="58"/>
    </row>
    <row r="33" spans="1:69" ht="17.25" customHeight="1" x14ac:dyDescent="0.25">
      <c r="A33" s="532" t="s">
        <v>943</v>
      </c>
      <c r="B33" s="316" t="s">
        <v>7</v>
      </c>
      <c r="C33" s="316" t="s">
        <v>334</v>
      </c>
      <c r="D33" s="316" t="s">
        <v>17</v>
      </c>
      <c r="E33" s="316" t="s">
        <v>559</v>
      </c>
      <c r="F33" s="669" t="s">
        <v>941</v>
      </c>
      <c r="G33" s="316" t="s">
        <v>348</v>
      </c>
      <c r="H33" s="316" t="s">
        <v>354</v>
      </c>
      <c r="I33" s="316" t="s">
        <v>353</v>
      </c>
      <c r="J33" s="316" t="s">
        <v>449</v>
      </c>
      <c r="K33" s="316">
        <v>196441</v>
      </c>
      <c r="L33" s="316" t="s">
        <v>34</v>
      </c>
      <c r="M33" s="316" t="s">
        <v>120</v>
      </c>
      <c r="N33" s="64">
        <v>93.239519999999999</v>
      </c>
      <c r="O33" s="64">
        <v>20.61692</v>
      </c>
      <c r="P33" s="316"/>
      <c r="Q33" s="704">
        <v>10</v>
      </c>
      <c r="R33" s="703">
        <v>64</v>
      </c>
      <c r="S33" s="715">
        <v>6.4</v>
      </c>
      <c r="T33" s="540" t="s">
        <v>326</v>
      </c>
      <c r="U33" s="540"/>
      <c r="V33" s="540" t="s">
        <v>929</v>
      </c>
      <c r="W33" s="318" t="s">
        <v>814</v>
      </c>
      <c r="X33" s="316"/>
      <c r="Y33" s="316" t="s">
        <v>609</v>
      </c>
      <c r="Z33" s="536" t="s">
        <v>710</v>
      </c>
      <c r="AA33" s="536" t="str">
        <f>CONCATENATE(Camp_List[[#This Row],[Ethnicity]],"-",Camp_List[[#This Row],[Religion]])</f>
        <v>Maramargyi-Buddhist</v>
      </c>
      <c r="AB33" s="536" t="s">
        <v>952</v>
      </c>
      <c r="AC33" s="316"/>
      <c r="AD33" s="601"/>
      <c r="AE33" s="316" t="s">
        <v>462</v>
      </c>
      <c r="AF33" s="316" t="s">
        <v>477</v>
      </c>
      <c r="AG33" s="254">
        <v>42766</v>
      </c>
      <c r="AH33" s="316" t="s">
        <v>919</v>
      </c>
      <c r="AI33" s="64" t="str">
        <f>IFERROR(VLOOKUP(Camp_List[[#This Row],[Responsible Agency]],Organization_t[],3,0),"")</f>
        <v/>
      </c>
      <c r="AJ33" s="480">
        <f ca="1">IF((SUMIFS(Data_Shelter_t[Coverage],Data_Shelter_t[Pcode],Camp_List[[#This Row],[P_Code]]))&gt;1,1,SUMIFS(Data_Shelter_t[Coverage],Data_Shelter_t[Pcode],Camp_List[[#This Row],[P_Code]]))</f>
        <v>1</v>
      </c>
      <c r="BL33" s="16"/>
      <c r="BM33" s="16"/>
      <c r="BP33" s="58"/>
      <c r="BQ33" s="58"/>
    </row>
    <row r="34" spans="1:69" ht="17.25" customHeight="1" x14ac:dyDescent="0.25">
      <c r="A34" s="532" t="s">
        <v>943</v>
      </c>
      <c r="B34" s="316" t="s">
        <v>7</v>
      </c>
      <c r="C34" s="316" t="s">
        <v>334</v>
      </c>
      <c r="D34" s="316" t="s">
        <v>17</v>
      </c>
      <c r="E34" s="316" t="s">
        <v>559</v>
      </c>
      <c r="F34" s="316" t="s">
        <v>941</v>
      </c>
      <c r="G34" s="316" t="s">
        <v>348</v>
      </c>
      <c r="H34" s="317" t="s">
        <v>576</v>
      </c>
      <c r="I34" s="316" t="s">
        <v>577</v>
      </c>
      <c r="J34" s="316" t="s">
        <v>578</v>
      </c>
      <c r="K34" s="316">
        <v>196501</v>
      </c>
      <c r="L34" s="316" t="s">
        <v>578</v>
      </c>
      <c r="M34" s="316" t="s">
        <v>579</v>
      </c>
      <c r="N34" s="64">
        <v>93.246863000000005</v>
      </c>
      <c r="O34" s="64">
        <v>20.495086000000001</v>
      </c>
      <c r="P34" s="316"/>
      <c r="Q34" s="704">
        <v>32</v>
      </c>
      <c r="R34" s="703">
        <v>131</v>
      </c>
      <c r="S34" s="715">
        <v>4.225806451612903</v>
      </c>
      <c r="T34" s="540" t="s">
        <v>326</v>
      </c>
      <c r="U34" s="540"/>
      <c r="V34" s="540" t="s">
        <v>929</v>
      </c>
      <c r="W34" s="318" t="s">
        <v>814</v>
      </c>
      <c r="X34" s="316"/>
      <c r="Y34" s="316" t="s">
        <v>7</v>
      </c>
      <c r="Z34" s="316" t="s">
        <v>710</v>
      </c>
      <c r="AA34" s="316" t="str">
        <f>CONCATENATE(Camp_List[[#This Row],[Ethnicity]],"-",Camp_List[[#This Row],[Religion]])</f>
        <v>Rakhine-Buddhist</v>
      </c>
      <c r="AB34" s="536" t="s">
        <v>952</v>
      </c>
      <c r="AC34" s="316"/>
      <c r="AD34" s="601"/>
      <c r="AE34" s="316" t="s">
        <v>462</v>
      </c>
      <c r="AF34" s="316" t="s">
        <v>477</v>
      </c>
      <c r="AG34" s="254">
        <v>42766</v>
      </c>
      <c r="AH34" s="316" t="s">
        <v>919</v>
      </c>
      <c r="AI34" s="64" t="str">
        <f>IFERROR(VLOOKUP(Camp_List[[#This Row],[Responsible Agency]],Organization_t[],3,0),"")</f>
        <v/>
      </c>
      <c r="AJ34" s="480">
        <f ca="1">IF((SUMIFS(Data_Shelter_t[Coverage],Data_Shelter_t[Pcode],Camp_List[[#This Row],[P_Code]]))&gt;1,1,SUMIFS(Data_Shelter_t[Coverage],Data_Shelter_t[Pcode],Camp_List[[#This Row],[P_Code]]))</f>
        <v>1</v>
      </c>
      <c r="BL34" s="16"/>
      <c r="BM34" s="16"/>
      <c r="BP34" s="58"/>
      <c r="BQ34" s="58"/>
    </row>
    <row r="35" spans="1:69" ht="17.25" customHeight="1" x14ac:dyDescent="0.25">
      <c r="A35" s="532" t="s">
        <v>943</v>
      </c>
      <c r="B35" s="446" t="s">
        <v>7</v>
      </c>
      <c r="C35" s="446" t="s">
        <v>334</v>
      </c>
      <c r="D35" s="446" t="s">
        <v>17</v>
      </c>
      <c r="E35" s="446" t="s">
        <v>559</v>
      </c>
      <c r="F35" s="446" t="s">
        <v>13</v>
      </c>
      <c r="G35" s="446" t="s">
        <v>355</v>
      </c>
      <c r="H35" s="316" t="s">
        <v>470</v>
      </c>
      <c r="I35" s="316" t="s">
        <v>528</v>
      </c>
      <c r="J35" s="316" t="s">
        <v>452</v>
      </c>
      <c r="K35" s="316" t="s">
        <v>453</v>
      </c>
      <c r="L35" s="316" t="s">
        <v>37</v>
      </c>
      <c r="M35" s="316" t="s">
        <v>123</v>
      </c>
      <c r="N35" s="64">
        <v>93.067891000000003</v>
      </c>
      <c r="O35" s="64">
        <v>20.173468</v>
      </c>
      <c r="P35" s="316"/>
      <c r="Q35" s="704">
        <v>21</v>
      </c>
      <c r="R35" s="703">
        <v>122</v>
      </c>
      <c r="S35" s="715">
        <v>5.8095238095238093</v>
      </c>
      <c r="T35" s="540" t="s">
        <v>326</v>
      </c>
      <c r="U35" s="540"/>
      <c r="V35" s="540" t="s">
        <v>929</v>
      </c>
      <c r="W35" s="318"/>
      <c r="X35" s="316"/>
      <c r="Y35" s="316" t="s">
        <v>7</v>
      </c>
      <c r="Z35" s="316" t="s">
        <v>710</v>
      </c>
      <c r="AA35" s="316" t="str">
        <f>CONCATENATE(Camp_List[[#This Row],[Ethnicity]],"-",Camp_List[[#This Row],[Religion]])</f>
        <v>Rakhine-Buddhist</v>
      </c>
      <c r="AB35" s="316" t="s">
        <v>470</v>
      </c>
      <c r="AC35" s="316"/>
      <c r="AD35" s="601"/>
      <c r="AE35" s="316" t="s">
        <v>829</v>
      </c>
      <c r="AF35" s="316" t="s">
        <v>830</v>
      </c>
      <c r="AG35" s="254">
        <v>42766</v>
      </c>
      <c r="AH35" s="316" t="s">
        <v>935</v>
      </c>
      <c r="AI35" s="64" t="str">
        <f>IFERROR(VLOOKUP(Camp_List[[#This Row],[Responsible Agency]],Organization_t[],3,0),"")</f>
        <v/>
      </c>
      <c r="AJ35" s="480">
        <f ca="1">IF((SUMIFS(Data_Shelter_t[Coverage],Data_Shelter_t[Pcode],Camp_List[[#This Row],[P_Code]]))&gt;1,1,SUMIFS(Data_Shelter_t[Coverage],Data_Shelter_t[Pcode],Camp_List[[#This Row],[P_Code]]))</f>
        <v>1</v>
      </c>
      <c r="BL35" s="16"/>
      <c r="BM35" s="16"/>
      <c r="BP35" s="58"/>
      <c r="BQ35" s="58"/>
    </row>
    <row r="36" spans="1:69" ht="17.25" customHeight="1" x14ac:dyDescent="0.25">
      <c r="A36" s="532" t="s">
        <v>943</v>
      </c>
      <c r="B36" s="316" t="s">
        <v>7</v>
      </c>
      <c r="C36" s="316" t="s">
        <v>334</v>
      </c>
      <c r="D36" s="316" t="s">
        <v>17</v>
      </c>
      <c r="E36" s="316" t="s">
        <v>559</v>
      </c>
      <c r="F36" s="316" t="s">
        <v>17</v>
      </c>
      <c r="G36" s="316" t="s">
        <v>393</v>
      </c>
      <c r="H36" s="316" t="s">
        <v>470</v>
      </c>
      <c r="I36" s="316" t="s">
        <v>515</v>
      </c>
      <c r="J36" s="316" t="s">
        <v>516</v>
      </c>
      <c r="K36" s="316" t="s">
        <v>517</v>
      </c>
      <c r="L36" s="316" t="s">
        <v>590</v>
      </c>
      <c r="M36" s="316" t="s">
        <v>592</v>
      </c>
      <c r="N36" s="64">
        <v>92.887277999999995</v>
      </c>
      <c r="O36" s="64">
        <v>20.151471999999998</v>
      </c>
      <c r="P36" s="316"/>
      <c r="Q36" s="704">
        <v>249</v>
      </c>
      <c r="R36" s="703">
        <v>1282</v>
      </c>
      <c r="S36" s="715">
        <v>5.1485943775100402</v>
      </c>
      <c r="T36" s="540" t="s">
        <v>326</v>
      </c>
      <c r="U36" s="540"/>
      <c r="V36" s="540" t="s">
        <v>929</v>
      </c>
      <c r="W36" s="318"/>
      <c r="X36" s="316"/>
      <c r="Y36" s="316" t="s">
        <v>7</v>
      </c>
      <c r="Z36" s="316" t="s">
        <v>710</v>
      </c>
      <c r="AA36" s="316" t="str">
        <f>CONCATENATE(Camp_List[[#This Row],[Ethnicity]],"-",Camp_List[[#This Row],[Religion]])</f>
        <v>Rakhine-Buddhist</v>
      </c>
      <c r="AB36" s="316" t="s">
        <v>470</v>
      </c>
      <c r="AC36" s="316"/>
      <c r="AD36" s="601"/>
      <c r="AE36" s="316" t="s">
        <v>829</v>
      </c>
      <c r="AF36" s="316" t="s">
        <v>830</v>
      </c>
      <c r="AG36" s="254">
        <v>42766</v>
      </c>
      <c r="AH36" s="316" t="s">
        <v>919</v>
      </c>
      <c r="AI36" s="16" t="str">
        <f>IFERROR(VLOOKUP(Camp_List[[#This Row],[Responsible Agency]],Organization_t[],3,0),"")</f>
        <v/>
      </c>
      <c r="AJ36" s="480">
        <f ca="1">IF((SUMIFS(Data_Shelter_t[Coverage],Data_Shelter_t[Pcode],Camp_List[[#This Row],[P_Code]]))&gt;1,1,SUMIFS(Data_Shelter_t[Coverage],Data_Shelter_t[Pcode],Camp_List[[#This Row],[P_Code]]))</f>
        <v>1</v>
      </c>
      <c r="BL36" s="16"/>
      <c r="BM36" s="16"/>
      <c r="BP36" s="58"/>
      <c r="BQ36" s="58"/>
    </row>
    <row r="37" spans="1:69" ht="17.25" customHeight="1" x14ac:dyDescent="0.25">
      <c r="A37" s="532" t="s">
        <v>943</v>
      </c>
      <c r="B37" s="316" t="s">
        <v>7</v>
      </c>
      <c r="C37" s="316" t="s">
        <v>334</v>
      </c>
      <c r="D37" s="316" t="s">
        <v>17</v>
      </c>
      <c r="E37" s="316" t="s">
        <v>559</v>
      </c>
      <c r="F37" s="316" t="s">
        <v>17</v>
      </c>
      <c r="G37" s="316" t="s">
        <v>393</v>
      </c>
      <c r="H37" s="316" t="s">
        <v>470</v>
      </c>
      <c r="I37" s="316" t="s">
        <v>515</v>
      </c>
      <c r="J37" s="316" t="s">
        <v>516</v>
      </c>
      <c r="K37" s="316" t="s">
        <v>517</v>
      </c>
      <c r="L37" s="316" t="s">
        <v>591</v>
      </c>
      <c r="M37" s="316" t="s">
        <v>593</v>
      </c>
      <c r="N37" s="64">
        <v>92.887277999999995</v>
      </c>
      <c r="O37" s="64">
        <v>20.151471999999998</v>
      </c>
      <c r="P37" s="316"/>
      <c r="Q37" s="704">
        <v>420</v>
      </c>
      <c r="R37" s="703">
        <v>2200</v>
      </c>
      <c r="S37" s="715">
        <v>5.2631578947368425</v>
      </c>
      <c r="T37" s="540" t="s">
        <v>326</v>
      </c>
      <c r="U37" s="540"/>
      <c r="V37" s="540" t="s">
        <v>929</v>
      </c>
      <c r="W37" s="318"/>
      <c r="X37" s="316"/>
      <c r="Y37" s="316" t="s">
        <v>7</v>
      </c>
      <c r="Z37" s="316" t="s">
        <v>710</v>
      </c>
      <c r="AA37" s="316" t="str">
        <f>CONCATENATE(Camp_List[[#This Row],[Ethnicity]],"-",Camp_List[[#This Row],[Religion]])</f>
        <v>Rakhine-Buddhist</v>
      </c>
      <c r="AB37" s="316" t="s">
        <v>470</v>
      </c>
      <c r="AC37" s="316"/>
      <c r="AD37" s="601"/>
      <c r="AE37" s="316" t="s">
        <v>829</v>
      </c>
      <c r="AF37" s="316" t="s">
        <v>830</v>
      </c>
      <c r="AG37" s="254">
        <v>42766</v>
      </c>
      <c r="AH37" s="316" t="s">
        <v>919</v>
      </c>
      <c r="AI37" s="16" t="str">
        <f>IFERROR(VLOOKUP(Camp_List[[#This Row],[Responsible Agency]],Organization_t[],3,0),"")</f>
        <v/>
      </c>
      <c r="AJ37" s="480">
        <f ca="1">IF((SUMIFS(Data_Shelter_t[Coverage],Data_Shelter_t[Pcode],Camp_List[[#This Row],[P_Code]]))&gt;1,1,SUMIFS(Data_Shelter_t[Coverage],Data_Shelter_t[Pcode],Camp_List[[#This Row],[P_Code]]))</f>
        <v>1</v>
      </c>
      <c r="BL37" s="16"/>
      <c r="BM37" s="16"/>
      <c r="BP37" s="58"/>
      <c r="BQ37" s="58"/>
    </row>
    <row r="38" spans="1:69" ht="17.25" customHeight="1" x14ac:dyDescent="0.25">
      <c r="A38" s="532" t="s">
        <v>943</v>
      </c>
      <c r="B38" s="316" t="s">
        <v>7</v>
      </c>
      <c r="C38" s="316" t="s">
        <v>334</v>
      </c>
      <c r="D38" s="316" t="s">
        <v>17</v>
      </c>
      <c r="E38" s="316" t="s">
        <v>559</v>
      </c>
      <c r="F38" s="316" t="s">
        <v>17</v>
      </c>
      <c r="G38" s="316" t="s">
        <v>393</v>
      </c>
      <c r="H38" s="316" t="s">
        <v>403</v>
      </c>
      <c r="I38" s="316" t="s">
        <v>515</v>
      </c>
      <c r="J38" s="316" t="s">
        <v>403</v>
      </c>
      <c r="K38" s="316" t="s">
        <v>402</v>
      </c>
      <c r="L38" s="316" t="s">
        <v>76</v>
      </c>
      <c r="M38" s="316" t="s">
        <v>162</v>
      </c>
      <c r="N38" s="64">
        <v>92.880319999999998</v>
      </c>
      <c r="O38" s="64">
        <v>20.148584</v>
      </c>
      <c r="P38" s="316"/>
      <c r="Q38" s="704">
        <v>72</v>
      </c>
      <c r="R38" s="703">
        <v>462</v>
      </c>
      <c r="S38" s="715">
        <v>6.416666666666667</v>
      </c>
      <c r="T38" s="540" t="s">
        <v>326</v>
      </c>
      <c r="U38" s="540"/>
      <c r="V38" s="540" t="s">
        <v>929</v>
      </c>
      <c r="W38" s="318"/>
      <c r="X38" s="316"/>
      <c r="Y38" s="316" t="s">
        <v>609</v>
      </c>
      <c r="Z38" s="316" t="s">
        <v>710</v>
      </c>
      <c r="AA38" s="316" t="str">
        <f>CONCATENATE(Camp_List[[#This Row],[Ethnicity]],"-",Camp_List[[#This Row],[Religion]])</f>
        <v>Maramargyi-Buddhist</v>
      </c>
      <c r="AB38" s="316" t="s">
        <v>470</v>
      </c>
      <c r="AC38" s="316"/>
      <c r="AD38" s="601"/>
      <c r="AE38" s="316" t="s">
        <v>829</v>
      </c>
      <c r="AF38" s="316" t="s">
        <v>830</v>
      </c>
      <c r="AG38" s="254">
        <v>42766</v>
      </c>
      <c r="AH38" s="316" t="s">
        <v>919</v>
      </c>
      <c r="AI38" s="64" t="str">
        <f>IFERROR(VLOOKUP(Camp_List[[#This Row],[Responsible Agency]],Organization_t[],3,0),"")</f>
        <v/>
      </c>
      <c r="AJ38" s="480">
        <f ca="1">IF((SUMIFS(Data_Shelter_t[Coverage],Data_Shelter_t[Pcode],Camp_List[[#This Row],[P_Code]]))&gt;1,1,SUMIFS(Data_Shelter_t[Coverage],Data_Shelter_t[Pcode],Camp_List[[#This Row],[P_Code]]))</f>
        <v>0.28915662650602408</v>
      </c>
      <c r="BL38" s="16"/>
      <c r="BM38" s="16"/>
      <c r="BP38" s="58"/>
      <c r="BQ38" s="58"/>
    </row>
    <row r="39" spans="1:69" ht="17.25" customHeight="1" x14ac:dyDescent="0.25">
      <c r="A39" s="532" t="s">
        <v>943</v>
      </c>
      <c r="B39" s="316" t="s">
        <v>7</v>
      </c>
      <c r="C39" s="316" t="s">
        <v>334</v>
      </c>
      <c r="D39" s="316" t="s">
        <v>17</v>
      </c>
      <c r="E39" s="316" t="s">
        <v>559</v>
      </c>
      <c r="F39" s="316" t="s">
        <v>817</v>
      </c>
      <c r="G39" s="316" t="s">
        <v>356</v>
      </c>
      <c r="H39" s="316" t="s">
        <v>470</v>
      </c>
      <c r="I39" s="316" t="s">
        <v>496</v>
      </c>
      <c r="J39" s="316" t="s">
        <v>444</v>
      </c>
      <c r="K39" s="316" t="s">
        <v>445</v>
      </c>
      <c r="L39" s="316" t="s">
        <v>35</v>
      </c>
      <c r="M39" s="316" t="s">
        <v>121</v>
      </c>
      <c r="N39" s="64">
        <v>93.373951000000005</v>
      </c>
      <c r="O39" s="64">
        <v>20.041981</v>
      </c>
      <c r="P39" s="316"/>
      <c r="Q39" s="704">
        <v>40</v>
      </c>
      <c r="R39" s="703">
        <v>204</v>
      </c>
      <c r="S39" s="715">
        <v>4.8292682926829267</v>
      </c>
      <c r="T39" s="540" t="s">
        <v>326</v>
      </c>
      <c r="U39" s="540"/>
      <c r="V39" s="540" t="s">
        <v>929</v>
      </c>
      <c r="W39" s="318"/>
      <c r="X39" s="316"/>
      <c r="Y39" s="316" t="s">
        <v>7</v>
      </c>
      <c r="Z39" s="316" t="s">
        <v>710</v>
      </c>
      <c r="AA39" s="316" t="str">
        <f>CONCATENATE(Camp_List[[#This Row],[Ethnicity]],"-",Camp_List[[#This Row],[Religion]])</f>
        <v>Rakhine-Buddhist</v>
      </c>
      <c r="AB39" s="316" t="s">
        <v>470</v>
      </c>
      <c r="AC39" s="549"/>
      <c r="AD39" s="605"/>
      <c r="AE39" s="316" t="s">
        <v>829</v>
      </c>
      <c r="AF39" s="316" t="s">
        <v>830</v>
      </c>
      <c r="AG39" s="254">
        <v>42766</v>
      </c>
      <c r="AH39" s="316" t="s">
        <v>946</v>
      </c>
      <c r="AI39" s="64" t="str">
        <f>IFERROR(VLOOKUP(Camp_List[[#This Row],[Responsible Agency]],Organization_t[],3,0),"")</f>
        <v/>
      </c>
      <c r="AJ39" s="480">
        <f ca="1">IF((SUMIFS(Data_Shelter_t[Coverage],Data_Shelter_t[Pcode],Camp_List[[#This Row],[P_Code]]))&gt;1,1,SUMIFS(Data_Shelter_t[Coverage],Data_Shelter_t[Pcode],Camp_List[[#This Row],[P_Code]]))</f>
        <v>1</v>
      </c>
      <c r="BL39" s="16"/>
      <c r="BM39" s="16"/>
      <c r="BP39" s="58"/>
      <c r="BQ39" s="58"/>
    </row>
    <row r="40" spans="1:69" ht="17.25" customHeight="1" x14ac:dyDescent="0.25">
      <c r="A40" s="599" t="s">
        <v>944</v>
      </c>
      <c r="B40" s="316" t="s">
        <v>7</v>
      </c>
      <c r="C40" s="316" t="s">
        <v>334</v>
      </c>
      <c r="D40" s="316" t="s">
        <v>18</v>
      </c>
      <c r="E40" s="316" t="s">
        <v>573</v>
      </c>
      <c r="F40" s="316" t="s">
        <v>18</v>
      </c>
      <c r="G40" s="316" t="s">
        <v>428</v>
      </c>
      <c r="H40" s="316" t="s">
        <v>963</v>
      </c>
      <c r="I40" s="316" t="s">
        <v>472</v>
      </c>
      <c r="J40" s="316" t="s">
        <v>963</v>
      </c>
      <c r="K40" s="316" t="s">
        <v>964</v>
      </c>
      <c r="L40" s="316" t="s">
        <v>101</v>
      </c>
      <c r="M40" s="316" t="s">
        <v>187</v>
      </c>
      <c r="N40" s="64">
        <v>92.362196999999995</v>
      </c>
      <c r="O40" s="64">
        <v>20.824777999999998</v>
      </c>
      <c r="P40" s="319"/>
      <c r="Q40" s="704">
        <v>17</v>
      </c>
      <c r="R40" s="703">
        <v>109</v>
      </c>
      <c r="S40" s="715">
        <v>6.166666666666667</v>
      </c>
      <c r="T40" s="540" t="s">
        <v>326</v>
      </c>
      <c r="U40" s="540" t="s">
        <v>707</v>
      </c>
      <c r="V40" s="540"/>
      <c r="W40" s="316"/>
      <c r="X40" s="316"/>
      <c r="Y40" s="316"/>
      <c r="Z40" s="316" t="s">
        <v>608</v>
      </c>
      <c r="AA40" s="316" t="str">
        <f>CONCATENATE(Camp_List[[#This Row],[Ethnicity]],"-",Camp_List[[#This Row],[Religion]])</f>
        <v>-Muslim</v>
      </c>
      <c r="AB40" s="253" t="s">
        <v>470</v>
      </c>
      <c r="AC40" s="316"/>
      <c r="AD40" s="601" t="s">
        <v>270</v>
      </c>
      <c r="AE40" s="316" t="s">
        <v>462</v>
      </c>
      <c r="AF40" s="316" t="s">
        <v>477</v>
      </c>
      <c r="AG40" s="254">
        <v>43190</v>
      </c>
      <c r="AH40" s="600" t="s">
        <v>954</v>
      </c>
      <c r="AI40" s="64" t="str">
        <f>IFERROR(VLOOKUP(Camp_List[[#This Row],[Responsible Agency]],Organization_t[],3,0),"")</f>
        <v>Richard Tracey, CCCM/NFI/Shelter Cluster Coordinator, tracey@unhcr.org,09448027896</v>
      </c>
      <c r="AJ40" s="480">
        <f>IF((SUMIFS(Data_Shelter_t[Coverage],Data_Shelter_t[Pcode],Camp_List[[#This Row],[P_Code]]))&gt;1,1,SUMIFS(Data_Shelter_t[Coverage],Data_Shelter_t[Pcode],Camp_List[[#This Row],[P_Code]]))</f>
        <v>0</v>
      </c>
      <c r="BL40" s="16"/>
      <c r="BM40" s="16"/>
      <c r="BP40" s="58"/>
      <c r="BQ40" s="58"/>
    </row>
    <row r="41" spans="1:69" ht="17.25" customHeight="1" x14ac:dyDescent="0.25">
      <c r="A41" s="533" t="s">
        <v>944</v>
      </c>
      <c r="B41" s="316" t="s">
        <v>7</v>
      </c>
      <c r="C41" s="316" t="s">
        <v>334</v>
      </c>
      <c r="D41" s="316" t="s">
        <v>17</v>
      </c>
      <c r="E41" s="316" t="s">
        <v>559</v>
      </c>
      <c r="F41" s="316" t="s">
        <v>14</v>
      </c>
      <c r="G41" s="316" t="s">
        <v>364</v>
      </c>
      <c r="H41" s="316" t="s">
        <v>371</v>
      </c>
      <c r="I41" s="316" t="s">
        <v>370</v>
      </c>
      <c r="J41" s="316" t="s">
        <v>371</v>
      </c>
      <c r="K41" s="316">
        <v>196946</v>
      </c>
      <c r="L41" s="316" t="s">
        <v>46</v>
      </c>
      <c r="M41" s="316" t="s">
        <v>132</v>
      </c>
      <c r="N41" s="64">
        <v>92.961841000000007</v>
      </c>
      <c r="O41" s="64">
        <v>20.720213000000001</v>
      </c>
      <c r="P41" s="316"/>
      <c r="Q41" s="704">
        <v>100</v>
      </c>
      <c r="R41" s="703">
        <v>559</v>
      </c>
      <c r="S41" s="715">
        <v>6.0760869565217392</v>
      </c>
      <c r="T41" s="540" t="s">
        <v>326</v>
      </c>
      <c r="U41" s="540"/>
      <c r="V41" s="630" t="s">
        <v>929</v>
      </c>
      <c r="W41" s="540" t="s">
        <v>813</v>
      </c>
      <c r="X41" s="316"/>
      <c r="Y41" s="316"/>
      <c r="Z41" s="316" t="s">
        <v>608</v>
      </c>
      <c r="AA41" s="541" t="str">
        <f>CONCATENATE(Camp_List[[#This Row],[Ethnicity]],"-",Camp_List[[#This Row],[Religion]])</f>
        <v>-Muslim</v>
      </c>
      <c r="AB41" s="316" t="s">
        <v>952</v>
      </c>
      <c r="AC41" s="316"/>
      <c r="AD41" s="604"/>
      <c r="AE41" s="316" t="s">
        <v>462</v>
      </c>
      <c r="AF41" s="316" t="s">
        <v>869</v>
      </c>
      <c r="AG41" s="254">
        <v>42766</v>
      </c>
      <c r="AH41" s="545" t="s">
        <v>931</v>
      </c>
      <c r="AI41" s="541" t="str">
        <f>IFERROR(VLOOKUP(Camp_List[[#This Row],[Responsible Agency]],Organization_t[],3,0),"")</f>
        <v/>
      </c>
      <c r="AJ41" s="548">
        <f ca="1">IF((SUMIFS(Data_Shelter_t[Coverage],Data_Shelter_t[Pcode],Camp_List[[#This Row],[P_Code]]))&gt;1,1,SUMIFS(Data_Shelter_t[Coverage],Data_Shelter_t[Pcode],Camp_List[[#This Row],[P_Code]]))</f>
        <v>1</v>
      </c>
      <c r="BL41" s="16"/>
      <c r="BM41" s="16"/>
      <c r="BP41" s="58"/>
      <c r="BQ41" s="58"/>
    </row>
    <row r="42" spans="1:69" ht="17.25" customHeight="1" x14ac:dyDescent="0.25">
      <c r="A42" s="533" t="s">
        <v>944</v>
      </c>
      <c r="B42" s="316" t="s">
        <v>7</v>
      </c>
      <c r="C42" s="316" t="s">
        <v>334</v>
      </c>
      <c r="D42" s="316" t="s">
        <v>17</v>
      </c>
      <c r="E42" s="316" t="s">
        <v>559</v>
      </c>
      <c r="F42" s="316" t="s">
        <v>14</v>
      </c>
      <c r="G42" s="316" t="s">
        <v>364</v>
      </c>
      <c r="H42" s="316" t="s">
        <v>377</v>
      </c>
      <c r="I42" s="316" t="s">
        <v>376</v>
      </c>
      <c r="J42" s="316" t="s">
        <v>44</v>
      </c>
      <c r="K42" s="316">
        <v>196786</v>
      </c>
      <c r="L42" s="316" t="s">
        <v>44</v>
      </c>
      <c r="M42" s="316" t="s">
        <v>130</v>
      </c>
      <c r="N42" s="64">
        <v>93.003204999999994</v>
      </c>
      <c r="O42" s="64">
        <v>20.921424999999999</v>
      </c>
      <c r="P42" s="316"/>
      <c r="Q42" s="704">
        <v>24</v>
      </c>
      <c r="R42" s="703">
        <v>140</v>
      </c>
      <c r="S42" s="715">
        <v>6.0869565217391308</v>
      </c>
      <c r="T42" s="540" t="s">
        <v>326</v>
      </c>
      <c r="U42" s="540"/>
      <c r="V42" s="630" t="s">
        <v>929</v>
      </c>
      <c r="W42" s="540" t="s">
        <v>813</v>
      </c>
      <c r="X42" s="316"/>
      <c r="Y42" s="316"/>
      <c r="Z42" s="316" t="s">
        <v>608</v>
      </c>
      <c r="AA42" s="541" t="str">
        <f>CONCATENATE(Camp_List[[#This Row],[Ethnicity]],"-",Camp_List[[#This Row],[Religion]])</f>
        <v>-Muslim</v>
      </c>
      <c r="AB42" s="316" t="s">
        <v>952</v>
      </c>
      <c r="AC42" s="316"/>
      <c r="AD42" s="604"/>
      <c r="AE42" s="316" t="s">
        <v>462</v>
      </c>
      <c r="AF42" s="316" t="s">
        <v>477</v>
      </c>
      <c r="AG42" s="254">
        <v>42766</v>
      </c>
      <c r="AH42" s="545" t="s">
        <v>931</v>
      </c>
      <c r="AI42" s="541" t="str">
        <f>IFERROR(VLOOKUP(Camp_List[[#This Row],[Responsible Agency]],Organization_t[],3,0),"")</f>
        <v/>
      </c>
      <c r="AJ42" s="548">
        <f ca="1">IF((SUMIFS(Data_Shelter_t[Coverage],Data_Shelter_t[Pcode],Camp_List[[#This Row],[P_Code]]))&gt;1,1,SUMIFS(Data_Shelter_t[Coverage],Data_Shelter_t[Pcode],Camp_List[[#This Row],[P_Code]]))</f>
        <v>1</v>
      </c>
      <c r="BL42" s="16"/>
      <c r="BM42" s="16"/>
      <c r="BP42" s="58"/>
      <c r="BQ42" s="58"/>
    </row>
    <row r="43" spans="1:69" ht="17.25" customHeight="1" x14ac:dyDescent="0.25">
      <c r="A43" s="533" t="s">
        <v>944</v>
      </c>
      <c r="B43" s="316" t="s">
        <v>7</v>
      </c>
      <c r="C43" s="316" t="s">
        <v>334</v>
      </c>
      <c r="D43" s="316" t="s">
        <v>17</v>
      </c>
      <c r="E43" s="316" t="s">
        <v>559</v>
      </c>
      <c r="F43" s="316" t="s">
        <v>14</v>
      </c>
      <c r="G43" s="316" t="s">
        <v>364</v>
      </c>
      <c r="H43" s="316" t="s">
        <v>47</v>
      </c>
      <c r="I43" s="316" t="s">
        <v>380</v>
      </c>
      <c r="J43" s="316" t="s">
        <v>1161</v>
      </c>
      <c r="K43" s="316">
        <v>196842</v>
      </c>
      <c r="L43" s="316" t="s">
        <v>47</v>
      </c>
      <c r="M43" s="316" t="s">
        <v>133</v>
      </c>
      <c r="N43" s="64">
        <v>93.014349999999993</v>
      </c>
      <c r="O43" s="64">
        <v>20.896740000000001</v>
      </c>
      <c r="P43" s="316"/>
      <c r="Q43" s="704">
        <v>14</v>
      </c>
      <c r="R43" s="703">
        <v>84</v>
      </c>
      <c r="S43" s="715">
        <v>6</v>
      </c>
      <c r="T43" s="540" t="s">
        <v>326</v>
      </c>
      <c r="U43" s="540"/>
      <c r="V43" s="630" t="s">
        <v>929</v>
      </c>
      <c r="W43" s="540" t="s">
        <v>813</v>
      </c>
      <c r="X43" s="316"/>
      <c r="Y43" s="316"/>
      <c r="Z43" s="316" t="s">
        <v>608</v>
      </c>
      <c r="AA43" s="541" t="str">
        <f>CONCATENATE(Camp_List[[#This Row],[Ethnicity]],"-",Camp_List[[#This Row],[Religion]])</f>
        <v>-Muslim</v>
      </c>
      <c r="AB43" s="316" t="s">
        <v>952</v>
      </c>
      <c r="AC43" s="316"/>
      <c r="AD43" s="604"/>
      <c r="AE43" s="316" t="s">
        <v>462</v>
      </c>
      <c r="AF43" s="316" t="s">
        <v>477</v>
      </c>
      <c r="AG43" s="254">
        <v>42766</v>
      </c>
      <c r="AH43" s="545" t="s">
        <v>931</v>
      </c>
      <c r="AI43" s="541" t="str">
        <f>IFERROR(VLOOKUP(Camp_List[[#This Row],[Responsible Agency]],Organization_t[],3,0),"")</f>
        <v/>
      </c>
      <c r="AJ43" s="548">
        <f ca="1">IF((SUMIFS(Data_Shelter_t[Coverage],Data_Shelter_t[Pcode],Camp_List[[#This Row],[P_Code]]))&gt;1,1,SUMIFS(Data_Shelter_t[Coverage],Data_Shelter_t[Pcode],Camp_List[[#This Row],[P_Code]]))</f>
        <v>1</v>
      </c>
      <c r="BL43" s="16"/>
      <c r="BM43" s="16"/>
      <c r="BP43" s="58"/>
      <c r="BQ43" s="58"/>
    </row>
    <row r="44" spans="1:69" ht="17.25" customHeight="1" x14ac:dyDescent="0.25">
      <c r="A44" s="533" t="s">
        <v>944</v>
      </c>
      <c r="B44" s="316" t="s">
        <v>7</v>
      </c>
      <c r="C44" s="316" t="s">
        <v>334</v>
      </c>
      <c r="D44" s="316" t="s">
        <v>17</v>
      </c>
      <c r="E44" s="316" t="s">
        <v>559</v>
      </c>
      <c r="F44" s="316" t="s">
        <v>14</v>
      </c>
      <c r="G44" s="316" t="s">
        <v>364</v>
      </c>
      <c r="H44" s="316" t="s">
        <v>49</v>
      </c>
      <c r="I44" s="316" t="s">
        <v>369</v>
      </c>
      <c r="J44" s="316" t="s">
        <v>1166</v>
      </c>
      <c r="K44" s="316">
        <v>196972</v>
      </c>
      <c r="L44" s="316" t="s">
        <v>49</v>
      </c>
      <c r="M44" s="316" t="s">
        <v>135</v>
      </c>
      <c r="N44" s="64">
        <v>93.014089999999996</v>
      </c>
      <c r="O44" s="64">
        <v>20.713259999999998</v>
      </c>
      <c r="P44" s="316"/>
      <c r="Q44" s="704">
        <v>116</v>
      </c>
      <c r="R44" s="703">
        <v>802</v>
      </c>
      <c r="S44" s="715">
        <v>6.8879310344827589</v>
      </c>
      <c r="T44" s="540" t="s">
        <v>326</v>
      </c>
      <c r="U44" s="540"/>
      <c r="V44" s="630" t="s">
        <v>929</v>
      </c>
      <c r="W44" s="540" t="s">
        <v>813</v>
      </c>
      <c r="X44" s="316"/>
      <c r="Y44" s="316"/>
      <c r="Z44" s="316" t="s">
        <v>608</v>
      </c>
      <c r="AA44" s="541" t="str">
        <f>CONCATENATE(Camp_List[[#This Row],[Ethnicity]],"-",Camp_List[[#This Row],[Religion]])</f>
        <v>-Muslim</v>
      </c>
      <c r="AB44" s="316" t="s">
        <v>952</v>
      </c>
      <c r="AC44" s="316"/>
      <c r="AD44" s="604"/>
      <c r="AE44" s="316" t="s">
        <v>462</v>
      </c>
      <c r="AF44" s="316" t="s">
        <v>869</v>
      </c>
      <c r="AG44" s="254">
        <v>42766</v>
      </c>
      <c r="AH44" s="545" t="s">
        <v>931</v>
      </c>
      <c r="AI44" s="541" t="str">
        <f>IFERROR(VLOOKUP(Camp_List[[#This Row],[Responsible Agency]],Organization_t[],3,0),"")</f>
        <v/>
      </c>
      <c r="AJ44" s="548">
        <f ca="1">IF((SUMIFS(Data_Shelter_t[Coverage],Data_Shelter_t[Pcode],Camp_List[[#This Row],[P_Code]]))&gt;1,1,SUMIFS(Data_Shelter_t[Coverage],Data_Shelter_t[Pcode],Camp_List[[#This Row],[P_Code]]))</f>
        <v>1</v>
      </c>
      <c r="BL44" s="16"/>
      <c r="BM44" s="16"/>
      <c r="BP44" s="58"/>
      <c r="BQ44" s="58"/>
    </row>
    <row r="45" spans="1:69" ht="17.25" customHeight="1" x14ac:dyDescent="0.25">
      <c r="A45" s="533" t="s">
        <v>944</v>
      </c>
      <c r="B45" s="316" t="s">
        <v>7</v>
      </c>
      <c r="C45" s="316" t="s">
        <v>334</v>
      </c>
      <c r="D45" s="316" t="s">
        <v>17</v>
      </c>
      <c r="E45" s="316" t="s">
        <v>559</v>
      </c>
      <c r="F45" s="316" t="s">
        <v>14</v>
      </c>
      <c r="G45" s="316" t="s">
        <v>364</v>
      </c>
      <c r="H45" s="316" t="s">
        <v>366</v>
      </c>
      <c r="I45" s="316" t="s">
        <v>365</v>
      </c>
      <c r="J45" s="316" t="s">
        <v>48</v>
      </c>
      <c r="K45" s="316">
        <v>196945</v>
      </c>
      <c r="L45" s="316" t="s">
        <v>48</v>
      </c>
      <c r="M45" s="316" t="s">
        <v>134</v>
      </c>
      <c r="N45" s="64">
        <v>93.009900000000002</v>
      </c>
      <c r="O45" s="64">
        <v>20.696819999999999</v>
      </c>
      <c r="P45" s="316"/>
      <c r="Q45" s="704">
        <v>236</v>
      </c>
      <c r="R45" s="703">
        <v>1524</v>
      </c>
      <c r="S45" s="715">
        <v>6.4576271186440675</v>
      </c>
      <c r="T45" s="540" t="s">
        <v>326</v>
      </c>
      <c r="U45" s="540"/>
      <c r="V45" s="630" t="s">
        <v>929</v>
      </c>
      <c r="W45" s="540" t="s">
        <v>813</v>
      </c>
      <c r="X45" s="316"/>
      <c r="Y45" s="316"/>
      <c r="Z45" s="316" t="s">
        <v>608</v>
      </c>
      <c r="AA45" s="541" t="str">
        <f>CONCATENATE(Camp_List[[#This Row],[Ethnicity]],"-",Camp_List[[#This Row],[Religion]])</f>
        <v>-Muslim</v>
      </c>
      <c r="AB45" s="316" t="s">
        <v>952</v>
      </c>
      <c r="AC45" s="316"/>
      <c r="AD45" s="604"/>
      <c r="AE45" s="316" t="s">
        <v>462</v>
      </c>
      <c r="AF45" s="316" t="s">
        <v>869</v>
      </c>
      <c r="AG45" s="254">
        <v>42766</v>
      </c>
      <c r="AH45" s="545" t="s">
        <v>931</v>
      </c>
      <c r="AI45" s="541" t="str">
        <f>IFERROR(VLOOKUP(Camp_List[[#This Row],[Responsible Agency]],Organization_t[],3,0),"")</f>
        <v/>
      </c>
      <c r="AJ45" s="548">
        <f ca="1">IF((SUMIFS(Data_Shelter_t[Coverage],Data_Shelter_t[Pcode],Camp_List[[#This Row],[P_Code]]))&gt;1,1,SUMIFS(Data_Shelter_t[Coverage],Data_Shelter_t[Pcode],Camp_List[[#This Row],[P_Code]]))</f>
        <v>1</v>
      </c>
      <c r="BL45" s="16"/>
      <c r="BM45" s="16"/>
      <c r="BP45" s="58"/>
      <c r="BQ45" s="58"/>
    </row>
    <row r="46" spans="1:69" ht="17.25" customHeight="1" x14ac:dyDescent="0.25">
      <c r="A46" s="533" t="s">
        <v>944</v>
      </c>
      <c r="B46" s="316" t="s">
        <v>7</v>
      </c>
      <c r="C46" s="316" t="s">
        <v>334</v>
      </c>
      <c r="D46" s="316" t="s">
        <v>17</v>
      </c>
      <c r="E46" s="316" t="s">
        <v>559</v>
      </c>
      <c r="F46" s="316" t="s">
        <v>14</v>
      </c>
      <c r="G46" s="316" t="s">
        <v>364</v>
      </c>
      <c r="H46" s="316" t="s">
        <v>379</v>
      </c>
      <c r="I46" s="316" t="s">
        <v>378</v>
      </c>
      <c r="J46" s="316" t="s">
        <v>443</v>
      </c>
      <c r="K46" s="316">
        <v>196873</v>
      </c>
      <c r="L46" s="316" t="s">
        <v>42</v>
      </c>
      <c r="M46" s="316" t="s">
        <v>128</v>
      </c>
      <c r="N46" s="64">
        <v>92.982675999999998</v>
      </c>
      <c r="O46" s="64">
        <v>20.805734000000001</v>
      </c>
      <c r="P46" s="316"/>
      <c r="Q46" s="704">
        <v>18</v>
      </c>
      <c r="R46" s="703">
        <v>157</v>
      </c>
      <c r="S46" s="715">
        <v>8.7222222222222214</v>
      </c>
      <c r="T46" s="540" t="s">
        <v>326</v>
      </c>
      <c r="U46" s="540"/>
      <c r="V46" s="630" t="s">
        <v>929</v>
      </c>
      <c r="W46" s="540" t="s">
        <v>813</v>
      </c>
      <c r="X46" s="316"/>
      <c r="Y46" s="316"/>
      <c r="Z46" s="316" t="s">
        <v>608</v>
      </c>
      <c r="AA46" s="541" t="str">
        <f>CONCATENATE(Camp_List[[#This Row],[Ethnicity]],"-",Camp_List[[#This Row],[Religion]])</f>
        <v>-Muslim</v>
      </c>
      <c r="AB46" s="316" t="s">
        <v>952</v>
      </c>
      <c r="AC46" s="316"/>
      <c r="AD46" s="604"/>
      <c r="AE46" s="316" t="s">
        <v>462</v>
      </c>
      <c r="AF46" s="316" t="s">
        <v>477</v>
      </c>
      <c r="AG46" s="254">
        <v>42766</v>
      </c>
      <c r="AH46" s="545" t="s">
        <v>931</v>
      </c>
      <c r="AI46" s="541" t="str">
        <f>IFERROR(VLOOKUP(Camp_List[[#This Row],[Responsible Agency]],Organization_t[],3,0),"")</f>
        <v/>
      </c>
      <c r="AJ46" s="548">
        <f ca="1">IF((SUMIFS(Data_Shelter_t[Coverage],Data_Shelter_t[Pcode],Camp_List[[#This Row],[P_Code]]))&gt;1,1,SUMIFS(Data_Shelter_t[Coverage],Data_Shelter_t[Pcode],Camp_List[[#This Row],[P_Code]]))</f>
        <v>1</v>
      </c>
      <c r="BL46" s="16"/>
      <c r="BM46" s="16"/>
      <c r="BP46" s="58"/>
      <c r="BQ46" s="58"/>
    </row>
    <row r="47" spans="1:69" ht="17.25" customHeight="1" x14ac:dyDescent="0.25">
      <c r="A47" s="533" t="s">
        <v>944</v>
      </c>
      <c r="B47" s="316" t="s">
        <v>7</v>
      </c>
      <c r="C47" s="316" t="s">
        <v>334</v>
      </c>
      <c r="D47" s="316" t="s">
        <v>17</v>
      </c>
      <c r="E47" s="316" t="s">
        <v>559</v>
      </c>
      <c r="F47" s="316" t="s">
        <v>14</v>
      </c>
      <c r="G47" s="316" t="s">
        <v>364</v>
      </c>
      <c r="H47" s="316" t="s">
        <v>373</v>
      </c>
      <c r="I47" s="316" t="s">
        <v>372</v>
      </c>
      <c r="J47" s="316" t="s">
        <v>1162</v>
      </c>
      <c r="K47" s="316">
        <v>196868</v>
      </c>
      <c r="L47" s="316" t="s">
        <v>51</v>
      </c>
      <c r="M47" s="316" t="s">
        <v>137</v>
      </c>
      <c r="N47" s="64">
        <v>92.987399999999994</v>
      </c>
      <c r="O47" s="64">
        <v>20.78332</v>
      </c>
      <c r="P47" s="316"/>
      <c r="Q47" s="704">
        <v>144</v>
      </c>
      <c r="R47" s="703">
        <v>1006</v>
      </c>
      <c r="S47" s="715">
        <v>7.1388888888888893</v>
      </c>
      <c r="T47" s="540" t="s">
        <v>326</v>
      </c>
      <c r="U47" s="540"/>
      <c r="V47" s="630" t="s">
        <v>929</v>
      </c>
      <c r="W47" s="540" t="s">
        <v>813</v>
      </c>
      <c r="X47" s="316"/>
      <c r="Y47" s="316"/>
      <c r="Z47" s="316" t="s">
        <v>608</v>
      </c>
      <c r="AA47" s="541" t="str">
        <f>CONCATENATE(Camp_List[[#This Row],[Ethnicity]],"-",Camp_List[[#This Row],[Religion]])</f>
        <v>-Muslim</v>
      </c>
      <c r="AB47" s="316" t="s">
        <v>952</v>
      </c>
      <c r="AC47" s="316"/>
      <c r="AD47" s="604"/>
      <c r="AE47" s="316" t="s">
        <v>462</v>
      </c>
      <c r="AF47" s="316" t="s">
        <v>869</v>
      </c>
      <c r="AG47" s="254">
        <v>42766</v>
      </c>
      <c r="AH47" s="545" t="s">
        <v>931</v>
      </c>
      <c r="AI47" s="541" t="str">
        <f>IFERROR(VLOOKUP(Camp_List[[#This Row],[Responsible Agency]],Organization_t[],3,0),"")</f>
        <v/>
      </c>
      <c r="AJ47" s="548">
        <f ca="1">IF((SUMIFS(Data_Shelter_t[Coverage],Data_Shelter_t[Pcode],Camp_List[[#This Row],[P_Code]]))&gt;1,1,SUMIFS(Data_Shelter_t[Coverage],Data_Shelter_t[Pcode],Camp_List[[#This Row],[P_Code]]))</f>
        <v>1</v>
      </c>
      <c r="BL47" s="16"/>
      <c r="BM47" s="16"/>
      <c r="BP47" s="58"/>
      <c r="BQ47" s="58"/>
    </row>
    <row r="48" spans="1:69" ht="17.25" customHeight="1" x14ac:dyDescent="0.25">
      <c r="A48" s="533" t="s">
        <v>944</v>
      </c>
      <c r="B48" s="316" t="s">
        <v>7</v>
      </c>
      <c r="C48" s="316" t="s">
        <v>334</v>
      </c>
      <c r="D48" s="316" t="s">
        <v>17</v>
      </c>
      <c r="E48" s="316" t="s">
        <v>559</v>
      </c>
      <c r="F48" s="316" t="s">
        <v>14</v>
      </c>
      <c r="G48" s="316" t="s">
        <v>364</v>
      </c>
      <c r="H48" s="316" t="s">
        <v>377</v>
      </c>
      <c r="I48" s="316" t="s">
        <v>376</v>
      </c>
      <c r="J48" s="316" t="s">
        <v>1163</v>
      </c>
      <c r="K48" s="316">
        <v>196789</v>
      </c>
      <c r="L48" s="316" t="s">
        <v>43</v>
      </c>
      <c r="M48" s="316" t="s">
        <v>129</v>
      </c>
      <c r="N48" s="64">
        <v>93.000815000000003</v>
      </c>
      <c r="O48" s="64">
        <v>20.929649000000001</v>
      </c>
      <c r="P48" s="316"/>
      <c r="Q48" s="704">
        <v>63</v>
      </c>
      <c r="R48" s="703">
        <v>414</v>
      </c>
      <c r="S48" s="715">
        <v>6.67741935483871</v>
      </c>
      <c r="T48" s="540" t="s">
        <v>326</v>
      </c>
      <c r="U48" s="540"/>
      <c r="V48" s="630" t="s">
        <v>929</v>
      </c>
      <c r="W48" s="540" t="s">
        <v>813</v>
      </c>
      <c r="X48" s="316"/>
      <c r="Y48" s="316"/>
      <c r="Z48" s="316" t="s">
        <v>608</v>
      </c>
      <c r="AA48" s="541" t="str">
        <f>CONCATENATE(Camp_List[[#This Row],[Ethnicity]],"-",Camp_List[[#This Row],[Religion]])</f>
        <v>-Muslim</v>
      </c>
      <c r="AB48" s="316" t="s">
        <v>952</v>
      </c>
      <c r="AC48" s="316"/>
      <c r="AD48" s="604"/>
      <c r="AE48" s="316" t="s">
        <v>462</v>
      </c>
      <c r="AF48" s="316" t="s">
        <v>477</v>
      </c>
      <c r="AG48" s="254">
        <v>42766</v>
      </c>
      <c r="AH48" s="545" t="s">
        <v>931</v>
      </c>
      <c r="AI48" s="541" t="str">
        <f>IFERROR(VLOOKUP(Camp_List[[#This Row],[Responsible Agency]],Organization_t[],3,0),"")</f>
        <v/>
      </c>
      <c r="AJ48" s="548">
        <f ca="1">IF((SUMIFS(Data_Shelter_t[Coverage],Data_Shelter_t[Pcode],Camp_List[[#This Row],[P_Code]]))&gt;1,1,SUMIFS(Data_Shelter_t[Coverage],Data_Shelter_t[Pcode],Camp_List[[#This Row],[P_Code]]))</f>
        <v>1</v>
      </c>
      <c r="BL48" s="16"/>
      <c r="BM48" s="16"/>
      <c r="BP48" s="58"/>
      <c r="BQ48" s="58"/>
    </row>
    <row r="49" spans="1:69" ht="17.25" customHeight="1" x14ac:dyDescent="0.25">
      <c r="A49" s="533" t="s">
        <v>944</v>
      </c>
      <c r="B49" s="316" t="s">
        <v>7</v>
      </c>
      <c r="C49" s="316" t="s">
        <v>334</v>
      </c>
      <c r="D49" s="316" t="s">
        <v>17</v>
      </c>
      <c r="E49" s="316" t="s">
        <v>559</v>
      </c>
      <c r="F49" s="316" t="s">
        <v>14</v>
      </c>
      <c r="G49" s="316" t="s">
        <v>364</v>
      </c>
      <c r="H49" s="316" t="s">
        <v>371</v>
      </c>
      <c r="I49" s="316" t="s">
        <v>370</v>
      </c>
      <c r="J49" s="316" t="s">
        <v>50</v>
      </c>
      <c r="K49" s="316">
        <v>196952</v>
      </c>
      <c r="L49" s="316" t="s">
        <v>50</v>
      </c>
      <c r="M49" s="316" t="s">
        <v>136</v>
      </c>
      <c r="N49" s="64">
        <v>92.969350000000006</v>
      </c>
      <c r="O49" s="64">
        <v>20.727589999999999</v>
      </c>
      <c r="P49" s="316"/>
      <c r="Q49" s="704">
        <v>112</v>
      </c>
      <c r="R49" s="703">
        <v>738</v>
      </c>
      <c r="S49" s="715">
        <v>6.5625</v>
      </c>
      <c r="T49" s="540" t="s">
        <v>326</v>
      </c>
      <c r="U49" s="540"/>
      <c r="V49" s="630" t="s">
        <v>929</v>
      </c>
      <c r="W49" s="540" t="s">
        <v>813</v>
      </c>
      <c r="X49" s="316"/>
      <c r="Y49" s="316"/>
      <c r="Z49" s="316" t="s">
        <v>608</v>
      </c>
      <c r="AA49" s="541" t="str">
        <f>CONCATENATE(Camp_List[[#This Row],[Ethnicity]],"-",Camp_List[[#This Row],[Religion]])</f>
        <v>-Muslim</v>
      </c>
      <c r="AB49" s="316" t="s">
        <v>952</v>
      </c>
      <c r="AC49" s="316"/>
      <c r="AD49" s="604"/>
      <c r="AE49" s="316" t="s">
        <v>462</v>
      </c>
      <c r="AF49" s="316" t="s">
        <v>869</v>
      </c>
      <c r="AG49" s="254">
        <v>42766</v>
      </c>
      <c r="AH49" s="545" t="s">
        <v>931</v>
      </c>
      <c r="AI49" s="541" t="str">
        <f>IFERROR(VLOOKUP(Camp_List[[#This Row],[Responsible Agency]],Organization_t[],3,0),"")</f>
        <v/>
      </c>
      <c r="AJ49" s="548">
        <f ca="1">IF((SUMIFS(Data_Shelter_t[Coverage],Data_Shelter_t[Pcode],Camp_List[[#This Row],[P_Code]]))&gt;1,1,SUMIFS(Data_Shelter_t[Coverage],Data_Shelter_t[Pcode],Camp_List[[#This Row],[P_Code]]))</f>
        <v>1</v>
      </c>
      <c r="BL49" s="16"/>
      <c r="BM49" s="16"/>
      <c r="BP49" s="58"/>
      <c r="BQ49" s="58"/>
    </row>
    <row r="50" spans="1:69" ht="17.25" customHeight="1" x14ac:dyDescent="0.25">
      <c r="A50" s="533" t="s">
        <v>944</v>
      </c>
      <c r="B50" s="316" t="s">
        <v>7</v>
      </c>
      <c r="C50" s="316" t="s">
        <v>334</v>
      </c>
      <c r="D50" s="316" t="s">
        <v>17</v>
      </c>
      <c r="E50" s="316" t="s">
        <v>559</v>
      </c>
      <c r="F50" s="316" t="s">
        <v>11</v>
      </c>
      <c r="G50" s="316" t="s">
        <v>335</v>
      </c>
      <c r="H50" s="316" t="s">
        <v>511</v>
      </c>
      <c r="I50" s="316" t="s">
        <v>512</v>
      </c>
      <c r="J50" s="316" t="s">
        <v>1167</v>
      </c>
      <c r="K50" s="316">
        <v>197023</v>
      </c>
      <c r="L50" s="316" t="s">
        <v>513</v>
      </c>
      <c r="M50" s="316" t="s">
        <v>514</v>
      </c>
      <c r="N50" s="64">
        <v>93.314695</v>
      </c>
      <c r="O50" s="64">
        <v>20.409645000000001</v>
      </c>
      <c r="P50" s="316"/>
      <c r="Q50" s="704">
        <v>18</v>
      </c>
      <c r="R50" s="703">
        <v>72</v>
      </c>
      <c r="S50" s="715">
        <v>4</v>
      </c>
      <c r="T50" s="540" t="s">
        <v>326</v>
      </c>
      <c r="U50" s="540"/>
      <c r="V50" s="540" t="s">
        <v>929</v>
      </c>
      <c r="W50" s="318" t="s">
        <v>814</v>
      </c>
      <c r="X50" s="316"/>
      <c r="Y50" s="536" t="s">
        <v>7</v>
      </c>
      <c r="Z50" s="536" t="s">
        <v>710</v>
      </c>
      <c r="AA50" s="536" t="str">
        <f>CONCATENATE(Camp_List[[#This Row],[Ethnicity]],"-",Camp_List[[#This Row],[Religion]])</f>
        <v>Rakhine-Buddhist</v>
      </c>
      <c r="AB50" s="536" t="s">
        <v>952</v>
      </c>
      <c r="AC50" s="316"/>
      <c r="AD50" s="601"/>
      <c r="AE50" s="316" t="s">
        <v>462</v>
      </c>
      <c r="AF50" s="316" t="s">
        <v>477</v>
      </c>
      <c r="AG50" s="254">
        <v>42766</v>
      </c>
      <c r="AH50" s="316" t="s">
        <v>931</v>
      </c>
      <c r="AI50" s="64" t="str">
        <f>IFERROR(VLOOKUP(Camp_List[[#This Row],[Responsible Agency]],Organization_t[],3,0),"")</f>
        <v/>
      </c>
      <c r="AJ50" s="480">
        <f ca="1">IF((SUMIFS(Data_Shelter_t[Coverage],Data_Shelter_t[Pcode],Camp_List[[#This Row],[P_Code]]))&gt;1,1,SUMIFS(Data_Shelter_t[Coverage],Data_Shelter_t[Pcode],Camp_List[[#This Row],[P_Code]]))</f>
        <v>1</v>
      </c>
      <c r="BL50" s="16"/>
      <c r="BM50" s="16"/>
      <c r="BP50" s="58"/>
      <c r="BQ50" s="58"/>
    </row>
    <row r="51" spans="1:69" ht="17.25" customHeight="1" x14ac:dyDescent="0.25">
      <c r="A51" s="533" t="s">
        <v>944</v>
      </c>
      <c r="B51" s="316" t="s">
        <v>7</v>
      </c>
      <c r="C51" s="316" t="s">
        <v>334</v>
      </c>
      <c r="D51" s="316" t="s">
        <v>17</v>
      </c>
      <c r="E51" s="316" t="s">
        <v>559</v>
      </c>
      <c r="F51" s="316" t="s">
        <v>11</v>
      </c>
      <c r="G51" s="316" t="s">
        <v>335</v>
      </c>
      <c r="H51" s="316" t="s">
        <v>345</v>
      </c>
      <c r="I51" s="316" t="s">
        <v>344</v>
      </c>
      <c r="J51" s="316" t="s">
        <v>28</v>
      </c>
      <c r="K51" s="316">
        <v>197150</v>
      </c>
      <c r="L51" s="316" t="s">
        <v>28</v>
      </c>
      <c r="M51" s="316" t="s">
        <v>114</v>
      </c>
      <c r="N51" s="64">
        <v>93.299485000000004</v>
      </c>
      <c r="O51" s="64">
        <v>20.480898</v>
      </c>
      <c r="P51" s="316"/>
      <c r="Q51" s="704">
        <v>87</v>
      </c>
      <c r="R51" s="703">
        <v>444</v>
      </c>
      <c r="S51" s="715">
        <v>5.7674418604651159</v>
      </c>
      <c r="T51" s="540" t="s">
        <v>326</v>
      </c>
      <c r="U51" s="540"/>
      <c r="V51" s="630" t="s">
        <v>929</v>
      </c>
      <c r="W51" s="540" t="s">
        <v>813</v>
      </c>
      <c r="X51" s="316"/>
      <c r="Y51" s="316"/>
      <c r="Z51" s="316" t="s">
        <v>608</v>
      </c>
      <c r="AA51" s="541" t="str">
        <f>CONCATENATE(Camp_List[[#This Row],[Ethnicity]],"-",Camp_List[[#This Row],[Religion]])</f>
        <v>-Muslim</v>
      </c>
      <c r="AB51" s="536" t="s">
        <v>952</v>
      </c>
      <c r="AC51" s="316"/>
      <c r="AD51" s="604"/>
      <c r="AE51" s="316" t="s">
        <v>462</v>
      </c>
      <c r="AF51" s="316" t="s">
        <v>869</v>
      </c>
      <c r="AG51" s="254">
        <v>42766</v>
      </c>
      <c r="AH51" s="545" t="s">
        <v>931</v>
      </c>
      <c r="AI51" s="541" t="str">
        <f>IFERROR(VLOOKUP(Camp_List[[#This Row],[Responsible Agency]],Organization_t[],3,0),"")</f>
        <v/>
      </c>
      <c r="AJ51" s="548">
        <f ca="1">IF((SUMIFS(Data_Shelter_t[Coverage],Data_Shelter_t[Pcode],Camp_List[[#This Row],[P_Code]]))&gt;1,1,SUMIFS(Data_Shelter_t[Coverage],Data_Shelter_t[Pcode],Camp_List[[#This Row],[P_Code]]))</f>
        <v>1</v>
      </c>
      <c r="BL51" s="16"/>
      <c r="BM51" s="16"/>
      <c r="BP51" s="58"/>
      <c r="BQ51" s="58"/>
    </row>
    <row r="52" spans="1:69" ht="17.25" customHeight="1" x14ac:dyDescent="0.25">
      <c r="A52" s="533" t="s">
        <v>944</v>
      </c>
      <c r="B52" s="316" t="s">
        <v>7</v>
      </c>
      <c r="C52" s="316" t="s">
        <v>334</v>
      </c>
      <c r="D52" s="316" t="s">
        <v>17</v>
      </c>
      <c r="E52" s="316" t="s">
        <v>559</v>
      </c>
      <c r="F52" s="316" t="s">
        <v>11</v>
      </c>
      <c r="G52" s="316" t="s">
        <v>335</v>
      </c>
      <c r="H52" s="316" t="s">
        <v>341</v>
      </c>
      <c r="I52" s="316" t="s">
        <v>340</v>
      </c>
      <c r="J52" s="316" t="s">
        <v>341</v>
      </c>
      <c r="K52" s="316">
        <v>196984</v>
      </c>
      <c r="L52" s="316" t="s">
        <v>23</v>
      </c>
      <c r="M52" s="316" t="s">
        <v>109</v>
      </c>
      <c r="N52" s="64">
        <v>93.271642</v>
      </c>
      <c r="O52" s="64">
        <v>20.377523</v>
      </c>
      <c r="P52" s="316"/>
      <c r="Q52" s="704">
        <v>19</v>
      </c>
      <c r="R52" s="703">
        <v>142</v>
      </c>
      <c r="S52" s="715">
        <v>7.4736842105263159</v>
      </c>
      <c r="T52" s="540" t="s">
        <v>326</v>
      </c>
      <c r="U52" s="540"/>
      <c r="V52" s="630" t="s">
        <v>929</v>
      </c>
      <c r="W52" s="540" t="s">
        <v>813</v>
      </c>
      <c r="X52" s="316"/>
      <c r="Y52" s="316"/>
      <c r="Z52" s="316" t="s">
        <v>608</v>
      </c>
      <c r="AA52" s="541" t="str">
        <f>CONCATENATE(Camp_List[[#This Row],[Ethnicity]],"-",Camp_List[[#This Row],[Religion]])</f>
        <v>-Muslim</v>
      </c>
      <c r="AB52" s="536" t="s">
        <v>952</v>
      </c>
      <c r="AC52" s="316"/>
      <c r="AD52" s="604"/>
      <c r="AE52" s="316" t="s">
        <v>462</v>
      </c>
      <c r="AF52" s="316" t="s">
        <v>477</v>
      </c>
      <c r="AG52" s="254">
        <v>42766</v>
      </c>
      <c r="AH52" s="545" t="s">
        <v>931</v>
      </c>
      <c r="AI52" s="541" t="str">
        <f>IFERROR(VLOOKUP(Camp_List[[#This Row],[Responsible Agency]],Organization_t[],3,0),"")</f>
        <v/>
      </c>
      <c r="AJ52" s="548">
        <f ca="1">IF((SUMIFS(Data_Shelter_t[Coverage],Data_Shelter_t[Pcode],Camp_List[[#This Row],[P_Code]]))&gt;1,1,SUMIFS(Data_Shelter_t[Coverage],Data_Shelter_t[Pcode],Camp_List[[#This Row],[P_Code]]))</f>
        <v>1</v>
      </c>
      <c r="BL52" s="16"/>
      <c r="BM52" s="16"/>
      <c r="BP52" s="58"/>
      <c r="BQ52" s="58"/>
    </row>
    <row r="53" spans="1:69" ht="17.25" customHeight="1" x14ac:dyDescent="0.25">
      <c r="A53" s="533" t="s">
        <v>944</v>
      </c>
      <c r="B53" s="316" t="s">
        <v>7</v>
      </c>
      <c r="C53" s="316" t="s">
        <v>334</v>
      </c>
      <c r="D53" s="316" t="s">
        <v>17</v>
      </c>
      <c r="E53" s="316" t="s">
        <v>559</v>
      </c>
      <c r="F53" s="316" t="s">
        <v>11</v>
      </c>
      <c r="G53" s="316" t="s">
        <v>335</v>
      </c>
      <c r="H53" s="316" t="s">
        <v>339</v>
      </c>
      <c r="I53" s="316" t="s">
        <v>338</v>
      </c>
      <c r="J53" s="316" t="s">
        <v>446</v>
      </c>
      <c r="K53" s="316">
        <v>197025</v>
      </c>
      <c r="L53" s="316" t="s">
        <v>30</v>
      </c>
      <c r="M53" s="316" t="s">
        <v>116</v>
      </c>
      <c r="N53" s="64">
        <v>93.313627999999994</v>
      </c>
      <c r="O53" s="64">
        <v>20.407971</v>
      </c>
      <c r="P53" s="316"/>
      <c r="Q53" s="704">
        <v>228</v>
      </c>
      <c r="R53" s="703">
        <v>1377</v>
      </c>
      <c r="S53" s="715">
        <v>5.8577777777777778</v>
      </c>
      <c r="T53" s="540" t="s">
        <v>326</v>
      </c>
      <c r="U53" s="540"/>
      <c r="V53" s="630" t="s">
        <v>929</v>
      </c>
      <c r="W53" s="540" t="s">
        <v>813</v>
      </c>
      <c r="X53" s="316"/>
      <c r="Y53" s="316"/>
      <c r="Z53" s="316" t="s">
        <v>608</v>
      </c>
      <c r="AA53" s="541" t="str">
        <f>CONCATENATE(Camp_List[[#This Row],[Ethnicity]],"-",Camp_List[[#This Row],[Religion]])</f>
        <v>-Muslim</v>
      </c>
      <c r="AB53" s="536" t="s">
        <v>952</v>
      </c>
      <c r="AC53" s="316"/>
      <c r="AD53" s="604"/>
      <c r="AE53" s="316" t="s">
        <v>462</v>
      </c>
      <c r="AF53" s="316" t="s">
        <v>869</v>
      </c>
      <c r="AG53" s="254">
        <v>42766</v>
      </c>
      <c r="AH53" s="545" t="s">
        <v>931</v>
      </c>
      <c r="AI53" s="541" t="str">
        <f>IFERROR(VLOOKUP(Camp_List[[#This Row],[Responsible Agency]],Organization_t[],3,0),"")</f>
        <v/>
      </c>
      <c r="AJ53" s="548">
        <f ca="1">IF((SUMIFS(Data_Shelter_t[Coverage],Data_Shelter_t[Pcode],Camp_List[[#This Row],[P_Code]]))&gt;1,1,SUMIFS(Data_Shelter_t[Coverage],Data_Shelter_t[Pcode],Camp_List[[#This Row],[P_Code]]))</f>
        <v>0.98245614035087714</v>
      </c>
      <c r="BL53" s="16"/>
      <c r="BM53" s="16"/>
      <c r="BP53" s="58"/>
      <c r="BQ53" s="58"/>
    </row>
    <row r="54" spans="1:69" ht="17.25" customHeight="1" x14ac:dyDescent="0.25">
      <c r="A54" s="533" t="s">
        <v>944</v>
      </c>
      <c r="B54" s="316" t="s">
        <v>7</v>
      </c>
      <c r="C54" s="316" t="s">
        <v>334</v>
      </c>
      <c r="D54" s="316" t="s">
        <v>17</v>
      </c>
      <c r="E54" s="316" t="s">
        <v>559</v>
      </c>
      <c r="F54" s="316" t="s">
        <v>11</v>
      </c>
      <c r="G54" s="316" t="s">
        <v>335</v>
      </c>
      <c r="H54" s="316" t="s">
        <v>343</v>
      </c>
      <c r="I54" s="316" t="s">
        <v>342</v>
      </c>
      <c r="J54" s="316" t="s">
        <v>25</v>
      </c>
      <c r="K54" s="316">
        <v>196995</v>
      </c>
      <c r="L54" s="316" t="s">
        <v>25</v>
      </c>
      <c r="M54" s="316" t="s">
        <v>111</v>
      </c>
      <c r="N54" s="64">
        <v>93.249669999999995</v>
      </c>
      <c r="O54" s="64">
        <v>20.39902</v>
      </c>
      <c r="P54" s="316"/>
      <c r="Q54" s="704">
        <v>86</v>
      </c>
      <c r="R54" s="703">
        <v>476</v>
      </c>
      <c r="S54" s="715">
        <v>6.058139534883721</v>
      </c>
      <c r="T54" s="540" t="s">
        <v>326</v>
      </c>
      <c r="U54" s="540"/>
      <c r="V54" s="630" t="s">
        <v>929</v>
      </c>
      <c r="W54" s="540" t="s">
        <v>813</v>
      </c>
      <c r="X54" s="316"/>
      <c r="Y54" s="316"/>
      <c r="Z54" s="316" t="s">
        <v>608</v>
      </c>
      <c r="AA54" s="541" t="str">
        <f>CONCATENATE(Camp_List[[#This Row],[Ethnicity]],"-",Camp_List[[#This Row],[Religion]])</f>
        <v>-Muslim</v>
      </c>
      <c r="AB54" s="536" t="s">
        <v>952</v>
      </c>
      <c r="AC54" s="316"/>
      <c r="AD54" s="604"/>
      <c r="AE54" s="316" t="s">
        <v>462</v>
      </c>
      <c r="AF54" s="316" t="s">
        <v>869</v>
      </c>
      <c r="AG54" s="254">
        <v>42766</v>
      </c>
      <c r="AH54" s="545" t="s">
        <v>931</v>
      </c>
      <c r="AI54" s="541" t="str">
        <f>IFERROR(VLOOKUP(Camp_List[[#This Row],[Responsible Agency]],Organization_t[],3,0),"")</f>
        <v/>
      </c>
      <c r="AJ54" s="548">
        <f ca="1">IF((SUMIFS(Data_Shelter_t[Coverage],Data_Shelter_t[Pcode],Camp_List[[#This Row],[P_Code]]))&gt;1,1,SUMIFS(Data_Shelter_t[Coverage],Data_Shelter_t[Pcode],Camp_List[[#This Row],[P_Code]]))</f>
        <v>1</v>
      </c>
      <c r="BL54" s="16"/>
      <c r="BM54" s="16"/>
      <c r="BP54" s="58"/>
      <c r="BQ54" s="58"/>
    </row>
    <row r="55" spans="1:69" ht="17.25" customHeight="1" x14ac:dyDescent="0.25">
      <c r="A55" s="533" t="s">
        <v>944</v>
      </c>
      <c r="B55" s="316" t="s">
        <v>7</v>
      </c>
      <c r="C55" s="316" t="s">
        <v>334</v>
      </c>
      <c r="D55" s="316" t="s">
        <v>17</v>
      </c>
      <c r="E55" s="316" t="s">
        <v>559</v>
      </c>
      <c r="F55" s="316" t="s">
        <v>11</v>
      </c>
      <c r="G55" s="316" t="s">
        <v>335</v>
      </c>
      <c r="H55" s="316" t="s">
        <v>341</v>
      </c>
      <c r="I55" s="316" t="s">
        <v>340</v>
      </c>
      <c r="J55" s="316" t="s">
        <v>447</v>
      </c>
      <c r="K55" s="316">
        <v>196997</v>
      </c>
      <c r="L55" s="316" t="s">
        <v>24</v>
      </c>
      <c r="M55" s="316" t="s">
        <v>110</v>
      </c>
      <c r="N55" s="64">
        <v>93.257272</v>
      </c>
      <c r="O55" s="64">
        <v>20.392137999999999</v>
      </c>
      <c r="P55" s="316"/>
      <c r="Q55" s="704">
        <v>203</v>
      </c>
      <c r="R55" s="703">
        <v>1420</v>
      </c>
      <c r="S55" s="715">
        <v>5.3529411764705879</v>
      </c>
      <c r="T55" s="540" t="s">
        <v>326</v>
      </c>
      <c r="U55" s="540"/>
      <c r="V55" s="630" t="s">
        <v>929</v>
      </c>
      <c r="W55" s="540" t="s">
        <v>813</v>
      </c>
      <c r="X55" s="316"/>
      <c r="Y55" s="316"/>
      <c r="Z55" s="316" t="s">
        <v>608</v>
      </c>
      <c r="AA55" s="541" t="str">
        <f>CONCATENATE(Camp_List[[#This Row],[Ethnicity]],"-",Camp_List[[#This Row],[Religion]])</f>
        <v>-Muslim</v>
      </c>
      <c r="AB55" s="536" t="s">
        <v>952</v>
      </c>
      <c r="AC55" s="316"/>
      <c r="AD55" s="604"/>
      <c r="AE55" s="316" t="s">
        <v>462</v>
      </c>
      <c r="AF55" s="316" t="s">
        <v>869</v>
      </c>
      <c r="AG55" s="254">
        <v>42766</v>
      </c>
      <c r="AH55" s="545" t="s">
        <v>931</v>
      </c>
      <c r="AI55" s="541" t="str">
        <f>IFERROR(VLOOKUP(Camp_List[[#This Row],[Responsible Agency]],Organization_t[],3,0),"")</f>
        <v/>
      </c>
      <c r="AJ55" s="548">
        <f ca="1">IF((SUMIFS(Data_Shelter_t[Coverage],Data_Shelter_t[Pcode],Camp_List[[#This Row],[P_Code]]))&gt;1,1,SUMIFS(Data_Shelter_t[Coverage],Data_Shelter_t[Pcode],Camp_List[[#This Row],[P_Code]]))</f>
        <v>1</v>
      </c>
      <c r="BL55" s="16"/>
      <c r="BM55" s="16"/>
      <c r="BP55" s="58"/>
      <c r="BQ55" s="58"/>
    </row>
    <row r="56" spans="1:69" ht="17.25" customHeight="1" x14ac:dyDescent="0.25">
      <c r="A56" s="533" t="s">
        <v>944</v>
      </c>
      <c r="B56" s="316" t="s">
        <v>7</v>
      </c>
      <c r="C56" s="316" t="s">
        <v>334</v>
      </c>
      <c r="D56" s="316" t="s">
        <v>17</v>
      </c>
      <c r="E56" s="316" t="s">
        <v>559</v>
      </c>
      <c r="F56" s="316" t="s">
        <v>11</v>
      </c>
      <c r="G56" s="316" t="s">
        <v>335</v>
      </c>
      <c r="H56" s="316" t="s">
        <v>337</v>
      </c>
      <c r="I56" s="316" t="s">
        <v>336</v>
      </c>
      <c r="J56" s="316" t="s">
        <v>337</v>
      </c>
      <c r="K56" s="316">
        <v>197062</v>
      </c>
      <c r="L56" s="316" t="s">
        <v>27</v>
      </c>
      <c r="M56" s="316" t="s">
        <v>113</v>
      </c>
      <c r="N56" s="64">
        <v>93.258573999999996</v>
      </c>
      <c r="O56" s="64">
        <v>20.587142</v>
      </c>
      <c r="P56" s="316"/>
      <c r="Q56" s="704">
        <v>275</v>
      </c>
      <c r="R56" s="703">
        <v>1707</v>
      </c>
      <c r="S56" s="715">
        <v>5.9527272727272731</v>
      </c>
      <c r="T56" s="540" t="s">
        <v>326</v>
      </c>
      <c r="U56" s="540"/>
      <c r="V56" s="630" t="s">
        <v>929</v>
      </c>
      <c r="W56" s="540" t="s">
        <v>813</v>
      </c>
      <c r="X56" s="316"/>
      <c r="Y56" s="316"/>
      <c r="Z56" s="316" t="s">
        <v>608</v>
      </c>
      <c r="AA56" s="541" t="str">
        <f>CONCATENATE(Camp_List[[#This Row],[Ethnicity]],"-",Camp_List[[#This Row],[Religion]])</f>
        <v>-Muslim</v>
      </c>
      <c r="AB56" s="536" t="s">
        <v>952</v>
      </c>
      <c r="AC56" s="316"/>
      <c r="AD56" s="604"/>
      <c r="AE56" s="316" t="s">
        <v>462</v>
      </c>
      <c r="AF56" s="316" t="s">
        <v>869</v>
      </c>
      <c r="AG56" s="254">
        <v>42766</v>
      </c>
      <c r="AH56" s="545" t="s">
        <v>931</v>
      </c>
      <c r="AI56" s="541" t="str">
        <f>IFERROR(VLOOKUP(Camp_List[[#This Row],[Responsible Agency]],Organization_t[],3,0),"")</f>
        <v/>
      </c>
      <c r="AJ56" s="548">
        <f ca="1">IF((SUMIFS(Data_Shelter_t[Coverage],Data_Shelter_t[Pcode],Camp_List[[#This Row],[P_Code]]))&gt;1,1,SUMIFS(Data_Shelter_t[Coverage],Data_Shelter_t[Pcode],Camp_List[[#This Row],[P_Code]]))</f>
        <v>1</v>
      </c>
      <c r="BL56" s="16"/>
      <c r="BM56" s="16"/>
      <c r="BP56" s="58"/>
      <c r="BQ56" s="58"/>
    </row>
    <row r="57" spans="1:69" ht="17.25" customHeight="1" x14ac:dyDescent="0.25">
      <c r="A57" s="533" t="s">
        <v>944</v>
      </c>
      <c r="B57" s="316" t="s">
        <v>7</v>
      </c>
      <c r="C57" s="316" t="s">
        <v>334</v>
      </c>
      <c r="D57" s="316" t="s">
        <v>17</v>
      </c>
      <c r="E57" s="316" t="s">
        <v>559</v>
      </c>
      <c r="F57" s="316" t="s">
        <v>941</v>
      </c>
      <c r="G57" s="316" t="s">
        <v>348</v>
      </c>
      <c r="H57" s="316" t="s">
        <v>351</v>
      </c>
      <c r="I57" s="316" t="s">
        <v>352</v>
      </c>
      <c r="J57" s="316" t="s">
        <v>351</v>
      </c>
      <c r="K57" s="316">
        <v>196428</v>
      </c>
      <c r="L57" s="316" t="s">
        <v>31</v>
      </c>
      <c r="M57" s="316" t="s">
        <v>117</v>
      </c>
      <c r="N57" s="64">
        <v>93.245551000000006</v>
      </c>
      <c r="O57" s="64">
        <v>20.576577</v>
      </c>
      <c r="P57" s="316"/>
      <c r="Q57" s="704">
        <v>204</v>
      </c>
      <c r="R57" s="703">
        <v>1265</v>
      </c>
      <c r="S57" s="715">
        <v>5.5245098039215685</v>
      </c>
      <c r="T57" s="540" t="s">
        <v>326</v>
      </c>
      <c r="U57" s="540"/>
      <c r="V57" s="630" t="s">
        <v>929</v>
      </c>
      <c r="W57" s="540" t="s">
        <v>813</v>
      </c>
      <c r="X57" s="316"/>
      <c r="Y57" s="316"/>
      <c r="Z57" s="316" t="s">
        <v>608</v>
      </c>
      <c r="AA57" s="541" t="str">
        <f>CONCATENATE(Camp_List[[#This Row],[Ethnicity]],"-",Camp_List[[#This Row],[Religion]])</f>
        <v>-Muslim</v>
      </c>
      <c r="AB57" s="536" t="s">
        <v>952</v>
      </c>
      <c r="AC57" s="316"/>
      <c r="AD57" s="604"/>
      <c r="AE57" s="316" t="s">
        <v>462</v>
      </c>
      <c r="AF57" s="316" t="s">
        <v>869</v>
      </c>
      <c r="AG57" s="254">
        <v>42766</v>
      </c>
      <c r="AH57" s="545" t="s">
        <v>931</v>
      </c>
      <c r="AI57" s="541" t="str">
        <f>IFERROR(VLOOKUP(Camp_List[[#This Row],[Responsible Agency]],Organization_t[],3,0),"")</f>
        <v/>
      </c>
      <c r="AJ57" s="548">
        <f ca="1">IF((SUMIFS(Data_Shelter_t[Coverage],Data_Shelter_t[Pcode],Camp_List[[#This Row],[P_Code]]))&gt;1,1,SUMIFS(Data_Shelter_t[Coverage],Data_Shelter_t[Pcode],Camp_List[[#This Row],[P_Code]]))</f>
        <v>1</v>
      </c>
      <c r="BL57" s="16"/>
      <c r="BM57" s="16"/>
      <c r="BP57" s="58"/>
      <c r="BQ57" s="58"/>
    </row>
    <row r="58" spans="1:69" ht="17.25" customHeight="1" x14ac:dyDescent="0.25">
      <c r="A58" s="533" t="s">
        <v>944</v>
      </c>
      <c r="B58" s="316" t="s">
        <v>7</v>
      </c>
      <c r="C58" s="316" t="s">
        <v>334</v>
      </c>
      <c r="D58" s="316" t="s">
        <v>17</v>
      </c>
      <c r="E58" s="316" t="s">
        <v>559</v>
      </c>
      <c r="F58" s="316" t="s">
        <v>941</v>
      </c>
      <c r="G58" s="316" t="s">
        <v>348</v>
      </c>
      <c r="H58" s="316" t="s">
        <v>350</v>
      </c>
      <c r="I58" s="316" t="s">
        <v>349</v>
      </c>
      <c r="J58" s="316" t="s">
        <v>350</v>
      </c>
      <c r="K58" s="316">
        <v>196507</v>
      </c>
      <c r="L58" s="316" t="s">
        <v>32</v>
      </c>
      <c r="M58" s="316" t="s">
        <v>118</v>
      </c>
      <c r="N58" s="64">
        <v>93.217039999999997</v>
      </c>
      <c r="O58" s="64">
        <v>20.501757999999999</v>
      </c>
      <c r="P58" s="316"/>
      <c r="Q58" s="704">
        <v>365</v>
      </c>
      <c r="R58" s="703">
        <v>2366</v>
      </c>
      <c r="S58" s="715">
        <v>6.4821917808219176</v>
      </c>
      <c r="T58" s="540" t="s">
        <v>326</v>
      </c>
      <c r="U58" s="540"/>
      <c r="V58" s="630" t="s">
        <v>929</v>
      </c>
      <c r="W58" s="540" t="s">
        <v>813</v>
      </c>
      <c r="X58" s="316"/>
      <c r="Y58" s="316"/>
      <c r="Z58" s="316" t="s">
        <v>608</v>
      </c>
      <c r="AA58" s="541" t="str">
        <f>CONCATENATE(Camp_List[[#This Row],[Ethnicity]],"-",Camp_List[[#This Row],[Religion]])</f>
        <v>-Muslim</v>
      </c>
      <c r="AB58" s="536" t="s">
        <v>952</v>
      </c>
      <c r="AC58" s="316"/>
      <c r="AD58" s="604"/>
      <c r="AE58" s="316" t="s">
        <v>462</v>
      </c>
      <c r="AF58" s="316" t="s">
        <v>869</v>
      </c>
      <c r="AG58" s="254">
        <v>42766</v>
      </c>
      <c r="AH58" s="545" t="s">
        <v>931</v>
      </c>
      <c r="AI58" s="541" t="str">
        <f>IFERROR(VLOOKUP(Camp_List[[#This Row],[Responsible Agency]],Organization_t[],3,0),"")</f>
        <v/>
      </c>
      <c r="AJ58" s="548">
        <f ca="1">IF((SUMIFS(Data_Shelter_t[Coverage],Data_Shelter_t[Pcode],Camp_List[[#This Row],[P_Code]]))&gt;1,1,SUMIFS(Data_Shelter_t[Coverage],Data_Shelter_t[Pcode],Camp_List[[#This Row],[P_Code]]))</f>
        <v>1</v>
      </c>
      <c r="BL58" s="16"/>
      <c r="BM58" s="16"/>
      <c r="BP58" s="58"/>
      <c r="BQ58" s="58"/>
    </row>
    <row r="59" spans="1:69" ht="17.25" customHeight="1" x14ac:dyDescent="0.25">
      <c r="A59" s="533" t="s">
        <v>944</v>
      </c>
      <c r="B59" s="316" t="s">
        <v>7</v>
      </c>
      <c r="C59" s="316" t="s">
        <v>334</v>
      </c>
      <c r="D59" s="316" t="s">
        <v>17</v>
      </c>
      <c r="E59" s="316" t="s">
        <v>559</v>
      </c>
      <c r="F59" s="316" t="s">
        <v>15</v>
      </c>
      <c r="G59" s="316" t="s">
        <v>381</v>
      </c>
      <c r="H59" s="316" t="s">
        <v>54</v>
      </c>
      <c r="I59" s="316" t="s">
        <v>383</v>
      </c>
      <c r="J59" s="316" t="s">
        <v>54</v>
      </c>
      <c r="K59" s="316">
        <v>197763</v>
      </c>
      <c r="L59" s="316" t="s">
        <v>54</v>
      </c>
      <c r="M59" s="316" t="s">
        <v>140</v>
      </c>
      <c r="N59" s="64">
        <v>92.781294000000003</v>
      </c>
      <c r="O59" s="64">
        <v>20.399269</v>
      </c>
      <c r="P59" s="316"/>
      <c r="Q59" s="704">
        <v>32</v>
      </c>
      <c r="R59" s="703">
        <v>157</v>
      </c>
      <c r="S59" s="715">
        <v>5.21875</v>
      </c>
      <c r="T59" s="540" t="s">
        <v>326</v>
      </c>
      <c r="U59" s="540"/>
      <c r="V59" s="630" t="s">
        <v>929</v>
      </c>
      <c r="W59" s="540"/>
      <c r="X59" s="316"/>
      <c r="Y59" s="316"/>
      <c r="Z59" s="316" t="s">
        <v>608</v>
      </c>
      <c r="AA59" s="541" t="str">
        <f>CONCATENATE(Camp_List[[#This Row],[Ethnicity]],"-",Camp_List[[#This Row],[Religion]])</f>
        <v>-Muslim</v>
      </c>
      <c r="AB59" s="598" t="s">
        <v>952</v>
      </c>
      <c r="AC59" s="316"/>
      <c r="AD59" s="604"/>
      <c r="AE59" s="316" t="s">
        <v>462</v>
      </c>
      <c r="AF59" s="316" t="s">
        <v>477</v>
      </c>
      <c r="AG59" s="254">
        <v>42766</v>
      </c>
      <c r="AH59" s="545" t="s">
        <v>931</v>
      </c>
      <c r="AI59" s="541" t="str">
        <f>IFERROR(VLOOKUP(Camp_List[[#This Row],[Responsible Agency]],Organization_t[],3,0),"")</f>
        <v/>
      </c>
      <c r="AJ59" s="548">
        <f ca="1">IF((SUMIFS(Data_Shelter_t[Coverage],Data_Shelter_t[Pcode],Camp_List[[#This Row],[P_Code]]))&gt;1,1,SUMIFS(Data_Shelter_t[Coverage],Data_Shelter_t[Pcode],Camp_List[[#This Row],[P_Code]]))</f>
        <v>1</v>
      </c>
      <c r="BL59" s="16"/>
      <c r="BM59" s="16"/>
      <c r="BP59" s="58"/>
      <c r="BQ59" s="58"/>
    </row>
    <row r="60" spans="1:69" ht="17.25" customHeight="1" x14ac:dyDescent="0.25">
      <c r="A60" s="533" t="s">
        <v>944</v>
      </c>
      <c r="B60" s="316" t="s">
        <v>7</v>
      </c>
      <c r="C60" s="316" t="s">
        <v>334</v>
      </c>
      <c r="D60" s="316" t="s">
        <v>17</v>
      </c>
      <c r="E60" s="316" t="s">
        <v>559</v>
      </c>
      <c r="F60" s="316" t="s">
        <v>15</v>
      </c>
      <c r="G60" s="316" t="s">
        <v>381</v>
      </c>
      <c r="H60" s="316" t="s">
        <v>53</v>
      </c>
      <c r="I60" s="316" t="s">
        <v>384</v>
      </c>
      <c r="J60" s="316" t="s">
        <v>1168</v>
      </c>
      <c r="K60" s="316">
        <v>197780</v>
      </c>
      <c r="L60" s="316" t="s">
        <v>53</v>
      </c>
      <c r="M60" s="316" t="s">
        <v>139</v>
      </c>
      <c r="N60" s="64">
        <v>92.785706000000005</v>
      </c>
      <c r="O60" s="64">
        <v>20.335864000000001</v>
      </c>
      <c r="P60" s="316"/>
      <c r="Q60" s="704">
        <v>56</v>
      </c>
      <c r="R60" s="703">
        <v>332</v>
      </c>
      <c r="S60" s="715">
        <v>6.2857142857142856</v>
      </c>
      <c r="T60" s="540" t="s">
        <v>326</v>
      </c>
      <c r="U60" s="540"/>
      <c r="V60" s="630" t="s">
        <v>929</v>
      </c>
      <c r="W60" s="540"/>
      <c r="X60" s="316"/>
      <c r="Y60" s="316"/>
      <c r="Z60" s="316" t="s">
        <v>608</v>
      </c>
      <c r="AA60" s="541" t="str">
        <f>CONCATENATE(Camp_List[[#This Row],[Ethnicity]],"-",Camp_List[[#This Row],[Religion]])</f>
        <v>-Muslim</v>
      </c>
      <c r="AB60" s="598" t="s">
        <v>952</v>
      </c>
      <c r="AC60" s="316"/>
      <c r="AD60" s="604"/>
      <c r="AE60" s="316" t="s">
        <v>462</v>
      </c>
      <c r="AF60" s="316" t="s">
        <v>477</v>
      </c>
      <c r="AG60" s="254">
        <v>42766</v>
      </c>
      <c r="AH60" s="545" t="s">
        <v>931</v>
      </c>
      <c r="AI60" s="541" t="str">
        <f>IFERROR(VLOOKUP(Camp_List[[#This Row],[Responsible Agency]],Organization_t[],3,0),"")</f>
        <v/>
      </c>
      <c r="AJ60" s="548">
        <f ca="1">IF((SUMIFS(Data_Shelter_t[Coverage],Data_Shelter_t[Pcode],Camp_List[[#This Row],[P_Code]]))&gt;1,1,SUMIFS(Data_Shelter_t[Coverage],Data_Shelter_t[Pcode],Camp_List[[#This Row],[P_Code]]))</f>
        <v>1</v>
      </c>
      <c r="BL60" s="16"/>
      <c r="BM60" s="16"/>
      <c r="BP60" s="58"/>
      <c r="BQ60" s="58"/>
    </row>
    <row r="61" spans="1:69" ht="17.25" hidden="1" customHeight="1" x14ac:dyDescent="0.25">
      <c r="A61" s="316" t="s">
        <v>332</v>
      </c>
      <c r="B61" s="316" t="s">
        <v>7</v>
      </c>
      <c r="C61" s="316" t="s">
        <v>334</v>
      </c>
      <c r="D61" s="316" t="s">
        <v>18</v>
      </c>
      <c r="E61" s="316" t="s">
        <v>573</v>
      </c>
      <c r="F61" s="316" t="s">
        <v>18</v>
      </c>
      <c r="G61" s="316" t="s">
        <v>428</v>
      </c>
      <c r="H61" s="316" t="s">
        <v>431</v>
      </c>
      <c r="I61" s="316" t="s">
        <v>432</v>
      </c>
      <c r="J61" s="316" t="s">
        <v>435</v>
      </c>
      <c r="K61" s="316">
        <v>217897</v>
      </c>
      <c r="L61" s="316" t="s">
        <v>98</v>
      </c>
      <c r="M61" s="316" t="s">
        <v>184</v>
      </c>
      <c r="N61" s="64">
        <v>92.416263999999998</v>
      </c>
      <c r="O61" s="64">
        <v>20.796128</v>
      </c>
      <c r="P61" s="316"/>
      <c r="Q61" s="706"/>
      <c r="R61" s="709"/>
      <c r="S61" s="719">
        <v>0</v>
      </c>
      <c r="T61" s="316" t="s">
        <v>326</v>
      </c>
      <c r="U61" s="316" t="s">
        <v>707</v>
      </c>
      <c r="V61" s="539" t="s">
        <v>20</v>
      </c>
      <c r="W61" s="540"/>
      <c r="X61" s="316"/>
      <c r="Y61" s="316"/>
      <c r="Z61" s="316"/>
      <c r="AA61" s="541" t="str">
        <f>CONCATENATE(Camp_List[[#This Row],[Ethnicity]],"-",Camp_List[[#This Row],[Religion]])</f>
        <v>-</v>
      </c>
      <c r="AB61" s="541"/>
      <c r="AC61" s="316"/>
      <c r="AD61" s="543" t="s">
        <v>724</v>
      </c>
      <c r="AE61" s="316" t="s">
        <v>462</v>
      </c>
      <c r="AF61" s="316" t="s">
        <v>477</v>
      </c>
      <c r="AG61" s="254">
        <v>41520</v>
      </c>
      <c r="AH61" s="545" t="s">
        <v>966</v>
      </c>
      <c r="AI61" s="541">
        <f>IFERROR(VLOOKUP(Camp_List[[#This Row],[Responsible Agency]],Organization_t[],3,0),"")</f>
        <v>0</v>
      </c>
      <c r="AJ61" s="548">
        <f>IF((SUMIFS(Data_Shelter_t[Coverage],Data_Shelter_t[Pcode],Camp_List[[#This Row],[P_Code]]))&gt;1,1,SUMIFS(Data_Shelter_t[Coverage],Data_Shelter_t[Pcode],Camp_List[[#This Row],[P_Code]]))</f>
        <v>0</v>
      </c>
      <c r="BL61" s="16"/>
      <c r="BM61" s="16"/>
      <c r="BP61" s="58"/>
      <c r="BQ61" s="58"/>
    </row>
    <row r="62" spans="1:69" ht="17.25" hidden="1" customHeight="1" x14ac:dyDescent="0.25">
      <c r="A62" s="316" t="s">
        <v>332</v>
      </c>
      <c r="B62" s="316" t="s">
        <v>7</v>
      </c>
      <c r="C62" s="316" t="s">
        <v>563</v>
      </c>
      <c r="D62" s="316" t="s">
        <v>18</v>
      </c>
      <c r="E62" s="316" t="s">
        <v>573</v>
      </c>
      <c r="F62" s="316" t="s">
        <v>18</v>
      </c>
      <c r="G62" s="316" t="s">
        <v>428</v>
      </c>
      <c r="H62" s="316" t="s">
        <v>470</v>
      </c>
      <c r="I62" s="316" t="s">
        <v>472</v>
      </c>
      <c r="J62" s="316"/>
      <c r="K62" s="316"/>
      <c r="L62" s="316" t="s">
        <v>566</v>
      </c>
      <c r="M62" s="316" t="s">
        <v>570</v>
      </c>
      <c r="N62" s="64">
        <v>92.365618999999995</v>
      </c>
      <c r="O62" s="64">
        <v>20.820316999999999</v>
      </c>
      <c r="P62" s="316"/>
      <c r="Q62" s="706"/>
      <c r="R62" s="709"/>
      <c r="S62" s="719">
        <v>0</v>
      </c>
      <c r="T62" s="316" t="s">
        <v>326</v>
      </c>
      <c r="U62" s="316" t="s">
        <v>707</v>
      </c>
      <c r="V62" s="539" t="s">
        <v>20</v>
      </c>
      <c r="W62" s="540"/>
      <c r="X62" s="316"/>
      <c r="Y62" s="316"/>
      <c r="Z62" s="316"/>
      <c r="AA62" s="541" t="str">
        <f>CONCATENATE(Camp_List[[#This Row],[Ethnicity]],"-",Camp_List[[#This Row],[Religion]])</f>
        <v>-</v>
      </c>
      <c r="AB62" s="541"/>
      <c r="AC62" s="316"/>
      <c r="AD62" s="543" t="s">
        <v>724</v>
      </c>
      <c r="AE62" s="316" t="s">
        <v>462</v>
      </c>
      <c r="AF62" s="316" t="s">
        <v>477</v>
      </c>
      <c r="AG62" s="254">
        <v>41548</v>
      </c>
      <c r="AH62" s="545"/>
      <c r="AI62" s="541">
        <f>IFERROR(VLOOKUP(Camp_List[[#This Row],[Responsible Agency]],Organization_t[],3,0),"")</f>
        <v>0</v>
      </c>
      <c r="AJ62" s="548">
        <f>IF((SUMIFS(Data_Shelter_t[Coverage],Data_Shelter_t[Pcode],Camp_List[[#This Row],[P_Code]]))&gt;1,1,SUMIFS(Data_Shelter_t[Coverage],Data_Shelter_t[Pcode],Camp_List[[#This Row],[P_Code]]))</f>
        <v>0</v>
      </c>
      <c r="BL62" s="16"/>
      <c r="BM62" s="16"/>
      <c r="BP62" s="58"/>
      <c r="BQ62" s="58"/>
    </row>
    <row r="63" spans="1:69" ht="17.25" hidden="1" customHeight="1" x14ac:dyDescent="0.25">
      <c r="A63" s="316" t="s">
        <v>332</v>
      </c>
      <c r="B63" s="316" t="s">
        <v>7</v>
      </c>
      <c r="C63" s="316" t="s">
        <v>334</v>
      </c>
      <c r="D63" s="316" t="s">
        <v>18</v>
      </c>
      <c r="E63" s="316" t="s">
        <v>573</v>
      </c>
      <c r="F63" s="316" t="s">
        <v>18</v>
      </c>
      <c r="G63" s="316" t="s">
        <v>428</v>
      </c>
      <c r="H63" s="316" t="s">
        <v>431</v>
      </c>
      <c r="I63" s="316" t="s">
        <v>432</v>
      </c>
      <c r="J63" s="316" t="s">
        <v>434</v>
      </c>
      <c r="K63" s="316">
        <v>217895</v>
      </c>
      <c r="L63" s="316" t="s">
        <v>100</v>
      </c>
      <c r="M63" s="316" t="s">
        <v>186</v>
      </c>
      <c r="N63" s="64">
        <v>92.423364000000007</v>
      </c>
      <c r="O63" s="64">
        <v>20.801544</v>
      </c>
      <c r="P63" s="316"/>
      <c r="Q63" s="706"/>
      <c r="R63" s="709"/>
      <c r="S63" s="719">
        <v>0</v>
      </c>
      <c r="T63" s="316" t="s">
        <v>326</v>
      </c>
      <c r="U63" s="316" t="s">
        <v>707</v>
      </c>
      <c r="V63" s="539" t="s">
        <v>20</v>
      </c>
      <c r="W63" s="540"/>
      <c r="X63" s="316"/>
      <c r="Y63" s="316"/>
      <c r="Z63" s="316"/>
      <c r="AA63" s="541" t="str">
        <f>CONCATENATE(Camp_List[[#This Row],[Ethnicity]],"-",Camp_List[[#This Row],[Religion]])</f>
        <v>-</v>
      </c>
      <c r="AB63" s="541"/>
      <c r="AC63" s="316"/>
      <c r="AD63" s="543" t="s">
        <v>724</v>
      </c>
      <c r="AE63" s="316" t="s">
        <v>462</v>
      </c>
      <c r="AF63" s="316" t="s">
        <v>477</v>
      </c>
      <c r="AG63" s="254">
        <v>41520</v>
      </c>
      <c r="AH63" s="545" t="s">
        <v>967</v>
      </c>
      <c r="AI63" s="541">
        <f>IFERROR(VLOOKUP(Camp_List[[#This Row],[Responsible Agency]],Organization_t[],3,0),"")</f>
        <v>0</v>
      </c>
      <c r="AJ63" s="548">
        <f>IF((SUMIFS(Data_Shelter_t[Coverage],Data_Shelter_t[Pcode],Camp_List[[#This Row],[P_Code]]))&gt;1,1,SUMIFS(Data_Shelter_t[Coverage],Data_Shelter_t[Pcode],Camp_List[[#This Row],[P_Code]]))</f>
        <v>0</v>
      </c>
      <c r="BL63" s="16"/>
      <c r="BM63" s="16"/>
      <c r="BP63" s="58"/>
      <c r="BQ63" s="58"/>
    </row>
    <row r="64" spans="1:69" ht="17.25" hidden="1" customHeight="1" x14ac:dyDescent="0.25">
      <c r="A64" s="316" t="s">
        <v>332</v>
      </c>
      <c r="B64" s="316" t="s">
        <v>7</v>
      </c>
      <c r="C64" s="316" t="s">
        <v>334</v>
      </c>
      <c r="D64" s="316" t="s">
        <v>18</v>
      </c>
      <c r="E64" s="316" t="s">
        <v>573</v>
      </c>
      <c r="F64" s="316" t="s">
        <v>18</v>
      </c>
      <c r="G64" s="316" t="s">
        <v>428</v>
      </c>
      <c r="H64" s="316" t="s">
        <v>436</v>
      </c>
      <c r="I64" s="316" t="s">
        <v>437</v>
      </c>
      <c r="J64" s="316" t="s">
        <v>438</v>
      </c>
      <c r="K64" s="316">
        <v>217898</v>
      </c>
      <c r="L64" s="316" t="s">
        <v>99</v>
      </c>
      <c r="M64" s="316" t="s">
        <v>185</v>
      </c>
      <c r="N64" s="64">
        <v>92.424138999999997</v>
      </c>
      <c r="O64" s="64">
        <v>20.762730999999999</v>
      </c>
      <c r="P64" s="316"/>
      <c r="Q64" s="708"/>
      <c r="R64" s="709"/>
      <c r="S64" s="719">
        <v>0</v>
      </c>
      <c r="T64" s="316" t="s">
        <v>326</v>
      </c>
      <c r="U64" s="316" t="s">
        <v>707</v>
      </c>
      <c r="V64" s="539" t="s">
        <v>20</v>
      </c>
      <c r="W64" s="540"/>
      <c r="X64" s="316"/>
      <c r="Y64" s="316"/>
      <c r="Z64" s="316"/>
      <c r="AA64" s="541" t="str">
        <f>CONCATENATE(Camp_List[[#This Row],[Ethnicity]],"-",Camp_List[[#This Row],[Religion]])</f>
        <v>-</v>
      </c>
      <c r="AB64" s="541"/>
      <c r="AC64" s="316"/>
      <c r="AD64" s="543" t="s">
        <v>724</v>
      </c>
      <c r="AE64" s="316" t="s">
        <v>462</v>
      </c>
      <c r="AF64" s="316" t="s">
        <v>477</v>
      </c>
      <c r="AG64" s="254">
        <v>41520</v>
      </c>
      <c r="AH64" s="545" t="s">
        <v>968</v>
      </c>
      <c r="AI64" s="541">
        <f>IFERROR(VLOOKUP(Camp_List[[#This Row],[Responsible Agency]],Organization_t[],3,0),"")</f>
        <v>0</v>
      </c>
      <c r="AJ64" s="548">
        <f>IF((SUMIFS(Data_Shelter_t[Coverage],Data_Shelter_t[Pcode],Camp_List[[#This Row],[P_Code]]))&gt;1,1,SUMIFS(Data_Shelter_t[Coverage],Data_Shelter_t[Pcode],Camp_List[[#This Row],[P_Code]]))</f>
        <v>0</v>
      </c>
      <c r="BL64" s="16"/>
      <c r="BM64" s="16"/>
      <c r="BP64" s="58"/>
      <c r="BQ64" s="58"/>
    </row>
    <row r="65" spans="1:69" ht="17.25" hidden="1" customHeight="1" x14ac:dyDescent="0.25">
      <c r="A65" s="316" t="s">
        <v>332</v>
      </c>
      <c r="B65" s="316" t="s">
        <v>7</v>
      </c>
      <c r="C65" s="316" t="s">
        <v>334</v>
      </c>
      <c r="D65" s="316" t="s">
        <v>18</v>
      </c>
      <c r="E65" s="316" t="s">
        <v>573</v>
      </c>
      <c r="F65" s="316" t="s">
        <v>18</v>
      </c>
      <c r="G65" s="316" t="s">
        <v>428</v>
      </c>
      <c r="H65" s="316" t="s">
        <v>264</v>
      </c>
      <c r="I65" s="316" t="s">
        <v>264</v>
      </c>
      <c r="J65" s="316" t="s">
        <v>264</v>
      </c>
      <c r="K65" s="316" t="s">
        <v>264</v>
      </c>
      <c r="L65" s="316" t="s">
        <v>97</v>
      </c>
      <c r="M65" s="316" t="s">
        <v>183</v>
      </c>
      <c r="N65" s="64" t="s">
        <v>264</v>
      </c>
      <c r="O65" s="64" t="s">
        <v>264</v>
      </c>
      <c r="P65" s="316"/>
      <c r="Q65" s="706"/>
      <c r="R65" s="709"/>
      <c r="S65" s="719">
        <v>0</v>
      </c>
      <c r="T65" s="316" t="s">
        <v>326</v>
      </c>
      <c r="U65" s="316" t="s">
        <v>707</v>
      </c>
      <c r="V65" s="539" t="s">
        <v>20</v>
      </c>
      <c r="W65" s="540"/>
      <c r="X65" s="316"/>
      <c r="Y65" s="316"/>
      <c r="Z65" s="316"/>
      <c r="AA65" s="541" t="str">
        <f>CONCATENATE(Camp_List[[#This Row],[Ethnicity]],"-",Camp_List[[#This Row],[Religion]])</f>
        <v>-</v>
      </c>
      <c r="AB65" s="541"/>
      <c r="AC65" s="316"/>
      <c r="AD65" s="543" t="s">
        <v>724</v>
      </c>
      <c r="AE65" s="316" t="s">
        <v>462</v>
      </c>
      <c r="AF65" s="316" t="s">
        <v>477</v>
      </c>
      <c r="AG65" s="254">
        <v>41520</v>
      </c>
      <c r="AH65" s="545"/>
      <c r="AI65" s="541">
        <f>IFERROR(VLOOKUP(Camp_List[[#This Row],[Responsible Agency]],Organization_t[],3,0),"")</f>
        <v>0</v>
      </c>
      <c r="AJ65" s="548">
        <f>IF((SUMIFS(Data_Shelter_t[Coverage],Data_Shelter_t[Pcode],Camp_List[[#This Row],[P_Code]]))&gt;1,1,SUMIFS(Data_Shelter_t[Coverage],Data_Shelter_t[Pcode],Camp_List[[#This Row],[P_Code]]))</f>
        <v>0</v>
      </c>
      <c r="BL65" s="16"/>
      <c r="BM65" s="16"/>
      <c r="BP65" s="58"/>
      <c r="BQ65" s="58"/>
    </row>
    <row r="66" spans="1:69" ht="17.25" hidden="1" customHeight="1" x14ac:dyDescent="0.25">
      <c r="A66" s="316" t="s">
        <v>332</v>
      </c>
      <c r="B66" s="316" t="s">
        <v>7</v>
      </c>
      <c r="C66" s="316" t="s">
        <v>334</v>
      </c>
      <c r="D66" s="316" t="s">
        <v>18</v>
      </c>
      <c r="E66" s="316" t="s">
        <v>573</v>
      </c>
      <c r="F66" s="316" t="s">
        <v>18</v>
      </c>
      <c r="G66" s="316" t="s">
        <v>428</v>
      </c>
      <c r="H66" s="316" t="s">
        <v>264</v>
      </c>
      <c r="I66" s="316" t="s">
        <v>264</v>
      </c>
      <c r="J66" s="316" t="s">
        <v>264</v>
      </c>
      <c r="K66" s="316" t="s">
        <v>264</v>
      </c>
      <c r="L66" s="316" t="s">
        <v>95</v>
      </c>
      <c r="M66" s="316" t="s">
        <v>181</v>
      </c>
      <c r="N66" s="64" t="s">
        <v>264</v>
      </c>
      <c r="O66" s="64" t="s">
        <v>264</v>
      </c>
      <c r="P66" s="316"/>
      <c r="Q66" s="706"/>
      <c r="R66" s="709"/>
      <c r="S66" s="719">
        <v>0</v>
      </c>
      <c r="T66" s="316" t="s">
        <v>326</v>
      </c>
      <c r="U66" s="316" t="s">
        <v>707</v>
      </c>
      <c r="V66" s="539" t="s">
        <v>20</v>
      </c>
      <c r="W66" s="540"/>
      <c r="X66" s="316"/>
      <c r="Y66" s="316"/>
      <c r="Z66" s="316"/>
      <c r="AA66" s="541" t="str">
        <f>CONCATENATE(Camp_List[[#This Row],[Ethnicity]],"-",Camp_List[[#This Row],[Religion]])</f>
        <v>-</v>
      </c>
      <c r="AB66" s="541"/>
      <c r="AC66" s="316"/>
      <c r="AD66" s="543" t="s">
        <v>724</v>
      </c>
      <c r="AE66" s="316" t="s">
        <v>462</v>
      </c>
      <c r="AF66" s="316" t="s">
        <v>477</v>
      </c>
      <c r="AG66" s="254">
        <v>41520</v>
      </c>
      <c r="AH66" s="545"/>
      <c r="AI66" s="541">
        <f>IFERROR(VLOOKUP(Camp_List[[#This Row],[Responsible Agency]],Organization_t[],3,0),"")</f>
        <v>0</v>
      </c>
      <c r="AJ66" s="548">
        <f>IF((SUMIFS(Data_Shelter_t[Coverage],Data_Shelter_t[Pcode],Camp_List[[#This Row],[P_Code]]))&gt;1,1,SUMIFS(Data_Shelter_t[Coverage],Data_Shelter_t[Pcode],Camp_List[[#This Row],[P_Code]]))</f>
        <v>0</v>
      </c>
      <c r="BL66" s="16"/>
      <c r="BM66" s="16"/>
      <c r="BP66" s="58"/>
      <c r="BQ66" s="58"/>
    </row>
    <row r="67" spans="1:69" ht="17.25" hidden="1" customHeight="1" x14ac:dyDescent="0.25">
      <c r="A67" s="316" t="s">
        <v>332</v>
      </c>
      <c r="B67" s="316" t="s">
        <v>7</v>
      </c>
      <c r="C67" s="316" t="s">
        <v>334</v>
      </c>
      <c r="D67" s="316" t="s">
        <v>18</v>
      </c>
      <c r="E67" s="316" t="s">
        <v>573</v>
      </c>
      <c r="F67" s="316" t="s">
        <v>18</v>
      </c>
      <c r="G67" s="316" t="s">
        <v>428</v>
      </c>
      <c r="H67" s="316" t="s">
        <v>427</v>
      </c>
      <c r="I67" s="316" t="s">
        <v>426</v>
      </c>
      <c r="J67" s="316" t="s">
        <v>439</v>
      </c>
      <c r="K67" s="316">
        <v>198016</v>
      </c>
      <c r="L67" s="316" t="s">
        <v>96</v>
      </c>
      <c r="M67" s="316" t="s">
        <v>182</v>
      </c>
      <c r="N67" s="64">
        <v>92.429599999999994</v>
      </c>
      <c r="O67" s="64">
        <v>20.729866999999999</v>
      </c>
      <c r="P67" s="316"/>
      <c r="Q67" s="706"/>
      <c r="R67" s="709"/>
      <c r="S67" s="719">
        <v>0</v>
      </c>
      <c r="T67" s="316" t="s">
        <v>326</v>
      </c>
      <c r="U67" s="316" t="s">
        <v>707</v>
      </c>
      <c r="V67" s="539" t="s">
        <v>20</v>
      </c>
      <c r="W67" s="540"/>
      <c r="X67" s="316"/>
      <c r="Y67" s="316"/>
      <c r="Z67" s="316"/>
      <c r="AA67" s="541" t="str">
        <f>CONCATENATE(Camp_List[[#This Row],[Ethnicity]],"-",Camp_List[[#This Row],[Religion]])</f>
        <v>-</v>
      </c>
      <c r="AB67" s="541"/>
      <c r="AC67" s="316"/>
      <c r="AD67" s="543" t="s">
        <v>724</v>
      </c>
      <c r="AE67" s="316" t="s">
        <v>462</v>
      </c>
      <c r="AF67" s="316" t="s">
        <v>477</v>
      </c>
      <c r="AG67" s="254">
        <v>41520</v>
      </c>
      <c r="AH67" s="545" t="s">
        <v>969</v>
      </c>
      <c r="AI67" s="541">
        <f>IFERROR(VLOOKUP(Camp_List[[#This Row],[Responsible Agency]],Organization_t[],3,0),"")</f>
        <v>0</v>
      </c>
      <c r="AJ67" s="548">
        <f>IF((SUMIFS(Data_Shelter_t[Coverage],Data_Shelter_t[Pcode],Camp_List[[#This Row],[P_Code]]))&gt;1,1,SUMIFS(Data_Shelter_t[Coverage],Data_Shelter_t[Pcode],Camp_List[[#This Row],[P_Code]]))</f>
        <v>0</v>
      </c>
      <c r="BL67" s="16"/>
      <c r="BM67" s="16"/>
      <c r="BP67" s="58"/>
      <c r="BQ67" s="58"/>
    </row>
    <row r="68" spans="1:69" ht="17.25" hidden="1" customHeight="1" x14ac:dyDescent="0.25">
      <c r="A68" s="316" t="s">
        <v>332</v>
      </c>
      <c r="B68" s="316" t="s">
        <v>7</v>
      </c>
      <c r="C68" s="316" t="s">
        <v>564</v>
      </c>
      <c r="D68" s="316" t="s">
        <v>18</v>
      </c>
      <c r="E68" s="316" t="s">
        <v>573</v>
      </c>
      <c r="F68" s="316" t="s">
        <v>18</v>
      </c>
      <c r="G68" s="316" t="s">
        <v>428</v>
      </c>
      <c r="H68" s="316" t="s">
        <v>470</v>
      </c>
      <c r="I68" s="316" t="s">
        <v>472</v>
      </c>
      <c r="J68" s="316"/>
      <c r="K68" s="316"/>
      <c r="L68" s="316" t="s">
        <v>567</v>
      </c>
      <c r="M68" s="316" t="s">
        <v>571</v>
      </c>
      <c r="N68" s="64">
        <v>92.367536000000001</v>
      </c>
      <c r="O68" s="64">
        <v>20.825500000000002</v>
      </c>
      <c r="P68" s="316"/>
      <c r="Q68" s="706"/>
      <c r="R68" s="709"/>
      <c r="S68" s="719">
        <v>0</v>
      </c>
      <c r="T68" s="316" t="s">
        <v>326</v>
      </c>
      <c r="U68" s="316" t="s">
        <v>707</v>
      </c>
      <c r="V68" s="539" t="s">
        <v>20</v>
      </c>
      <c r="W68" s="540"/>
      <c r="X68" s="316"/>
      <c r="Y68" s="316"/>
      <c r="Z68" s="316"/>
      <c r="AA68" s="541" t="str">
        <f>CONCATENATE(Camp_List[[#This Row],[Ethnicity]],"-",Camp_List[[#This Row],[Religion]])</f>
        <v>-</v>
      </c>
      <c r="AB68" s="541"/>
      <c r="AC68" s="316"/>
      <c r="AD68" s="543" t="s">
        <v>724</v>
      </c>
      <c r="AE68" s="316" t="s">
        <v>462</v>
      </c>
      <c r="AF68" s="316" t="s">
        <v>477</v>
      </c>
      <c r="AG68" s="254">
        <v>41548</v>
      </c>
      <c r="AH68" s="545"/>
      <c r="AI68" s="541">
        <f>IFERROR(VLOOKUP(Camp_List[[#This Row],[Responsible Agency]],Organization_t[],3,0),"")</f>
        <v>0</v>
      </c>
      <c r="AJ68" s="548">
        <f>IF((SUMIFS(Data_Shelter_t[Coverage],Data_Shelter_t[Pcode],Camp_List[[#This Row],[P_Code]]))&gt;1,1,SUMIFS(Data_Shelter_t[Coverage],Data_Shelter_t[Pcode],Camp_List[[#This Row],[P_Code]]))</f>
        <v>0</v>
      </c>
      <c r="BL68" s="16"/>
      <c r="BM68" s="16"/>
      <c r="BP68" s="58"/>
      <c r="BQ68" s="58"/>
    </row>
    <row r="69" spans="1:69" ht="17.25" hidden="1" customHeight="1" x14ac:dyDescent="0.25">
      <c r="A69" s="316" t="s">
        <v>332</v>
      </c>
      <c r="B69" s="316" t="s">
        <v>7</v>
      </c>
      <c r="C69" s="316" t="s">
        <v>334</v>
      </c>
      <c r="D69" s="316" t="s">
        <v>18</v>
      </c>
      <c r="E69" s="316" t="s">
        <v>573</v>
      </c>
      <c r="F69" s="316" t="s">
        <v>18</v>
      </c>
      <c r="G69" s="316" t="s">
        <v>428</v>
      </c>
      <c r="H69" s="316" t="s">
        <v>430</v>
      </c>
      <c r="I69" s="316" t="s">
        <v>429</v>
      </c>
      <c r="J69" s="316" t="s">
        <v>433</v>
      </c>
      <c r="K69" s="316">
        <v>198049</v>
      </c>
      <c r="L69" s="316" t="s">
        <v>108</v>
      </c>
      <c r="M69" s="316" t="s">
        <v>189</v>
      </c>
      <c r="N69" s="64">
        <v>92.435074999999998</v>
      </c>
      <c r="O69" s="64">
        <v>20.714532999999999</v>
      </c>
      <c r="P69" s="316"/>
      <c r="Q69" s="706"/>
      <c r="R69" s="709"/>
      <c r="S69" s="719">
        <v>0</v>
      </c>
      <c r="T69" s="316" t="s">
        <v>326</v>
      </c>
      <c r="U69" s="316" t="s">
        <v>707</v>
      </c>
      <c r="V69" s="539" t="s">
        <v>21</v>
      </c>
      <c r="W69" s="540"/>
      <c r="X69" s="316"/>
      <c r="Y69" s="316"/>
      <c r="Z69" s="316"/>
      <c r="AA69" s="541" t="str">
        <f>CONCATENATE(Camp_List[[#This Row],[Ethnicity]],"-",Camp_List[[#This Row],[Religion]])</f>
        <v>-</v>
      </c>
      <c r="AB69" s="541"/>
      <c r="AC69" s="316"/>
      <c r="AD69" s="543" t="s">
        <v>724</v>
      </c>
      <c r="AE69" s="316" t="s">
        <v>462</v>
      </c>
      <c r="AF69" s="316" t="s">
        <v>477</v>
      </c>
      <c r="AG69" s="254">
        <v>41520</v>
      </c>
      <c r="AH69" s="545" t="s">
        <v>970</v>
      </c>
      <c r="AI69" s="541">
        <f>IFERROR(VLOOKUP(Camp_List[[#This Row],[Responsible Agency]],Organization_t[],3,0),"")</f>
        <v>0</v>
      </c>
      <c r="AJ69" s="548">
        <f>IF((SUMIFS(Data_Shelter_t[Coverage],Data_Shelter_t[Pcode],Camp_List[[#This Row],[P_Code]]))&gt;1,1,SUMIFS(Data_Shelter_t[Coverage],Data_Shelter_t[Pcode],Camp_List[[#This Row],[P_Code]]))</f>
        <v>0</v>
      </c>
      <c r="BL69" s="16"/>
      <c r="BM69" s="16"/>
      <c r="BP69" s="58"/>
      <c r="BQ69" s="58"/>
    </row>
    <row r="70" spans="1:69" ht="17.25" hidden="1" customHeight="1" x14ac:dyDescent="0.25">
      <c r="A70" s="316" t="s">
        <v>332</v>
      </c>
      <c r="B70" s="316" t="s">
        <v>7</v>
      </c>
      <c r="C70" s="316" t="s">
        <v>334</v>
      </c>
      <c r="D70" s="316" t="s">
        <v>18</v>
      </c>
      <c r="E70" s="316" t="s">
        <v>573</v>
      </c>
      <c r="F70" s="316" t="s">
        <v>18</v>
      </c>
      <c r="G70" s="316" t="s">
        <v>428</v>
      </c>
      <c r="H70" s="316" t="s">
        <v>430</v>
      </c>
      <c r="I70" s="316" t="s">
        <v>429</v>
      </c>
      <c r="J70" s="316" t="s">
        <v>430</v>
      </c>
      <c r="K70" s="316">
        <v>198045</v>
      </c>
      <c r="L70" s="316" t="s">
        <v>106</v>
      </c>
      <c r="M70" s="316" t="s">
        <v>188</v>
      </c>
      <c r="N70" s="64">
        <v>92.426885999999996</v>
      </c>
      <c r="O70" s="64">
        <v>20.717331000000001</v>
      </c>
      <c r="P70" s="316"/>
      <c r="Q70" s="706"/>
      <c r="R70" s="709"/>
      <c r="S70" s="719">
        <v>0</v>
      </c>
      <c r="T70" s="316" t="s">
        <v>326</v>
      </c>
      <c r="U70" s="316" t="s">
        <v>707</v>
      </c>
      <c r="V70" s="539" t="s">
        <v>21</v>
      </c>
      <c r="W70" s="540"/>
      <c r="X70" s="316"/>
      <c r="Y70" s="316"/>
      <c r="Z70" s="316"/>
      <c r="AA70" s="541" t="str">
        <f>CONCATENATE(Camp_List[[#This Row],[Ethnicity]],"-",Camp_List[[#This Row],[Religion]])</f>
        <v>-</v>
      </c>
      <c r="AB70" s="541"/>
      <c r="AC70" s="316"/>
      <c r="AD70" s="543" t="s">
        <v>724</v>
      </c>
      <c r="AE70" s="316" t="s">
        <v>462</v>
      </c>
      <c r="AF70" s="316" t="s">
        <v>477</v>
      </c>
      <c r="AG70" s="254">
        <v>41520</v>
      </c>
      <c r="AH70" s="545" t="s">
        <v>971</v>
      </c>
      <c r="AI70" s="541">
        <f>IFERROR(VLOOKUP(Camp_List[[#This Row],[Responsible Agency]],Organization_t[],3,0),"")</f>
        <v>0</v>
      </c>
      <c r="AJ70" s="548">
        <f>IF((SUMIFS(Data_Shelter_t[Coverage],Data_Shelter_t[Pcode],Camp_List[[#This Row],[P_Code]]))&gt;1,1,SUMIFS(Data_Shelter_t[Coverage],Data_Shelter_t[Pcode],Camp_List[[#This Row],[P_Code]]))</f>
        <v>0</v>
      </c>
      <c r="BL70" s="16"/>
      <c r="BM70" s="16"/>
      <c r="BP70" s="58"/>
      <c r="BQ70" s="58"/>
    </row>
    <row r="71" spans="1:69" ht="17.25" hidden="1" customHeight="1" x14ac:dyDescent="0.25">
      <c r="A71" s="316" t="s">
        <v>332</v>
      </c>
      <c r="B71" s="316" t="s">
        <v>7</v>
      </c>
      <c r="C71" s="316" t="s">
        <v>565</v>
      </c>
      <c r="D71" s="316" t="s">
        <v>18</v>
      </c>
      <c r="E71" s="316" t="s">
        <v>573</v>
      </c>
      <c r="F71" s="316" t="s">
        <v>18</v>
      </c>
      <c r="G71" s="316" t="s">
        <v>428</v>
      </c>
      <c r="H71" s="316" t="s">
        <v>470</v>
      </c>
      <c r="I71" s="316" t="s">
        <v>472</v>
      </c>
      <c r="J71" s="316"/>
      <c r="K71" s="316"/>
      <c r="L71" s="316" t="s">
        <v>568</v>
      </c>
      <c r="M71" s="316" t="s">
        <v>572</v>
      </c>
      <c r="N71" s="64">
        <v>92.367932999999994</v>
      </c>
      <c r="O71" s="64">
        <v>20.825417000000002</v>
      </c>
      <c r="P71" s="316"/>
      <c r="Q71" s="706"/>
      <c r="R71" s="709"/>
      <c r="S71" s="719">
        <v>0</v>
      </c>
      <c r="T71" s="316" t="s">
        <v>326</v>
      </c>
      <c r="U71" s="316" t="s">
        <v>707</v>
      </c>
      <c r="V71" s="539" t="s">
        <v>21</v>
      </c>
      <c r="W71" s="540"/>
      <c r="X71" s="316"/>
      <c r="Y71" s="316"/>
      <c r="Z71" s="316"/>
      <c r="AA71" s="541" t="str">
        <f>CONCATENATE(Camp_List[[#This Row],[Ethnicity]],"-",Camp_List[[#This Row],[Religion]])</f>
        <v>-</v>
      </c>
      <c r="AB71" s="541"/>
      <c r="AC71" s="316"/>
      <c r="AD71" s="543" t="s">
        <v>724</v>
      </c>
      <c r="AE71" s="316" t="s">
        <v>462</v>
      </c>
      <c r="AF71" s="316" t="s">
        <v>477</v>
      </c>
      <c r="AG71" s="254">
        <v>41548</v>
      </c>
      <c r="AH71" s="545"/>
      <c r="AI71" s="541">
        <f>IFERROR(VLOOKUP(Camp_List[[#This Row],[Responsible Agency]],Organization_t[],3,0),"")</f>
        <v>0</v>
      </c>
      <c r="AJ71" s="548">
        <f>IF((SUMIFS(Data_Shelter_t[Coverage],Data_Shelter_t[Pcode],Camp_List[[#This Row],[P_Code]]))&gt;1,1,SUMIFS(Data_Shelter_t[Coverage],Data_Shelter_t[Pcode],Camp_List[[#This Row],[P_Code]]))</f>
        <v>0</v>
      </c>
      <c r="BL71" s="16"/>
      <c r="BM71" s="16"/>
      <c r="BP71" s="58"/>
      <c r="BQ71" s="58"/>
    </row>
    <row r="72" spans="1:69" ht="17.25" hidden="1" customHeight="1" x14ac:dyDescent="0.25">
      <c r="A72" s="316" t="s">
        <v>332</v>
      </c>
      <c r="B72" s="316" t="s">
        <v>7</v>
      </c>
      <c r="C72" s="316" t="s">
        <v>334</v>
      </c>
      <c r="D72" s="316"/>
      <c r="E72" s="316"/>
      <c r="F72" s="316" t="s">
        <v>11</v>
      </c>
      <c r="G72" s="316" t="s">
        <v>335</v>
      </c>
      <c r="H72" s="316" t="s">
        <v>347</v>
      </c>
      <c r="I72" s="316" t="s">
        <v>346</v>
      </c>
      <c r="J72" s="316" t="s">
        <v>448</v>
      </c>
      <c r="K72" s="316">
        <v>197063</v>
      </c>
      <c r="L72" s="316" t="s">
        <v>26</v>
      </c>
      <c r="M72" s="316" t="s">
        <v>112</v>
      </c>
      <c r="N72" s="64">
        <v>93.258476000000002</v>
      </c>
      <c r="O72" s="64">
        <v>20.554084</v>
      </c>
      <c r="P72" s="316"/>
      <c r="Q72" s="706"/>
      <c r="R72" s="709"/>
      <c r="S72" s="719">
        <v>0</v>
      </c>
      <c r="T72" s="316" t="s">
        <v>326</v>
      </c>
      <c r="U72" s="316" t="s">
        <v>707</v>
      </c>
      <c r="V72" s="539" t="s">
        <v>21</v>
      </c>
      <c r="W72" s="540"/>
      <c r="X72" s="316"/>
      <c r="Y72" s="316"/>
      <c r="Z72" s="316"/>
      <c r="AA72" s="541" t="str">
        <f>CONCATENATE(Camp_List[[#This Row],[Ethnicity]],"-",Camp_List[[#This Row],[Religion]])</f>
        <v>-</v>
      </c>
      <c r="AB72" s="541"/>
      <c r="AC72" s="316"/>
      <c r="AD72" s="543" t="s">
        <v>724</v>
      </c>
      <c r="AE72" s="316" t="s">
        <v>462</v>
      </c>
      <c r="AF72" s="316" t="s">
        <v>477</v>
      </c>
      <c r="AG72" s="254">
        <v>41520</v>
      </c>
      <c r="AH72" s="545" t="s">
        <v>972</v>
      </c>
      <c r="AI72" s="541">
        <f>IFERROR(VLOOKUP(Camp_List[[#This Row],[Responsible Agency]],Organization_t[],3,0),"")</f>
        <v>0</v>
      </c>
      <c r="AJ72" s="548">
        <f>IF((SUMIFS(Data_Shelter_t[Coverage],Data_Shelter_t[Pcode],Camp_List[[#This Row],[P_Code]]))&gt;1,1,SUMIFS(Data_Shelter_t[Coverage],Data_Shelter_t[Pcode],Camp_List[[#This Row],[P_Code]]))</f>
        <v>0</v>
      </c>
      <c r="BL72" s="16"/>
      <c r="BM72" s="16"/>
      <c r="BP72" s="58"/>
      <c r="BQ72" s="58"/>
    </row>
    <row r="73" spans="1:69" ht="17.25" hidden="1" customHeight="1" x14ac:dyDescent="0.25">
      <c r="A73" s="316" t="s">
        <v>332</v>
      </c>
      <c r="B73" s="316" t="s">
        <v>7</v>
      </c>
      <c r="C73" s="316" t="s">
        <v>334</v>
      </c>
      <c r="D73" s="316"/>
      <c r="E73" s="316"/>
      <c r="F73" s="316" t="s">
        <v>11</v>
      </c>
      <c r="G73" s="316" t="s">
        <v>335</v>
      </c>
      <c r="H73" s="316" t="s">
        <v>339</v>
      </c>
      <c r="I73" s="316" t="s">
        <v>338</v>
      </c>
      <c r="J73" s="316" t="s">
        <v>29</v>
      </c>
      <c r="K73" s="316">
        <v>197021</v>
      </c>
      <c r="L73" s="316" t="s">
        <v>29</v>
      </c>
      <c r="M73" s="316" t="s">
        <v>115</v>
      </c>
      <c r="N73" s="64">
        <v>93.321956999999998</v>
      </c>
      <c r="O73" s="64">
        <v>20.403735999999999</v>
      </c>
      <c r="P73" s="316"/>
      <c r="Q73" s="706"/>
      <c r="R73" s="709"/>
      <c r="S73" s="719">
        <v>0</v>
      </c>
      <c r="T73" s="316" t="s">
        <v>326</v>
      </c>
      <c r="U73" s="316" t="s">
        <v>707</v>
      </c>
      <c r="V73" s="539" t="s">
        <v>21</v>
      </c>
      <c r="W73" s="540"/>
      <c r="X73" s="316"/>
      <c r="Y73" s="316"/>
      <c r="Z73" s="316"/>
      <c r="AA73" s="541" t="str">
        <f>CONCATENATE(Camp_List[[#This Row],[Ethnicity]],"-",Camp_List[[#This Row],[Religion]])</f>
        <v>-</v>
      </c>
      <c r="AB73" s="541"/>
      <c r="AC73" s="316"/>
      <c r="AD73" s="543" t="s">
        <v>724</v>
      </c>
      <c r="AE73" s="316" t="s">
        <v>462</v>
      </c>
      <c r="AF73" s="316" t="s">
        <v>477</v>
      </c>
      <c r="AG73" s="254">
        <v>41520</v>
      </c>
      <c r="AH73" s="545" t="s">
        <v>973</v>
      </c>
      <c r="AI73" s="541">
        <f>IFERROR(VLOOKUP(Camp_List[[#This Row],[Responsible Agency]],Organization_t[],3,0),"")</f>
        <v>0</v>
      </c>
      <c r="AJ73" s="548">
        <f>IF((SUMIFS(Data_Shelter_t[Coverage],Data_Shelter_t[Pcode],Camp_List[[#This Row],[P_Code]]))&gt;1,1,SUMIFS(Data_Shelter_t[Coverage],Data_Shelter_t[Pcode],Camp_List[[#This Row],[P_Code]]))</f>
        <v>0</v>
      </c>
      <c r="BL73" s="16"/>
      <c r="BM73" s="16"/>
      <c r="BP73" s="58"/>
      <c r="BQ73" s="58"/>
    </row>
    <row r="74" spans="1:69" ht="17.25" hidden="1" customHeight="1" x14ac:dyDescent="0.25">
      <c r="A74" s="316" t="s">
        <v>332</v>
      </c>
      <c r="B74" s="316" t="s">
        <v>7</v>
      </c>
      <c r="C74" s="316" t="s">
        <v>334</v>
      </c>
      <c r="D74" s="316" t="s">
        <v>17</v>
      </c>
      <c r="E74" s="316" t="s">
        <v>559</v>
      </c>
      <c r="F74" s="316" t="s">
        <v>941</v>
      </c>
      <c r="G74" s="316" t="s">
        <v>348</v>
      </c>
      <c r="H74" s="316" t="s">
        <v>470</v>
      </c>
      <c r="I74" s="316" t="s">
        <v>469</v>
      </c>
      <c r="J74" s="316"/>
      <c r="K74" s="316"/>
      <c r="L74" s="316" t="s">
        <v>33</v>
      </c>
      <c r="M74" s="316" t="s">
        <v>119</v>
      </c>
      <c r="N74" s="64">
        <v>93.187995999999998</v>
      </c>
      <c r="O74" s="64">
        <v>20.589569000000001</v>
      </c>
      <c r="P74" s="316" t="s">
        <v>858</v>
      </c>
      <c r="Q74" s="707"/>
      <c r="R74" s="710"/>
      <c r="S74" s="719">
        <v>0</v>
      </c>
      <c r="T74" s="316" t="s">
        <v>326</v>
      </c>
      <c r="U74" s="316" t="s">
        <v>707</v>
      </c>
      <c r="V74" s="539" t="s">
        <v>19</v>
      </c>
      <c r="W74" s="540"/>
      <c r="X74" s="316"/>
      <c r="Y74" s="316"/>
      <c r="Z74" s="316"/>
      <c r="AA74" s="541" t="str">
        <f>CONCATENATE(Camp_List[[#This Row],[Ethnicity]],"-",Camp_List[[#This Row],[Religion]])</f>
        <v>-</v>
      </c>
      <c r="AB74" s="541"/>
      <c r="AC74" s="316"/>
      <c r="AD74" s="543" t="s">
        <v>724</v>
      </c>
      <c r="AE74" s="316" t="s">
        <v>462</v>
      </c>
      <c r="AF74" s="316" t="s">
        <v>477</v>
      </c>
      <c r="AG74" s="254">
        <v>41548</v>
      </c>
      <c r="AH74" s="545" t="s">
        <v>471</v>
      </c>
      <c r="AI74" s="541">
        <f>IFERROR(VLOOKUP(Camp_List[[#This Row],[Responsible Agency]],Organization_t[],3,0),"")</f>
        <v>0</v>
      </c>
      <c r="AJ74" s="548">
        <f>IF((SUMIFS(Data_Shelter_t[Coverage],Data_Shelter_t[Pcode],Camp_List[[#This Row],[P_Code]]))&gt;1,1,SUMIFS(Data_Shelter_t[Coverage],Data_Shelter_t[Pcode],Camp_List[[#This Row],[P_Code]]))</f>
        <v>0</v>
      </c>
      <c r="BL74" s="16"/>
      <c r="BM74" s="16"/>
      <c r="BP74" s="58"/>
      <c r="BQ74" s="58"/>
    </row>
    <row r="75" spans="1:69" ht="17.25" hidden="1" customHeight="1" x14ac:dyDescent="0.25">
      <c r="A75" s="316" t="s">
        <v>332</v>
      </c>
      <c r="B75" s="316" t="s">
        <v>7</v>
      </c>
      <c r="C75" s="316" t="s">
        <v>334</v>
      </c>
      <c r="D75" s="316" t="s">
        <v>17</v>
      </c>
      <c r="E75" s="316" t="s">
        <v>559</v>
      </c>
      <c r="F75" s="316" t="s">
        <v>13</v>
      </c>
      <c r="G75" s="316" t="s">
        <v>355</v>
      </c>
      <c r="H75" s="316" t="s">
        <v>41</v>
      </c>
      <c r="I75" s="316" t="s">
        <v>359</v>
      </c>
      <c r="J75" s="316" t="s">
        <v>1164</v>
      </c>
      <c r="K75" s="316">
        <v>197548</v>
      </c>
      <c r="L75" s="316" t="s">
        <v>498</v>
      </c>
      <c r="M75" s="316" t="s">
        <v>265</v>
      </c>
      <c r="N75" s="64">
        <v>92.993758999999997</v>
      </c>
      <c r="O75" s="64">
        <v>20.064226000000001</v>
      </c>
      <c r="P75" s="316"/>
      <c r="Q75" s="706"/>
      <c r="R75" s="709"/>
      <c r="S75" s="719">
        <v>0</v>
      </c>
      <c r="T75" s="316" t="s">
        <v>326</v>
      </c>
      <c r="U75" s="316" t="s">
        <v>707</v>
      </c>
      <c r="V75" s="539" t="s">
        <v>21</v>
      </c>
      <c r="W75" s="540"/>
      <c r="X75" s="316"/>
      <c r="Y75" s="316"/>
      <c r="Z75" s="316"/>
      <c r="AA75" s="541" t="str">
        <f>CONCATENATE(Camp_List[[#This Row],[Ethnicity]],"-",Camp_List[[#This Row],[Religion]])</f>
        <v>-</v>
      </c>
      <c r="AB75" s="541"/>
      <c r="AC75" s="316"/>
      <c r="AD75" s="543" t="s">
        <v>724</v>
      </c>
      <c r="AE75" s="316" t="s">
        <v>462</v>
      </c>
      <c r="AF75" s="316" t="s">
        <v>477</v>
      </c>
      <c r="AG75" s="254">
        <v>42447</v>
      </c>
      <c r="AH75" s="545" t="s">
        <v>974</v>
      </c>
      <c r="AI75" s="541">
        <f>IFERROR(VLOOKUP(Camp_List[[#This Row],[Responsible Agency]],Organization_t[],3,0),"")</f>
        <v>0</v>
      </c>
      <c r="AJ75" s="548">
        <f>IF((SUMIFS(Data_Shelter_t[Coverage],Data_Shelter_t[Pcode],Camp_List[[#This Row],[P_Code]]))&gt;1,1,SUMIFS(Data_Shelter_t[Coverage],Data_Shelter_t[Pcode],Camp_List[[#This Row],[P_Code]]))</f>
        <v>0</v>
      </c>
      <c r="BL75" s="16"/>
      <c r="BM75" s="16"/>
      <c r="BP75" s="58"/>
      <c r="BQ75" s="58"/>
    </row>
    <row r="76" spans="1:69" ht="17.25" hidden="1" customHeight="1" x14ac:dyDescent="0.25">
      <c r="A76" s="316" t="s">
        <v>332</v>
      </c>
      <c r="B76" s="316" t="s">
        <v>7</v>
      </c>
      <c r="C76" s="316" t="s">
        <v>334</v>
      </c>
      <c r="D76" s="316" t="s">
        <v>17</v>
      </c>
      <c r="E76" s="316" t="s">
        <v>559</v>
      </c>
      <c r="F76" s="316" t="s">
        <v>17</v>
      </c>
      <c r="G76" s="316" t="s">
        <v>393</v>
      </c>
      <c r="H76" s="316" t="s">
        <v>404</v>
      </c>
      <c r="I76" s="316" t="s">
        <v>515</v>
      </c>
      <c r="J76" s="316"/>
      <c r="K76" s="316" t="s">
        <v>405</v>
      </c>
      <c r="L76" s="316" t="s">
        <v>88</v>
      </c>
      <c r="M76" s="316" t="s">
        <v>174</v>
      </c>
      <c r="N76" s="64">
        <v>92.895899999999997</v>
      </c>
      <c r="O76" s="64">
        <v>20.1538</v>
      </c>
      <c r="P76" s="316"/>
      <c r="Q76" s="707"/>
      <c r="R76" s="710"/>
      <c r="S76" s="719">
        <v>0</v>
      </c>
      <c r="T76" s="316" t="s">
        <v>326</v>
      </c>
      <c r="U76" s="316" t="s">
        <v>707</v>
      </c>
      <c r="V76" s="539" t="s">
        <v>19</v>
      </c>
      <c r="W76" s="540"/>
      <c r="X76" s="316"/>
      <c r="Y76" s="316"/>
      <c r="Z76" s="316"/>
      <c r="AA76" s="541" t="str">
        <f>CONCATENATE(Camp_List[[#This Row],[Ethnicity]],"-",Camp_List[[#This Row],[Religion]])</f>
        <v>-</v>
      </c>
      <c r="AB76" s="541"/>
      <c r="AC76" s="316"/>
      <c r="AD76" s="543" t="s">
        <v>724</v>
      </c>
      <c r="AE76" s="316" t="s">
        <v>462</v>
      </c>
      <c r="AF76" s="316" t="s">
        <v>477</v>
      </c>
      <c r="AG76" s="254">
        <v>41520</v>
      </c>
      <c r="AH76" s="545"/>
      <c r="AI76" s="541">
        <f>IFERROR(VLOOKUP(Camp_List[[#This Row],[Responsible Agency]],Organization_t[],3,0),"")</f>
        <v>0</v>
      </c>
      <c r="AJ76" s="548">
        <f>IF((SUMIFS(Data_Shelter_t[Coverage],Data_Shelter_t[Pcode],Camp_List[[#This Row],[P_Code]]))&gt;1,1,SUMIFS(Data_Shelter_t[Coverage],Data_Shelter_t[Pcode],Camp_List[[#This Row],[P_Code]]))</f>
        <v>0</v>
      </c>
      <c r="BL76" s="16"/>
      <c r="BM76" s="16"/>
      <c r="BP76" s="58"/>
      <c r="BQ76" s="58"/>
    </row>
    <row r="77" spans="1:69" ht="17.25" hidden="1" customHeight="1" x14ac:dyDescent="0.25">
      <c r="A77" s="316" t="s">
        <v>332</v>
      </c>
      <c r="B77" s="316" t="s">
        <v>7</v>
      </c>
      <c r="C77" s="316" t="s">
        <v>334</v>
      </c>
      <c r="D77" s="316" t="s">
        <v>17</v>
      </c>
      <c r="E77" s="316" t="s">
        <v>559</v>
      </c>
      <c r="F77" s="316" t="s">
        <v>17</v>
      </c>
      <c r="G77" s="316" t="s">
        <v>393</v>
      </c>
      <c r="H77" s="316" t="s">
        <v>412</v>
      </c>
      <c r="I77" s="316" t="s">
        <v>515</v>
      </c>
      <c r="J77" s="316"/>
      <c r="K77" s="316" t="s">
        <v>413</v>
      </c>
      <c r="L77" s="316" t="s">
        <v>78</v>
      </c>
      <c r="M77" s="316" t="s">
        <v>164</v>
      </c>
      <c r="N77" s="64">
        <v>92.894568000000007</v>
      </c>
      <c r="O77" s="64">
        <v>20.145585000000001</v>
      </c>
      <c r="P77" s="316"/>
      <c r="Q77" s="707"/>
      <c r="R77" s="710"/>
      <c r="S77" s="719">
        <v>0</v>
      </c>
      <c r="T77" s="316" t="s">
        <v>326</v>
      </c>
      <c r="U77" s="316" t="s">
        <v>707</v>
      </c>
      <c r="V77" s="539" t="s">
        <v>19</v>
      </c>
      <c r="W77" s="540"/>
      <c r="X77" s="316"/>
      <c r="Y77" s="316"/>
      <c r="Z77" s="316"/>
      <c r="AA77" s="541" t="str">
        <f>CONCATENATE(Camp_List[[#This Row],[Ethnicity]],"-",Camp_List[[#This Row],[Religion]])</f>
        <v>-</v>
      </c>
      <c r="AB77" s="541"/>
      <c r="AC77" s="316"/>
      <c r="AD77" s="543" t="s">
        <v>724</v>
      </c>
      <c r="AE77" s="316" t="s">
        <v>462</v>
      </c>
      <c r="AF77" s="316" t="s">
        <v>477</v>
      </c>
      <c r="AG77" s="254">
        <v>41520</v>
      </c>
      <c r="AH77" s="545"/>
      <c r="AI77" s="541">
        <f>IFERROR(VLOOKUP(Camp_List[[#This Row],[Responsible Agency]],Organization_t[],3,0),"")</f>
        <v>0</v>
      </c>
      <c r="AJ77" s="548">
        <f>IF((SUMIFS(Data_Shelter_t[Coverage],Data_Shelter_t[Pcode],Camp_List[[#This Row],[P_Code]]))&gt;1,1,SUMIFS(Data_Shelter_t[Coverage],Data_Shelter_t[Pcode],Camp_List[[#This Row],[P_Code]]))</f>
        <v>0</v>
      </c>
      <c r="BL77" s="16"/>
      <c r="BM77" s="16"/>
      <c r="BP77" s="58"/>
      <c r="BQ77" s="58"/>
    </row>
    <row r="78" spans="1:69" ht="17.25" hidden="1" customHeight="1" x14ac:dyDescent="0.25">
      <c r="A78" s="316" t="s">
        <v>332</v>
      </c>
      <c r="B78" s="316" t="s">
        <v>7</v>
      </c>
      <c r="C78" s="316" t="s">
        <v>334</v>
      </c>
      <c r="D78" s="316" t="s">
        <v>17</v>
      </c>
      <c r="E78" s="316" t="s">
        <v>559</v>
      </c>
      <c r="F78" s="316" t="s">
        <v>17</v>
      </c>
      <c r="G78" s="316" t="s">
        <v>393</v>
      </c>
      <c r="H78" s="316" t="s">
        <v>414</v>
      </c>
      <c r="I78" s="316" t="s">
        <v>515</v>
      </c>
      <c r="J78" s="316"/>
      <c r="K78" s="316" t="s">
        <v>420</v>
      </c>
      <c r="L78" s="316" t="s">
        <v>79</v>
      </c>
      <c r="M78" s="316" t="s">
        <v>165</v>
      </c>
      <c r="N78" s="64">
        <v>92.898398</v>
      </c>
      <c r="O78" s="64">
        <v>20.152559</v>
      </c>
      <c r="P78" s="316"/>
      <c r="Q78" s="707"/>
      <c r="R78" s="710"/>
      <c r="S78" s="719">
        <v>0</v>
      </c>
      <c r="T78" s="316" t="s">
        <v>326</v>
      </c>
      <c r="U78" s="316" t="s">
        <v>707</v>
      </c>
      <c r="V78" s="539" t="s">
        <v>19</v>
      </c>
      <c r="W78" s="540"/>
      <c r="X78" s="316"/>
      <c r="Y78" s="316"/>
      <c r="Z78" s="316"/>
      <c r="AA78" s="541" t="str">
        <f>CONCATENATE(Camp_List[[#This Row],[Ethnicity]],"-",Camp_List[[#This Row],[Religion]])</f>
        <v>-</v>
      </c>
      <c r="AB78" s="541"/>
      <c r="AC78" s="316"/>
      <c r="AD78" s="543" t="s">
        <v>724</v>
      </c>
      <c r="AE78" s="316" t="s">
        <v>462</v>
      </c>
      <c r="AF78" s="316" t="s">
        <v>477</v>
      </c>
      <c r="AG78" s="254">
        <v>41520</v>
      </c>
      <c r="AH78" s="545"/>
      <c r="AI78" s="541">
        <f>IFERROR(VLOOKUP(Camp_List[[#This Row],[Responsible Agency]],Organization_t[],3,0),"")</f>
        <v>0</v>
      </c>
      <c r="AJ78" s="548">
        <f>IF((SUMIFS(Data_Shelter_t[Coverage],Data_Shelter_t[Pcode],Camp_List[[#This Row],[P_Code]]))&gt;1,1,SUMIFS(Data_Shelter_t[Coverage],Data_Shelter_t[Pcode],Camp_List[[#This Row],[P_Code]]))</f>
        <v>0</v>
      </c>
      <c r="BL78" s="16"/>
      <c r="BM78" s="16"/>
      <c r="BP78" s="58"/>
      <c r="BQ78" s="58"/>
    </row>
    <row r="79" spans="1:69" ht="17.25" hidden="1" customHeight="1" x14ac:dyDescent="0.25">
      <c r="A79" s="316" t="s">
        <v>332</v>
      </c>
      <c r="B79" s="316" t="s">
        <v>7</v>
      </c>
      <c r="C79" s="316" t="s">
        <v>334</v>
      </c>
      <c r="D79" s="316" t="s">
        <v>17</v>
      </c>
      <c r="E79" s="316" t="s">
        <v>559</v>
      </c>
      <c r="F79" s="316" t="s">
        <v>17</v>
      </c>
      <c r="G79" s="316" t="s">
        <v>393</v>
      </c>
      <c r="H79" s="316" t="s">
        <v>412</v>
      </c>
      <c r="I79" s="316" t="s">
        <v>515</v>
      </c>
      <c r="J79" s="316"/>
      <c r="K79" s="316" t="s">
        <v>413</v>
      </c>
      <c r="L79" s="316" t="s">
        <v>92</v>
      </c>
      <c r="M79" s="316" t="s">
        <v>178</v>
      </c>
      <c r="N79" s="64">
        <v>92.895600000000002</v>
      </c>
      <c r="O79" s="64">
        <v>20.146916999999998</v>
      </c>
      <c r="P79" s="316"/>
      <c r="Q79" s="707"/>
      <c r="R79" s="710"/>
      <c r="S79" s="719">
        <v>0</v>
      </c>
      <c r="T79" s="316" t="s">
        <v>326</v>
      </c>
      <c r="U79" s="316" t="s">
        <v>707</v>
      </c>
      <c r="V79" s="539" t="s">
        <v>19</v>
      </c>
      <c r="W79" s="540"/>
      <c r="X79" s="316"/>
      <c r="Y79" s="316"/>
      <c r="Z79" s="316"/>
      <c r="AA79" s="541" t="str">
        <f>CONCATENATE(Camp_List[[#This Row],[Ethnicity]],"-",Camp_List[[#This Row],[Religion]])</f>
        <v>-</v>
      </c>
      <c r="AB79" s="541"/>
      <c r="AC79" s="316"/>
      <c r="AD79" s="543" t="s">
        <v>724</v>
      </c>
      <c r="AE79" s="316" t="s">
        <v>462</v>
      </c>
      <c r="AF79" s="316" t="s">
        <v>477</v>
      </c>
      <c r="AG79" s="254">
        <v>41520</v>
      </c>
      <c r="AH79" s="545"/>
      <c r="AI79" s="541">
        <f>IFERROR(VLOOKUP(Camp_List[[#This Row],[Responsible Agency]],Organization_t[],3,0),"")</f>
        <v>0</v>
      </c>
      <c r="AJ79" s="548">
        <f>IF((SUMIFS(Data_Shelter_t[Coverage],Data_Shelter_t[Pcode],Camp_List[[#This Row],[P_Code]]))&gt;1,1,SUMIFS(Data_Shelter_t[Coverage],Data_Shelter_t[Pcode],Camp_List[[#This Row],[P_Code]]))</f>
        <v>0</v>
      </c>
      <c r="BL79" s="16"/>
      <c r="BM79" s="16"/>
      <c r="BP79" s="58"/>
      <c r="BQ79" s="58"/>
    </row>
    <row r="80" spans="1:69" ht="17.25" hidden="1" customHeight="1" x14ac:dyDescent="0.25">
      <c r="A80" s="316" t="s">
        <v>332</v>
      </c>
      <c r="B80" s="316" t="s">
        <v>7</v>
      </c>
      <c r="C80" s="316" t="s">
        <v>334</v>
      </c>
      <c r="D80" s="316" t="s">
        <v>17</v>
      </c>
      <c r="E80" s="316" t="s">
        <v>559</v>
      </c>
      <c r="F80" s="316" t="s">
        <v>17</v>
      </c>
      <c r="G80" s="316" t="s">
        <v>393</v>
      </c>
      <c r="H80" s="316" t="s">
        <v>404</v>
      </c>
      <c r="I80" s="316" t="s">
        <v>515</v>
      </c>
      <c r="J80" s="316"/>
      <c r="K80" s="316" t="s">
        <v>405</v>
      </c>
      <c r="L80" s="316" t="s">
        <v>80</v>
      </c>
      <c r="M80" s="316" t="s">
        <v>166</v>
      </c>
      <c r="N80" s="64">
        <v>92.896409000000006</v>
      </c>
      <c r="O80" s="64">
        <v>20.153753999999999</v>
      </c>
      <c r="P80" s="316"/>
      <c r="Q80" s="707"/>
      <c r="R80" s="710"/>
      <c r="S80" s="719">
        <v>0</v>
      </c>
      <c r="T80" s="316" t="s">
        <v>326</v>
      </c>
      <c r="U80" s="316" t="s">
        <v>707</v>
      </c>
      <c r="V80" s="539" t="s">
        <v>19</v>
      </c>
      <c r="W80" s="540"/>
      <c r="X80" s="316"/>
      <c r="Y80" s="316"/>
      <c r="Z80" s="316"/>
      <c r="AA80" s="541" t="str">
        <f>CONCATENATE(Camp_List[[#This Row],[Ethnicity]],"-",Camp_List[[#This Row],[Religion]])</f>
        <v>-</v>
      </c>
      <c r="AB80" s="541"/>
      <c r="AC80" s="316"/>
      <c r="AD80" s="543" t="s">
        <v>724</v>
      </c>
      <c r="AE80" s="316" t="s">
        <v>462</v>
      </c>
      <c r="AF80" s="316" t="s">
        <v>477</v>
      </c>
      <c r="AG80" s="254">
        <v>41520</v>
      </c>
      <c r="AH80" s="545"/>
      <c r="AI80" s="541">
        <f>IFERROR(VLOOKUP(Camp_List[[#This Row],[Responsible Agency]],Organization_t[],3,0),"")</f>
        <v>0</v>
      </c>
      <c r="AJ80" s="548">
        <f>IF((SUMIFS(Data_Shelter_t[Coverage],Data_Shelter_t[Pcode],Camp_List[[#This Row],[P_Code]]))&gt;1,1,SUMIFS(Data_Shelter_t[Coverage],Data_Shelter_t[Pcode],Camp_List[[#This Row],[P_Code]]))</f>
        <v>0</v>
      </c>
      <c r="BL80" s="16"/>
      <c r="BM80" s="16"/>
      <c r="BP80" s="58"/>
      <c r="BQ80" s="58"/>
    </row>
    <row r="81" spans="1:69" ht="17.25" hidden="1" customHeight="1" x14ac:dyDescent="0.25">
      <c r="A81" s="316" t="s">
        <v>332</v>
      </c>
      <c r="B81" s="316" t="s">
        <v>7</v>
      </c>
      <c r="C81" s="316" t="s">
        <v>334</v>
      </c>
      <c r="D81" s="316" t="s">
        <v>17</v>
      </c>
      <c r="E81" s="316" t="s">
        <v>559</v>
      </c>
      <c r="F81" s="316" t="s">
        <v>17</v>
      </c>
      <c r="G81" s="316" t="s">
        <v>393</v>
      </c>
      <c r="H81" s="316" t="s">
        <v>419</v>
      </c>
      <c r="I81" s="316" t="s">
        <v>515</v>
      </c>
      <c r="J81" s="316"/>
      <c r="K81" s="316" t="s">
        <v>424</v>
      </c>
      <c r="L81" s="316" t="s">
        <v>90</v>
      </c>
      <c r="M81" s="316" t="s">
        <v>176</v>
      </c>
      <c r="N81" s="64">
        <v>92.894450000000006</v>
      </c>
      <c r="O81" s="64">
        <v>20.147099999999998</v>
      </c>
      <c r="P81" s="316"/>
      <c r="Q81" s="707"/>
      <c r="R81" s="710"/>
      <c r="S81" s="719">
        <v>0</v>
      </c>
      <c r="T81" s="316" t="s">
        <v>326</v>
      </c>
      <c r="U81" s="316" t="s">
        <v>707</v>
      </c>
      <c r="V81" s="539" t="s">
        <v>19</v>
      </c>
      <c r="W81" s="540"/>
      <c r="X81" s="316"/>
      <c r="Y81" s="316"/>
      <c r="Z81" s="316"/>
      <c r="AA81" s="541" t="str">
        <f>CONCATENATE(Camp_List[[#This Row],[Ethnicity]],"-",Camp_List[[#This Row],[Religion]])</f>
        <v>-</v>
      </c>
      <c r="AB81" s="541"/>
      <c r="AC81" s="316"/>
      <c r="AD81" s="543" t="s">
        <v>724</v>
      </c>
      <c r="AE81" s="316" t="s">
        <v>462</v>
      </c>
      <c r="AF81" s="316" t="s">
        <v>477</v>
      </c>
      <c r="AG81" s="254">
        <v>41520</v>
      </c>
      <c r="AH81" s="545"/>
      <c r="AI81" s="541">
        <f>IFERROR(VLOOKUP(Camp_List[[#This Row],[Responsible Agency]],Organization_t[],3,0),"")</f>
        <v>0</v>
      </c>
      <c r="AJ81" s="548">
        <f>IF((SUMIFS(Data_Shelter_t[Coverage],Data_Shelter_t[Pcode],Camp_List[[#This Row],[P_Code]]))&gt;1,1,SUMIFS(Data_Shelter_t[Coverage],Data_Shelter_t[Pcode],Camp_List[[#This Row],[P_Code]]))</f>
        <v>0</v>
      </c>
      <c r="BL81" s="16"/>
      <c r="BM81" s="16"/>
      <c r="BP81" s="58"/>
      <c r="BQ81" s="58"/>
    </row>
    <row r="82" spans="1:69" ht="17.25" hidden="1" customHeight="1" x14ac:dyDescent="0.25">
      <c r="A82" s="316" t="s">
        <v>332</v>
      </c>
      <c r="B82" s="316" t="s">
        <v>7</v>
      </c>
      <c r="C82" s="316" t="s">
        <v>334</v>
      </c>
      <c r="D82" s="316" t="s">
        <v>17</v>
      </c>
      <c r="E82" s="316" t="s">
        <v>559</v>
      </c>
      <c r="F82" s="316" t="s">
        <v>17</v>
      </c>
      <c r="G82" s="316" t="s">
        <v>393</v>
      </c>
      <c r="H82" s="316" t="s">
        <v>415</v>
      </c>
      <c r="I82" s="316" t="s">
        <v>515</v>
      </c>
      <c r="J82" s="316"/>
      <c r="K82" s="316" t="s">
        <v>421</v>
      </c>
      <c r="L82" s="316" t="s">
        <v>81</v>
      </c>
      <c r="M82" s="316" t="s">
        <v>167</v>
      </c>
      <c r="N82" s="64">
        <v>92.896006</v>
      </c>
      <c r="O82" s="64">
        <v>20.154330999999999</v>
      </c>
      <c r="P82" s="316"/>
      <c r="Q82" s="707"/>
      <c r="R82" s="710"/>
      <c r="S82" s="719">
        <v>0</v>
      </c>
      <c r="T82" s="316" t="s">
        <v>326</v>
      </c>
      <c r="U82" s="316" t="s">
        <v>707</v>
      </c>
      <c r="V82" s="539" t="s">
        <v>19</v>
      </c>
      <c r="W82" s="540"/>
      <c r="X82" s="316"/>
      <c r="Y82" s="316"/>
      <c r="Z82" s="316"/>
      <c r="AA82" s="541" t="str">
        <f>CONCATENATE(Camp_List[[#This Row],[Ethnicity]],"-",Camp_List[[#This Row],[Religion]])</f>
        <v>-</v>
      </c>
      <c r="AB82" s="541"/>
      <c r="AC82" s="316"/>
      <c r="AD82" s="543" t="s">
        <v>724</v>
      </c>
      <c r="AE82" s="316" t="s">
        <v>462</v>
      </c>
      <c r="AF82" s="316" t="s">
        <v>477</v>
      </c>
      <c r="AG82" s="254">
        <v>41520</v>
      </c>
      <c r="AH82" s="545"/>
      <c r="AI82" s="541">
        <f>IFERROR(VLOOKUP(Camp_List[[#This Row],[Responsible Agency]],Organization_t[],3,0),"")</f>
        <v>0</v>
      </c>
      <c r="AJ82" s="548">
        <f>IF((SUMIFS(Data_Shelter_t[Coverage],Data_Shelter_t[Pcode],Camp_List[[#This Row],[P_Code]]))&gt;1,1,SUMIFS(Data_Shelter_t[Coverage],Data_Shelter_t[Pcode],Camp_List[[#This Row],[P_Code]]))</f>
        <v>0</v>
      </c>
      <c r="BL82" s="16"/>
      <c r="BM82" s="16"/>
      <c r="BP82" s="58"/>
      <c r="BQ82" s="58"/>
    </row>
    <row r="83" spans="1:69" ht="17.25" hidden="1" customHeight="1" x14ac:dyDescent="0.25">
      <c r="A83" s="316" t="s">
        <v>332</v>
      </c>
      <c r="B83" s="316" t="s">
        <v>7</v>
      </c>
      <c r="C83" s="316" t="s">
        <v>334</v>
      </c>
      <c r="D83" s="316" t="s">
        <v>17</v>
      </c>
      <c r="E83" s="316" t="s">
        <v>559</v>
      </c>
      <c r="F83" s="316" t="s">
        <v>17</v>
      </c>
      <c r="G83" s="316" t="s">
        <v>393</v>
      </c>
      <c r="H83" s="316"/>
      <c r="I83" s="316"/>
      <c r="J83" s="316"/>
      <c r="K83" s="316"/>
      <c r="L83" s="316" t="s">
        <v>91</v>
      </c>
      <c r="M83" s="316" t="s">
        <v>177</v>
      </c>
      <c r="N83" s="64">
        <v>92.893904000000006</v>
      </c>
      <c r="O83" s="64">
        <v>20.146673</v>
      </c>
      <c r="P83" s="316"/>
      <c r="Q83" s="707"/>
      <c r="R83" s="710"/>
      <c r="S83" s="719">
        <v>0</v>
      </c>
      <c r="T83" s="316" t="s">
        <v>326</v>
      </c>
      <c r="U83" s="316" t="s">
        <v>707</v>
      </c>
      <c r="V83" s="539" t="s">
        <v>19</v>
      </c>
      <c r="W83" s="540"/>
      <c r="X83" s="316"/>
      <c r="Y83" s="316"/>
      <c r="Z83" s="316"/>
      <c r="AA83" s="541" t="str">
        <f>CONCATENATE(Camp_List[[#This Row],[Ethnicity]],"-",Camp_List[[#This Row],[Religion]])</f>
        <v>-</v>
      </c>
      <c r="AB83" s="541"/>
      <c r="AC83" s="316"/>
      <c r="AD83" s="543" t="s">
        <v>724</v>
      </c>
      <c r="AE83" s="316" t="s">
        <v>462</v>
      </c>
      <c r="AF83" s="316" t="s">
        <v>477</v>
      </c>
      <c r="AG83" s="254">
        <v>41520</v>
      </c>
      <c r="AH83" s="545"/>
      <c r="AI83" s="541">
        <f>IFERROR(VLOOKUP(Camp_List[[#This Row],[Responsible Agency]],Organization_t[],3,0),"")</f>
        <v>0</v>
      </c>
      <c r="AJ83" s="548">
        <f>IF((SUMIFS(Data_Shelter_t[Coverage],Data_Shelter_t[Pcode],Camp_List[[#This Row],[P_Code]]))&gt;1,1,SUMIFS(Data_Shelter_t[Coverage],Data_Shelter_t[Pcode],Camp_List[[#This Row],[P_Code]]))</f>
        <v>0</v>
      </c>
      <c r="BL83" s="16"/>
      <c r="BM83" s="16"/>
      <c r="BP83" s="58"/>
      <c r="BQ83" s="58"/>
    </row>
    <row r="84" spans="1:69" ht="17.25" hidden="1" customHeight="1" x14ac:dyDescent="0.25">
      <c r="A84" s="316" t="s">
        <v>332</v>
      </c>
      <c r="B84" s="316" t="s">
        <v>7</v>
      </c>
      <c r="C84" s="316" t="s">
        <v>334</v>
      </c>
      <c r="D84" s="316" t="s">
        <v>17</v>
      </c>
      <c r="E84" s="316" t="s">
        <v>559</v>
      </c>
      <c r="F84" s="316" t="s">
        <v>17</v>
      </c>
      <c r="G84" s="316" t="s">
        <v>393</v>
      </c>
      <c r="H84" s="316" t="s">
        <v>416</v>
      </c>
      <c r="I84" s="316" t="s">
        <v>515</v>
      </c>
      <c r="J84" s="316"/>
      <c r="K84" s="316" t="s">
        <v>420</v>
      </c>
      <c r="L84" s="316" t="s">
        <v>82</v>
      </c>
      <c r="M84" s="316" t="s">
        <v>168</v>
      </c>
      <c r="N84" s="64">
        <v>92.897783000000004</v>
      </c>
      <c r="O84" s="64">
        <v>20.151050000000001</v>
      </c>
      <c r="P84" s="316"/>
      <c r="Q84" s="707"/>
      <c r="R84" s="710"/>
      <c r="S84" s="719">
        <v>0</v>
      </c>
      <c r="T84" s="316" t="s">
        <v>326</v>
      </c>
      <c r="U84" s="316" t="s">
        <v>707</v>
      </c>
      <c r="V84" s="539" t="s">
        <v>19</v>
      </c>
      <c r="W84" s="540"/>
      <c r="X84" s="316"/>
      <c r="Y84" s="316"/>
      <c r="Z84" s="316"/>
      <c r="AA84" s="541" t="str">
        <f>CONCATENATE(Camp_List[[#This Row],[Ethnicity]],"-",Camp_List[[#This Row],[Religion]])</f>
        <v>-</v>
      </c>
      <c r="AB84" s="541"/>
      <c r="AC84" s="316"/>
      <c r="AD84" s="543" t="s">
        <v>724</v>
      </c>
      <c r="AE84" s="316" t="s">
        <v>462</v>
      </c>
      <c r="AF84" s="316" t="s">
        <v>477</v>
      </c>
      <c r="AG84" s="254">
        <v>41520</v>
      </c>
      <c r="AH84" s="545"/>
      <c r="AI84" s="541">
        <f>IFERROR(VLOOKUP(Camp_List[[#This Row],[Responsible Agency]],Organization_t[],3,0),"")</f>
        <v>0</v>
      </c>
      <c r="AJ84" s="548">
        <f>IF((SUMIFS(Data_Shelter_t[Coverage],Data_Shelter_t[Pcode],Camp_List[[#This Row],[P_Code]]))&gt;1,1,SUMIFS(Data_Shelter_t[Coverage],Data_Shelter_t[Pcode],Camp_List[[#This Row],[P_Code]]))</f>
        <v>0</v>
      </c>
      <c r="BL84" s="16"/>
      <c r="BM84" s="16"/>
      <c r="BP84" s="58"/>
      <c r="BQ84" s="58"/>
    </row>
    <row r="85" spans="1:69" ht="17.25" hidden="1" customHeight="1" x14ac:dyDescent="0.25">
      <c r="A85" s="316" t="s">
        <v>332</v>
      </c>
      <c r="B85" s="316" t="s">
        <v>7</v>
      </c>
      <c r="C85" s="316" t="s">
        <v>334</v>
      </c>
      <c r="D85" s="316" t="s">
        <v>17</v>
      </c>
      <c r="E85" s="316" t="s">
        <v>559</v>
      </c>
      <c r="F85" s="316" t="s">
        <v>17</v>
      </c>
      <c r="G85" s="316" t="s">
        <v>393</v>
      </c>
      <c r="H85" s="316" t="s">
        <v>417</v>
      </c>
      <c r="I85" s="316" t="s">
        <v>515</v>
      </c>
      <c r="J85" s="316"/>
      <c r="K85" s="316" t="s">
        <v>422</v>
      </c>
      <c r="L85" s="316" t="s">
        <v>83</v>
      </c>
      <c r="M85" s="316" t="s">
        <v>169</v>
      </c>
      <c r="N85" s="64">
        <v>92.896944000000005</v>
      </c>
      <c r="O85" s="64">
        <v>20.150891999999999</v>
      </c>
      <c r="P85" s="316"/>
      <c r="Q85" s="707"/>
      <c r="R85" s="710"/>
      <c r="S85" s="719">
        <v>0</v>
      </c>
      <c r="T85" s="316" t="s">
        <v>326</v>
      </c>
      <c r="U85" s="316" t="s">
        <v>707</v>
      </c>
      <c r="V85" s="539" t="s">
        <v>19</v>
      </c>
      <c r="W85" s="540"/>
      <c r="X85" s="316"/>
      <c r="Y85" s="316"/>
      <c r="Z85" s="316"/>
      <c r="AA85" s="541" t="str">
        <f>CONCATENATE(Camp_List[[#This Row],[Ethnicity]],"-",Camp_List[[#This Row],[Religion]])</f>
        <v>-</v>
      </c>
      <c r="AB85" s="541"/>
      <c r="AC85" s="316"/>
      <c r="AD85" s="543" t="s">
        <v>724</v>
      </c>
      <c r="AE85" s="316" t="s">
        <v>462</v>
      </c>
      <c r="AF85" s="316" t="s">
        <v>477</v>
      </c>
      <c r="AG85" s="254">
        <v>41520</v>
      </c>
      <c r="AH85" s="545"/>
      <c r="AI85" s="541">
        <f>IFERROR(VLOOKUP(Camp_List[[#This Row],[Responsible Agency]],Organization_t[],3,0),"")</f>
        <v>0</v>
      </c>
      <c r="AJ85" s="548">
        <f>IF((SUMIFS(Data_Shelter_t[Coverage],Data_Shelter_t[Pcode],Camp_List[[#This Row],[P_Code]]))&gt;1,1,SUMIFS(Data_Shelter_t[Coverage],Data_Shelter_t[Pcode],Camp_List[[#This Row],[P_Code]]))</f>
        <v>0</v>
      </c>
      <c r="BL85" s="16"/>
      <c r="BM85" s="16"/>
      <c r="BP85" s="58"/>
      <c r="BQ85" s="58"/>
    </row>
    <row r="86" spans="1:69" ht="17.25" hidden="1" customHeight="1" x14ac:dyDescent="0.25">
      <c r="A86" s="316" t="s">
        <v>332</v>
      </c>
      <c r="B86" s="316" t="s">
        <v>7</v>
      </c>
      <c r="C86" s="316" t="s">
        <v>334</v>
      </c>
      <c r="D86" s="316" t="s">
        <v>17</v>
      </c>
      <c r="E86" s="316" t="s">
        <v>559</v>
      </c>
      <c r="F86" s="316" t="s">
        <v>17</v>
      </c>
      <c r="G86" s="316" t="s">
        <v>393</v>
      </c>
      <c r="H86" s="316" t="s">
        <v>404</v>
      </c>
      <c r="I86" s="316" t="s">
        <v>515</v>
      </c>
      <c r="J86" s="316"/>
      <c r="K86" s="316" t="s">
        <v>405</v>
      </c>
      <c r="L86" s="316" t="s">
        <v>84</v>
      </c>
      <c r="M86" s="316" t="s">
        <v>170</v>
      </c>
      <c r="N86" s="64">
        <v>92.894499999999994</v>
      </c>
      <c r="O86" s="64">
        <v>20.1462</v>
      </c>
      <c r="P86" s="316"/>
      <c r="Q86" s="707"/>
      <c r="R86" s="710"/>
      <c r="S86" s="719">
        <v>0</v>
      </c>
      <c r="T86" s="316" t="s">
        <v>326</v>
      </c>
      <c r="U86" s="316" t="s">
        <v>707</v>
      </c>
      <c r="V86" s="539" t="s">
        <v>19</v>
      </c>
      <c r="W86" s="540"/>
      <c r="X86" s="316"/>
      <c r="Y86" s="316"/>
      <c r="Z86" s="316"/>
      <c r="AA86" s="541" t="str">
        <f>CONCATENATE(Camp_List[[#This Row],[Ethnicity]],"-",Camp_List[[#This Row],[Religion]])</f>
        <v>-</v>
      </c>
      <c r="AB86" s="541"/>
      <c r="AC86" s="316"/>
      <c r="AD86" s="543" t="s">
        <v>724</v>
      </c>
      <c r="AE86" s="316" t="s">
        <v>462</v>
      </c>
      <c r="AF86" s="316" t="s">
        <v>477</v>
      </c>
      <c r="AG86" s="254">
        <v>41520</v>
      </c>
      <c r="AH86" s="545"/>
      <c r="AI86" s="541">
        <f>IFERROR(VLOOKUP(Camp_List[[#This Row],[Responsible Agency]],Organization_t[],3,0),"")</f>
        <v>0</v>
      </c>
      <c r="AJ86" s="548">
        <f>IF((SUMIFS(Data_Shelter_t[Coverage],Data_Shelter_t[Pcode],Camp_List[[#This Row],[P_Code]]))&gt;1,1,SUMIFS(Data_Shelter_t[Coverage],Data_Shelter_t[Pcode],Camp_List[[#This Row],[P_Code]]))</f>
        <v>0</v>
      </c>
      <c r="BL86" s="16"/>
      <c r="BM86" s="16"/>
      <c r="BP86" s="58"/>
      <c r="BQ86" s="58"/>
    </row>
    <row r="87" spans="1:69" ht="17.25" hidden="1" customHeight="1" x14ac:dyDescent="0.25">
      <c r="A87" s="316" t="s">
        <v>332</v>
      </c>
      <c r="B87" s="316" t="s">
        <v>7</v>
      </c>
      <c r="C87" s="316" t="s">
        <v>334</v>
      </c>
      <c r="D87" s="316" t="s">
        <v>17</v>
      </c>
      <c r="E87" s="316" t="s">
        <v>559</v>
      </c>
      <c r="F87" s="316" t="s">
        <v>17</v>
      </c>
      <c r="G87" s="316" t="s">
        <v>393</v>
      </c>
      <c r="H87" s="316" t="s">
        <v>415</v>
      </c>
      <c r="I87" s="316" t="s">
        <v>515</v>
      </c>
      <c r="J87" s="316"/>
      <c r="K87" s="316" t="s">
        <v>421</v>
      </c>
      <c r="L87" s="316" t="s">
        <v>87</v>
      </c>
      <c r="M87" s="316" t="s">
        <v>173</v>
      </c>
      <c r="N87" s="64">
        <v>92.897932999999995</v>
      </c>
      <c r="O87" s="64">
        <v>20.155850000000001</v>
      </c>
      <c r="P87" s="316"/>
      <c r="Q87" s="707"/>
      <c r="R87" s="710"/>
      <c r="S87" s="719">
        <v>0</v>
      </c>
      <c r="T87" s="316" t="s">
        <v>326</v>
      </c>
      <c r="U87" s="316" t="s">
        <v>707</v>
      </c>
      <c r="V87" s="539" t="s">
        <v>19</v>
      </c>
      <c r="W87" s="540"/>
      <c r="X87" s="316"/>
      <c r="Y87" s="316"/>
      <c r="Z87" s="316"/>
      <c r="AA87" s="541" t="str">
        <f>CONCATENATE(Camp_List[[#This Row],[Ethnicity]],"-",Camp_List[[#This Row],[Religion]])</f>
        <v>-</v>
      </c>
      <c r="AB87" s="541"/>
      <c r="AC87" s="316"/>
      <c r="AD87" s="543" t="s">
        <v>724</v>
      </c>
      <c r="AE87" s="316" t="s">
        <v>462</v>
      </c>
      <c r="AF87" s="316" t="s">
        <v>477</v>
      </c>
      <c r="AG87" s="254">
        <v>41520</v>
      </c>
      <c r="AH87" s="545"/>
      <c r="AI87" s="541">
        <f>IFERROR(VLOOKUP(Camp_List[[#This Row],[Responsible Agency]],Organization_t[],3,0),"")</f>
        <v>0</v>
      </c>
      <c r="AJ87" s="548">
        <f>IF((SUMIFS(Data_Shelter_t[Coverage],Data_Shelter_t[Pcode],Camp_List[[#This Row],[P_Code]]))&gt;1,1,SUMIFS(Data_Shelter_t[Coverage],Data_Shelter_t[Pcode],Camp_List[[#This Row],[P_Code]]))</f>
        <v>0</v>
      </c>
      <c r="BL87" s="16"/>
      <c r="BM87" s="16"/>
      <c r="BP87" s="58"/>
      <c r="BQ87" s="58"/>
    </row>
    <row r="88" spans="1:69" ht="17.25" hidden="1" customHeight="1" x14ac:dyDescent="0.25">
      <c r="A88" s="316" t="s">
        <v>332</v>
      </c>
      <c r="B88" s="316" t="s">
        <v>7</v>
      </c>
      <c r="C88" s="316" t="s">
        <v>334</v>
      </c>
      <c r="D88" s="316" t="s">
        <v>17</v>
      </c>
      <c r="E88" s="316" t="s">
        <v>559</v>
      </c>
      <c r="F88" s="316" t="s">
        <v>17</v>
      </c>
      <c r="G88" s="316" t="s">
        <v>393</v>
      </c>
      <c r="H88" s="316" t="s">
        <v>418</v>
      </c>
      <c r="I88" s="316" t="s">
        <v>515</v>
      </c>
      <c r="J88" s="316"/>
      <c r="K88" s="316" t="s">
        <v>423</v>
      </c>
      <c r="L88" s="316" t="s">
        <v>85</v>
      </c>
      <c r="M88" s="316" t="s">
        <v>171</v>
      </c>
      <c r="N88" s="64">
        <v>92.888949999999994</v>
      </c>
      <c r="O88" s="64">
        <v>20.125032999999998</v>
      </c>
      <c r="P88" s="316"/>
      <c r="Q88" s="707"/>
      <c r="R88" s="710"/>
      <c r="S88" s="719">
        <v>0</v>
      </c>
      <c r="T88" s="316" t="s">
        <v>326</v>
      </c>
      <c r="U88" s="316" t="s">
        <v>707</v>
      </c>
      <c r="V88" s="539" t="s">
        <v>19</v>
      </c>
      <c r="W88" s="540"/>
      <c r="X88" s="316"/>
      <c r="Y88" s="316"/>
      <c r="Z88" s="316"/>
      <c r="AA88" s="541" t="str">
        <f>CONCATENATE(Camp_List[[#This Row],[Ethnicity]],"-",Camp_List[[#This Row],[Religion]])</f>
        <v>-</v>
      </c>
      <c r="AB88" s="541"/>
      <c r="AC88" s="316"/>
      <c r="AD88" s="543" t="s">
        <v>724</v>
      </c>
      <c r="AE88" s="316" t="s">
        <v>462</v>
      </c>
      <c r="AF88" s="316" t="s">
        <v>477</v>
      </c>
      <c r="AG88" s="254">
        <v>41520</v>
      </c>
      <c r="AH88" s="545"/>
      <c r="AI88" s="541">
        <f>IFERROR(VLOOKUP(Camp_List[[#This Row],[Responsible Agency]],Organization_t[],3,0),"")</f>
        <v>0</v>
      </c>
      <c r="AJ88" s="548">
        <f>IF((SUMIFS(Data_Shelter_t[Coverage],Data_Shelter_t[Pcode],Camp_List[[#This Row],[P_Code]]))&gt;1,1,SUMIFS(Data_Shelter_t[Coverage],Data_Shelter_t[Pcode],Camp_List[[#This Row],[P_Code]]))</f>
        <v>0</v>
      </c>
      <c r="BL88" s="16"/>
      <c r="BM88" s="16"/>
      <c r="BP88" s="58"/>
      <c r="BQ88" s="58"/>
    </row>
    <row r="89" spans="1:69" ht="17.25" hidden="1" customHeight="1" x14ac:dyDescent="0.25">
      <c r="A89" s="316" t="s">
        <v>332</v>
      </c>
      <c r="B89" s="316" t="s">
        <v>7</v>
      </c>
      <c r="C89" s="316" t="s">
        <v>334</v>
      </c>
      <c r="D89" s="316" t="s">
        <v>17</v>
      </c>
      <c r="E89" s="316" t="s">
        <v>559</v>
      </c>
      <c r="F89" s="316" t="s">
        <v>17</v>
      </c>
      <c r="G89" s="316" t="s">
        <v>393</v>
      </c>
      <c r="H89" s="316" t="s">
        <v>419</v>
      </c>
      <c r="I89" s="316" t="s">
        <v>515</v>
      </c>
      <c r="J89" s="316"/>
      <c r="K89" s="316" t="s">
        <v>424</v>
      </c>
      <c r="L89" s="316" t="s">
        <v>89</v>
      </c>
      <c r="M89" s="316" t="s">
        <v>175</v>
      </c>
      <c r="N89" s="64">
        <v>92.892431999999999</v>
      </c>
      <c r="O89" s="64">
        <v>20.146041</v>
      </c>
      <c r="P89" s="316"/>
      <c r="Q89" s="707"/>
      <c r="R89" s="710"/>
      <c r="S89" s="719">
        <v>0</v>
      </c>
      <c r="T89" s="316" t="s">
        <v>326</v>
      </c>
      <c r="U89" s="316" t="s">
        <v>707</v>
      </c>
      <c r="V89" s="539" t="s">
        <v>19</v>
      </c>
      <c r="W89" s="540"/>
      <c r="X89" s="316"/>
      <c r="Y89" s="316"/>
      <c r="Z89" s="316"/>
      <c r="AA89" s="541" t="str">
        <f>CONCATENATE(Camp_List[[#This Row],[Ethnicity]],"-",Camp_List[[#This Row],[Religion]])</f>
        <v>-</v>
      </c>
      <c r="AB89" s="541"/>
      <c r="AC89" s="316"/>
      <c r="AD89" s="543" t="s">
        <v>724</v>
      </c>
      <c r="AE89" s="316" t="s">
        <v>462</v>
      </c>
      <c r="AF89" s="316" t="s">
        <v>477</v>
      </c>
      <c r="AG89" s="254">
        <v>41520</v>
      </c>
      <c r="AH89" s="545"/>
      <c r="AI89" s="541">
        <f>IFERROR(VLOOKUP(Camp_List[[#This Row],[Responsible Agency]],Organization_t[],3,0),"")</f>
        <v>0</v>
      </c>
      <c r="AJ89" s="548">
        <f>IF((SUMIFS(Data_Shelter_t[Coverage],Data_Shelter_t[Pcode],Camp_List[[#This Row],[P_Code]]))&gt;1,1,SUMIFS(Data_Shelter_t[Coverage],Data_Shelter_t[Pcode],Camp_List[[#This Row],[P_Code]]))</f>
        <v>0</v>
      </c>
      <c r="BL89" s="16"/>
      <c r="BM89" s="16"/>
      <c r="BP89" s="58"/>
      <c r="BQ89" s="58"/>
    </row>
    <row r="90" spans="1:69" ht="17.25" hidden="1" customHeight="1" x14ac:dyDescent="0.25">
      <c r="A90" s="316" t="s">
        <v>332</v>
      </c>
      <c r="B90" s="316" t="s">
        <v>7</v>
      </c>
      <c r="C90" s="316" t="s">
        <v>334</v>
      </c>
      <c r="D90" s="316" t="s">
        <v>17</v>
      </c>
      <c r="E90" s="316" t="s">
        <v>559</v>
      </c>
      <c r="F90" s="316" t="s">
        <v>17</v>
      </c>
      <c r="G90" s="316" t="s">
        <v>393</v>
      </c>
      <c r="H90" s="316" t="s">
        <v>404</v>
      </c>
      <c r="I90" s="316" t="s">
        <v>515</v>
      </c>
      <c r="J90" s="316"/>
      <c r="K90" s="316" t="s">
        <v>405</v>
      </c>
      <c r="L90" s="316" t="s">
        <v>86</v>
      </c>
      <c r="M90" s="316" t="s">
        <v>172</v>
      </c>
      <c r="N90" s="64">
        <v>92.896417999999997</v>
      </c>
      <c r="O90" s="64">
        <v>20.152895000000001</v>
      </c>
      <c r="P90" s="316"/>
      <c r="Q90" s="707"/>
      <c r="R90" s="710"/>
      <c r="S90" s="719">
        <v>0</v>
      </c>
      <c r="T90" s="316" t="s">
        <v>326</v>
      </c>
      <c r="U90" s="316" t="s">
        <v>707</v>
      </c>
      <c r="V90" s="539" t="s">
        <v>19</v>
      </c>
      <c r="W90" s="540"/>
      <c r="X90" s="316"/>
      <c r="Y90" s="316"/>
      <c r="Z90" s="316"/>
      <c r="AA90" s="541" t="str">
        <f>CONCATENATE(Camp_List[[#This Row],[Ethnicity]],"-",Camp_List[[#This Row],[Religion]])</f>
        <v>-</v>
      </c>
      <c r="AB90" s="541"/>
      <c r="AC90" s="316"/>
      <c r="AD90" s="543" t="s">
        <v>724</v>
      </c>
      <c r="AE90" s="316" t="s">
        <v>462</v>
      </c>
      <c r="AF90" s="316" t="s">
        <v>477</v>
      </c>
      <c r="AG90" s="254">
        <v>41520</v>
      </c>
      <c r="AH90" s="545"/>
      <c r="AI90" s="541">
        <f>IFERROR(VLOOKUP(Camp_List[[#This Row],[Responsible Agency]],Organization_t[],3,0),"")</f>
        <v>0</v>
      </c>
      <c r="AJ90" s="548">
        <f>IF((SUMIFS(Data_Shelter_t[Coverage],Data_Shelter_t[Pcode],Camp_List[[#This Row],[P_Code]]))&gt;1,1,SUMIFS(Data_Shelter_t[Coverage],Data_Shelter_t[Pcode],Camp_List[[#This Row],[P_Code]]))</f>
        <v>0</v>
      </c>
      <c r="BL90" s="16"/>
      <c r="BM90" s="16"/>
      <c r="BP90" s="58"/>
      <c r="BQ90" s="58"/>
    </row>
    <row r="91" spans="1:69" ht="17.25" hidden="1" customHeight="1" x14ac:dyDescent="0.25">
      <c r="A91" s="316" t="s">
        <v>332</v>
      </c>
      <c r="B91" s="316" t="s">
        <v>7</v>
      </c>
      <c r="C91" s="316" t="s">
        <v>334</v>
      </c>
      <c r="D91" s="316" t="s">
        <v>17</v>
      </c>
      <c r="E91" s="316" t="s">
        <v>559</v>
      </c>
      <c r="F91" s="316" t="s">
        <v>17</v>
      </c>
      <c r="G91" s="316" t="s">
        <v>393</v>
      </c>
      <c r="H91" s="316" t="s">
        <v>415</v>
      </c>
      <c r="I91" s="316" t="s">
        <v>515</v>
      </c>
      <c r="J91" s="316"/>
      <c r="K91" s="316" t="s">
        <v>421</v>
      </c>
      <c r="L91" s="316" t="s">
        <v>94</v>
      </c>
      <c r="M91" s="316" t="s">
        <v>180</v>
      </c>
      <c r="N91" s="64">
        <v>92.896533000000005</v>
      </c>
      <c r="O91" s="64">
        <v>20.15465</v>
      </c>
      <c r="P91" s="316"/>
      <c r="Q91" s="707"/>
      <c r="R91" s="710"/>
      <c r="S91" s="719">
        <v>0</v>
      </c>
      <c r="T91" s="316" t="s">
        <v>326</v>
      </c>
      <c r="U91" s="316" t="s">
        <v>707</v>
      </c>
      <c r="V91" s="539" t="s">
        <v>19</v>
      </c>
      <c r="W91" s="540"/>
      <c r="X91" s="316"/>
      <c r="Y91" s="316"/>
      <c r="Z91" s="316"/>
      <c r="AA91" s="541" t="str">
        <f>CONCATENATE(Camp_List[[#This Row],[Ethnicity]],"-",Camp_List[[#This Row],[Religion]])</f>
        <v>-</v>
      </c>
      <c r="AB91" s="541"/>
      <c r="AC91" s="316"/>
      <c r="AD91" s="543" t="s">
        <v>724</v>
      </c>
      <c r="AE91" s="316" t="s">
        <v>462</v>
      </c>
      <c r="AF91" s="316" t="s">
        <v>477</v>
      </c>
      <c r="AG91" s="254">
        <v>41520</v>
      </c>
      <c r="AH91" s="545"/>
      <c r="AI91" s="541">
        <f>IFERROR(VLOOKUP(Camp_List[[#This Row],[Responsible Agency]],Organization_t[],3,0),"")</f>
        <v>0</v>
      </c>
      <c r="AJ91" s="548">
        <f>IF((SUMIFS(Data_Shelter_t[Coverage],Data_Shelter_t[Pcode],Camp_List[[#This Row],[P_Code]]))&gt;1,1,SUMIFS(Data_Shelter_t[Coverage],Data_Shelter_t[Pcode],Camp_List[[#This Row],[P_Code]]))</f>
        <v>0</v>
      </c>
      <c r="BL91" s="16"/>
      <c r="BM91" s="16"/>
      <c r="BP91" s="58"/>
      <c r="BQ91" s="58"/>
    </row>
    <row r="92" spans="1:69" ht="17.25" hidden="1" customHeight="1" x14ac:dyDescent="0.25">
      <c r="A92" s="316" t="s">
        <v>332</v>
      </c>
      <c r="B92" s="316" t="s">
        <v>7</v>
      </c>
      <c r="C92" s="316" t="s">
        <v>334</v>
      </c>
      <c r="D92" s="316" t="s">
        <v>17</v>
      </c>
      <c r="E92" s="316" t="s">
        <v>559</v>
      </c>
      <c r="F92" s="316" t="s">
        <v>17</v>
      </c>
      <c r="G92" s="316" t="s">
        <v>393</v>
      </c>
      <c r="H92" s="316" t="s">
        <v>419</v>
      </c>
      <c r="I92" s="316" t="s">
        <v>515</v>
      </c>
      <c r="J92" s="316"/>
      <c r="K92" s="316" t="s">
        <v>424</v>
      </c>
      <c r="L92" s="316" t="s">
        <v>93</v>
      </c>
      <c r="M92" s="316" t="s">
        <v>179</v>
      </c>
      <c r="N92" s="64">
        <v>92.893332999999998</v>
      </c>
      <c r="O92" s="64">
        <v>20.146117</v>
      </c>
      <c r="P92" s="316"/>
      <c r="Q92" s="707"/>
      <c r="R92" s="710"/>
      <c r="S92" s="719">
        <v>0</v>
      </c>
      <c r="T92" s="316" t="s">
        <v>326</v>
      </c>
      <c r="U92" s="316" t="s">
        <v>707</v>
      </c>
      <c r="V92" s="539" t="s">
        <v>19</v>
      </c>
      <c r="W92" s="540"/>
      <c r="X92" s="316"/>
      <c r="Y92" s="316"/>
      <c r="Z92" s="316"/>
      <c r="AA92" s="541" t="str">
        <f>CONCATENATE(Camp_List[[#This Row],[Ethnicity]],"-",Camp_List[[#This Row],[Religion]])</f>
        <v>-</v>
      </c>
      <c r="AB92" s="541"/>
      <c r="AC92" s="316"/>
      <c r="AD92" s="543" t="s">
        <v>724</v>
      </c>
      <c r="AE92" s="316" t="s">
        <v>462</v>
      </c>
      <c r="AF92" s="316" t="s">
        <v>477</v>
      </c>
      <c r="AG92" s="254">
        <v>41520</v>
      </c>
      <c r="AH92" s="545"/>
      <c r="AI92" s="541">
        <f>IFERROR(VLOOKUP(Camp_List[[#This Row],[Responsible Agency]],Organization_t[],3,0),"")</f>
        <v>0</v>
      </c>
      <c r="AJ92" s="548">
        <f>IF((SUMIFS(Data_Shelter_t[Coverage],Data_Shelter_t[Pcode],Camp_List[[#This Row],[P_Code]]))&gt;1,1,SUMIFS(Data_Shelter_t[Coverage],Data_Shelter_t[Pcode],Camp_List[[#This Row],[P_Code]]))</f>
        <v>0</v>
      </c>
      <c r="BL92" s="16"/>
      <c r="BM92" s="16"/>
      <c r="BP92" s="58"/>
      <c r="BQ92" s="58"/>
    </row>
    <row r="93" spans="1:69" ht="17.25" hidden="1" customHeight="1" x14ac:dyDescent="0.25">
      <c r="A93" s="316" t="s">
        <v>332</v>
      </c>
      <c r="B93" s="316" t="s">
        <v>7</v>
      </c>
      <c r="C93" s="316" t="s">
        <v>334</v>
      </c>
      <c r="D93" s="316" t="s">
        <v>17</v>
      </c>
      <c r="E93" s="316" t="s">
        <v>559</v>
      </c>
      <c r="F93" s="316" t="s">
        <v>17</v>
      </c>
      <c r="G93" s="316" t="s">
        <v>393</v>
      </c>
      <c r="H93" s="316" t="s">
        <v>399</v>
      </c>
      <c r="I93" s="316" t="s">
        <v>398</v>
      </c>
      <c r="J93" s="316" t="s">
        <v>454</v>
      </c>
      <c r="K93" s="316">
        <v>196192</v>
      </c>
      <c r="L93" s="316" t="s">
        <v>60</v>
      </c>
      <c r="M93" s="316" t="s">
        <v>146</v>
      </c>
      <c r="N93" s="64">
        <v>92.807418999999996</v>
      </c>
      <c r="O93" s="64">
        <v>20.181238</v>
      </c>
      <c r="P93" s="316"/>
      <c r="Q93" s="706"/>
      <c r="R93" s="709"/>
      <c r="S93" s="719">
        <v>0</v>
      </c>
      <c r="T93" s="316" t="s">
        <v>326</v>
      </c>
      <c r="U93" s="316" t="s">
        <v>707</v>
      </c>
      <c r="V93" s="539" t="s">
        <v>20</v>
      </c>
      <c r="W93" s="540"/>
      <c r="X93" s="316"/>
      <c r="Y93" s="316"/>
      <c r="Z93" s="316"/>
      <c r="AA93" s="541" t="str">
        <f>CONCATENATE(Camp_List[[#This Row],[Ethnicity]],"-",Camp_List[[#This Row],[Religion]])</f>
        <v>-</v>
      </c>
      <c r="AB93" s="541"/>
      <c r="AC93" s="316"/>
      <c r="AD93" s="543" t="s">
        <v>724</v>
      </c>
      <c r="AE93" s="316" t="s">
        <v>462</v>
      </c>
      <c r="AF93" s="316" t="s">
        <v>477</v>
      </c>
      <c r="AG93" s="254">
        <v>41548</v>
      </c>
      <c r="AH93" s="545" t="s">
        <v>975</v>
      </c>
      <c r="AI93" s="541">
        <f>IFERROR(VLOOKUP(Camp_List[[#This Row],[Responsible Agency]],Organization_t[],3,0),"")</f>
        <v>0</v>
      </c>
      <c r="AJ93" s="548">
        <f>IF((SUMIFS(Data_Shelter_t[Coverage],Data_Shelter_t[Pcode],Camp_List[[#This Row],[P_Code]]))&gt;1,1,SUMIFS(Data_Shelter_t[Coverage],Data_Shelter_t[Pcode],Camp_List[[#This Row],[P_Code]]))</f>
        <v>0</v>
      </c>
      <c r="BL93" s="16"/>
      <c r="BM93" s="16"/>
      <c r="BP93" s="58"/>
      <c r="BQ93" s="58"/>
    </row>
    <row r="94" spans="1:69" ht="17.25" hidden="1" customHeight="1" x14ac:dyDescent="0.25">
      <c r="A94" s="316" t="s">
        <v>332</v>
      </c>
      <c r="B94" s="316" t="s">
        <v>7</v>
      </c>
      <c r="C94" s="316" t="s">
        <v>334</v>
      </c>
      <c r="D94" s="316" t="s">
        <v>17</v>
      </c>
      <c r="E94" s="316" t="s">
        <v>559</v>
      </c>
      <c r="F94" s="316" t="s">
        <v>17</v>
      </c>
      <c r="G94" s="316" t="s">
        <v>393</v>
      </c>
      <c r="H94" s="316" t="s">
        <v>410</v>
      </c>
      <c r="I94" s="316" t="s">
        <v>515</v>
      </c>
      <c r="J94" s="316"/>
      <c r="K94" s="316" t="s">
        <v>411</v>
      </c>
      <c r="L94" s="316" t="s">
        <v>75</v>
      </c>
      <c r="M94" s="316" t="s">
        <v>161</v>
      </c>
      <c r="N94" s="64">
        <v>92.889384000000007</v>
      </c>
      <c r="O94" s="64">
        <v>20.135473999999999</v>
      </c>
      <c r="P94" s="316"/>
      <c r="Q94" s="706"/>
      <c r="R94" s="709"/>
      <c r="S94" s="719">
        <v>0</v>
      </c>
      <c r="T94" s="316" t="s">
        <v>326</v>
      </c>
      <c r="U94" s="316" t="s">
        <v>707</v>
      </c>
      <c r="V94" s="539" t="s">
        <v>20</v>
      </c>
      <c r="W94" s="540"/>
      <c r="X94" s="316"/>
      <c r="Y94" s="316"/>
      <c r="Z94" s="316"/>
      <c r="AA94" s="541" t="str">
        <f>CONCATENATE(Camp_List[[#This Row],[Ethnicity]],"-",Camp_List[[#This Row],[Religion]])</f>
        <v>-</v>
      </c>
      <c r="AB94" s="541"/>
      <c r="AC94" s="316"/>
      <c r="AD94" s="543" t="s">
        <v>724</v>
      </c>
      <c r="AE94" s="316" t="s">
        <v>462</v>
      </c>
      <c r="AF94" s="316" t="s">
        <v>477</v>
      </c>
      <c r="AG94" s="254">
        <v>41520</v>
      </c>
      <c r="AH94" s="545" t="s">
        <v>976</v>
      </c>
      <c r="AI94" s="541">
        <f>IFERROR(VLOOKUP(Camp_List[[#This Row],[Responsible Agency]],Organization_t[],3,0),"")</f>
        <v>0</v>
      </c>
      <c r="AJ94" s="548">
        <f>IF((SUMIFS(Data_Shelter_t[Coverage],Data_Shelter_t[Pcode],Camp_List[[#This Row],[P_Code]]))&gt;1,1,SUMIFS(Data_Shelter_t[Coverage],Data_Shelter_t[Pcode],Camp_List[[#This Row],[P_Code]]))</f>
        <v>0</v>
      </c>
      <c r="BL94" s="16"/>
      <c r="BM94" s="16"/>
      <c r="BP94" s="58"/>
      <c r="BQ94" s="58"/>
    </row>
    <row r="95" spans="1:69" ht="17.25" hidden="1" customHeight="1" x14ac:dyDescent="0.25">
      <c r="A95" s="316" t="s">
        <v>332</v>
      </c>
      <c r="B95" s="316" t="s">
        <v>7</v>
      </c>
      <c r="C95" s="316" t="s">
        <v>334</v>
      </c>
      <c r="D95" s="316" t="s">
        <v>17</v>
      </c>
      <c r="E95" s="316" t="s">
        <v>559</v>
      </c>
      <c r="F95" s="316" t="s">
        <v>17</v>
      </c>
      <c r="G95" s="316" t="s">
        <v>393</v>
      </c>
      <c r="H95" s="316" t="s">
        <v>404</v>
      </c>
      <c r="I95" s="316" t="s">
        <v>515</v>
      </c>
      <c r="J95" s="316"/>
      <c r="K95" s="316" t="s">
        <v>405</v>
      </c>
      <c r="L95" s="316" t="s">
        <v>77</v>
      </c>
      <c r="M95" s="316" t="s">
        <v>163</v>
      </c>
      <c r="N95" s="64">
        <v>92.897177999999997</v>
      </c>
      <c r="O95" s="64">
        <v>20.153129</v>
      </c>
      <c r="P95" s="316"/>
      <c r="Q95" s="706"/>
      <c r="R95" s="709"/>
      <c r="S95" s="719">
        <v>0</v>
      </c>
      <c r="T95" s="316" t="s">
        <v>326</v>
      </c>
      <c r="U95" s="316" t="s">
        <v>707</v>
      </c>
      <c r="V95" s="539" t="s">
        <v>20</v>
      </c>
      <c r="W95" s="540"/>
      <c r="X95" s="316"/>
      <c r="Y95" s="316"/>
      <c r="Z95" s="316"/>
      <c r="AA95" s="541" t="str">
        <f>CONCATENATE(Camp_List[[#This Row],[Ethnicity]],"-",Camp_List[[#This Row],[Religion]])</f>
        <v>-</v>
      </c>
      <c r="AB95" s="541"/>
      <c r="AC95" s="316"/>
      <c r="AD95" s="543" t="s">
        <v>724</v>
      </c>
      <c r="AE95" s="316" t="s">
        <v>462</v>
      </c>
      <c r="AF95" s="316" t="s">
        <v>477</v>
      </c>
      <c r="AG95" s="254">
        <v>41520</v>
      </c>
      <c r="AH95" s="545" t="s">
        <v>977</v>
      </c>
      <c r="AI95" s="541">
        <f>IFERROR(VLOOKUP(Camp_List[[#This Row],[Responsible Agency]],Organization_t[],3,0),"")</f>
        <v>0</v>
      </c>
      <c r="AJ95" s="548">
        <f>IF((SUMIFS(Data_Shelter_t[Coverage],Data_Shelter_t[Pcode],Camp_List[[#This Row],[P_Code]]))&gt;1,1,SUMIFS(Data_Shelter_t[Coverage],Data_Shelter_t[Pcode],Camp_List[[#This Row],[P_Code]]))</f>
        <v>0</v>
      </c>
      <c r="BL95" s="16"/>
      <c r="BM95" s="16"/>
      <c r="BP95" s="58"/>
      <c r="BQ95" s="58"/>
    </row>
    <row r="96" spans="1:69" ht="17.25" hidden="1" customHeight="1" x14ac:dyDescent="0.25">
      <c r="A96" s="316" t="s">
        <v>332</v>
      </c>
      <c r="B96" s="316" t="s">
        <v>7</v>
      </c>
      <c r="C96" s="316" t="s">
        <v>334</v>
      </c>
      <c r="D96" s="316" t="s">
        <v>17</v>
      </c>
      <c r="E96" s="316" t="s">
        <v>559</v>
      </c>
      <c r="F96" s="316" t="s">
        <v>17</v>
      </c>
      <c r="G96" s="316" t="s">
        <v>393</v>
      </c>
      <c r="H96" s="316" t="s">
        <v>399</v>
      </c>
      <c r="I96" s="316" t="s">
        <v>398</v>
      </c>
      <c r="J96" s="316"/>
      <c r="K96" s="316"/>
      <c r="L96" s="316" t="s">
        <v>507</v>
      </c>
      <c r="M96" s="316" t="s">
        <v>508</v>
      </c>
      <c r="N96" s="64">
        <v>92.816638999999995</v>
      </c>
      <c r="O96" s="64">
        <v>20.180194</v>
      </c>
      <c r="P96" s="316"/>
      <c r="Q96" s="706"/>
      <c r="R96" s="709"/>
      <c r="S96" s="719">
        <v>0</v>
      </c>
      <c r="T96" s="316" t="s">
        <v>326</v>
      </c>
      <c r="U96" s="316" t="s">
        <v>707</v>
      </c>
      <c r="V96" s="539" t="s">
        <v>20</v>
      </c>
      <c r="W96" s="540"/>
      <c r="X96" s="316"/>
      <c r="Y96" s="316"/>
      <c r="Z96" s="316"/>
      <c r="AA96" s="541" t="str">
        <f>CONCATENATE(Camp_List[[#This Row],[Ethnicity]],"-",Camp_List[[#This Row],[Religion]])</f>
        <v>-</v>
      </c>
      <c r="AB96" s="541"/>
      <c r="AC96" s="316"/>
      <c r="AD96" s="543" t="s">
        <v>724</v>
      </c>
      <c r="AE96" s="316" t="s">
        <v>462</v>
      </c>
      <c r="AF96" s="316" t="s">
        <v>477</v>
      </c>
      <c r="AG96" s="254">
        <v>41548</v>
      </c>
      <c r="AH96" s="545"/>
      <c r="AI96" s="541">
        <f>IFERROR(VLOOKUP(Camp_List[[#This Row],[Responsible Agency]],Organization_t[],3,0),"")</f>
        <v>0</v>
      </c>
      <c r="AJ96" s="548">
        <f>IF((SUMIFS(Data_Shelter_t[Coverage],Data_Shelter_t[Pcode],Camp_List[[#This Row],[P_Code]]))&gt;1,1,SUMIFS(Data_Shelter_t[Coverage],Data_Shelter_t[Pcode],Camp_List[[#This Row],[P_Code]]))</f>
        <v>0</v>
      </c>
      <c r="BL96" s="16"/>
      <c r="BM96" s="16"/>
      <c r="BP96" s="58"/>
      <c r="BQ96" s="58"/>
    </row>
    <row r="97" spans="1:69" ht="17.25" hidden="1" customHeight="1" x14ac:dyDescent="0.25">
      <c r="A97" s="316" t="s">
        <v>332</v>
      </c>
      <c r="B97" s="316" t="s">
        <v>7</v>
      </c>
      <c r="C97" s="316" t="s">
        <v>334</v>
      </c>
      <c r="D97" s="316" t="s">
        <v>17</v>
      </c>
      <c r="E97" s="316" t="s">
        <v>559</v>
      </c>
      <c r="F97" s="316" t="s">
        <v>17</v>
      </c>
      <c r="G97" s="316" t="s">
        <v>393</v>
      </c>
      <c r="H97" s="316" t="s">
        <v>397</v>
      </c>
      <c r="I97" s="316" t="s">
        <v>396</v>
      </c>
      <c r="J97" s="316" t="s">
        <v>460</v>
      </c>
      <c r="K97" s="316">
        <v>196207</v>
      </c>
      <c r="L97" s="316" t="s">
        <v>69</v>
      </c>
      <c r="M97" s="316" t="s">
        <v>155</v>
      </c>
      <c r="N97" s="64">
        <v>92.826407000000003</v>
      </c>
      <c r="O97" s="64">
        <v>20.175169</v>
      </c>
      <c r="P97" s="316"/>
      <c r="Q97" s="706"/>
      <c r="R97" s="709"/>
      <c r="S97" s="719">
        <v>0</v>
      </c>
      <c r="T97" s="316" t="s">
        <v>326</v>
      </c>
      <c r="U97" s="316" t="s">
        <v>707</v>
      </c>
      <c r="V97" s="539" t="s">
        <v>20</v>
      </c>
      <c r="W97" s="540"/>
      <c r="X97" s="316"/>
      <c r="Y97" s="316"/>
      <c r="Z97" s="316"/>
      <c r="AA97" s="541" t="str">
        <f>CONCATENATE(Camp_List[[#This Row],[Ethnicity]],"-",Camp_List[[#This Row],[Religion]])</f>
        <v>-</v>
      </c>
      <c r="AB97" s="541"/>
      <c r="AC97" s="316"/>
      <c r="AD97" s="543" t="s">
        <v>724</v>
      </c>
      <c r="AE97" s="316" t="s">
        <v>462</v>
      </c>
      <c r="AF97" s="316" t="s">
        <v>477</v>
      </c>
      <c r="AG97" s="254">
        <v>41520</v>
      </c>
      <c r="AH97" s="545" t="s">
        <v>978</v>
      </c>
      <c r="AI97" s="541">
        <f>IFERROR(VLOOKUP(Camp_List[[#This Row],[Responsible Agency]],Organization_t[],3,0),"")</f>
        <v>0</v>
      </c>
      <c r="AJ97" s="548">
        <f>IF((SUMIFS(Data_Shelter_t[Coverage],Data_Shelter_t[Pcode],Camp_List[[#This Row],[P_Code]]))&gt;1,1,SUMIFS(Data_Shelter_t[Coverage],Data_Shelter_t[Pcode],Camp_List[[#This Row],[P_Code]]))</f>
        <v>0</v>
      </c>
      <c r="BL97" s="16"/>
      <c r="BM97" s="16"/>
      <c r="BP97" s="58"/>
      <c r="BQ97" s="58"/>
    </row>
    <row r="98" spans="1:69" ht="17.25" hidden="1" customHeight="1" x14ac:dyDescent="0.25">
      <c r="A98" s="316" t="s">
        <v>332</v>
      </c>
      <c r="B98" s="316" t="s">
        <v>7</v>
      </c>
      <c r="C98" s="316" t="s">
        <v>334</v>
      </c>
      <c r="D98" s="316" t="s">
        <v>17</v>
      </c>
      <c r="E98" s="316" t="s">
        <v>559</v>
      </c>
      <c r="F98" s="316" t="s">
        <v>17</v>
      </c>
      <c r="G98" s="316" t="s">
        <v>393</v>
      </c>
      <c r="H98" s="316" t="s">
        <v>407</v>
      </c>
      <c r="I98" s="316" t="s">
        <v>515</v>
      </c>
      <c r="J98" s="316"/>
      <c r="K98" s="316" t="s">
        <v>406</v>
      </c>
      <c r="L98" s="316" t="s">
        <v>73</v>
      </c>
      <c r="M98" s="316" t="s">
        <v>159</v>
      </c>
      <c r="N98" s="64">
        <v>92.886889999999994</v>
      </c>
      <c r="O98" s="64">
        <v>20.132694999999998</v>
      </c>
      <c r="P98" s="316"/>
      <c r="Q98" s="706"/>
      <c r="R98" s="709"/>
      <c r="S98" s="719">
        <v>0</v>
      </c>
      <c r="T98" s="316" t="s">
        <v>326</v>
      </c>
      <c r="U98" s="316" t="s">
        <v>707</v>
      </c>
      <c r="V98" s="539" t="s">
        <v>20</v>
      </c>
      <c r="W98" s="540"/>
      <c r="X98" s="316"/>
      <c r="Y98" s="316"/>
      <c r="Z98" s="316"/>
      <c r="AA98" s="541" t="str">
        <f>CONCATENATE(Camp_List[[#This Row],[Ethnicity]],"-",Camp_List[[#This Row],[Religion]])</f>
        <v>-</v>
      </c>
      <c r="AB98" s="541"/>
      <c r="AC98" s="316"/>
      <c r="AD98" s="543" t="s">
        <v>724</v>
      </c>
      <c r="AE98" s="316" t="s">
        <v>462</v>
      </c>
      <c r="AF98" s="316" t="s">
        <v>477</v>
      </c>
      <c r="AG98" s="254">
        <v>41520</v>
      </c>
      <c r="AH98" s="545" t="s">
        <v>979</v>
      </c>
      <c r="AI98" s="541">
        <f>IFERROR(VLOOKUP(Camp_List[[#This Row],[Responsible Agency]],Organization_t[],3,0),"")</f>
        <v>0</v>
      </c>
      <c r="AJ98" s="548">
        <f>IF((SUMIFS(Data_Shelter_t[Coverage],Data_Shelter_t[Pcode],Camp_List[[#This Row],[P_Code]]))&gt;1,1,SUMIFS(Data_Shelter_t[Coverage],Data_Shelter_t[Pcode],Camp_List[[#This Row],[P_Code]]))</f>
        <v>0</v>
      </c>
      <c r="BL98" s="16"/>
      <c r="BM98" s="16"/>
      <c r="BP98" s="58"/>
      <c r="BQ98" s="58"/>
    </row>
    <row r="99" spans="1:69" ht="17.25" hidden="1" customHeight="1" x14ac:dyDescent="0.25">
      <c r="A99" s="316" t="s">
        <v>332</v>
      </c>
      <c r="B99" s="316" t="s">
        <v>7</v>
      </c>
      <c r="C99" s="316" t="s">
        <v>334</v>
      </c>
      <c r="D99" s="316" t="s">
        <v>17</v>
      </c>
      <c r="E99" s="316" t="s">
        <v>559</v>
      </c>
      <c r="F99" s="316" t="s">
        <v>17</v>
      </c>
      <c r="G99" s="316" t="s">
        <v>393</v>
      </c>
      <c r="H99" s="316" t="s">
        <v>408</v>
      </c>
      <c r="I99" s="316" t="s">
        <v>515</v>
      </c>
      <c r="J99" s="316"/>
      <c r="K99" s="316" t="s">
        <v>409</v>
      </c>
      <c r="L99" s="316" t="s">
        <v>74</v>
      </c>
      <c r="M99" s="316" t="s">
        <v>160</v>
      </c>
      <c r="N99" s="64">
        <v>92.860598999999993</v>
      </c>
      <c r="O99" s="64">
        <v>20.154343000000001</v>
      </c>
      <c r="P99" s="316"/>
      <c r="Q99" s="706"/>
      <c r="R99" s="709"/>
      <c r="S99" s="719">
        <v>0</v>
      </c>
      <c r="T99" s="316" t="s">
        <v>326</v>
      </c>
      <c r="U99" s="316" t="s">
        <v>707</v>
      </c>
      <c r="V99" s="539" t="s">
        <v>20</v>
      </c>
      <c r="W99" s="540"/>
      <c r="X99" s="316"/>
      <c r="Y99" s="316"/>
      <c r="Z99" s="316"/>
      <c r="AA99" s="541" t="str">
        <f>CONCATENATE(Camp_List[[#This Row],[Ethnicity]],"-",Camp_List[[#This Row],[Religion]])</f>
        <v>-</v>
      </c>
      <c r="AB99" s="541"/>
      <c r="AC99" s="316"/>
      <c r="AD99" s="543" t="s">
        <v>724</v>
      </c>
      <c r="AE99" s="316" t="s">
        <v>462</v>
      </c>
      <c r="AF99" s="316" t="s">
        <v>477</v>
      </c>
      <c r="AG99" s="254">
        <v>41520</v>
      </c>
      <c r="AH99" s="545" t="s">
        <v>980</v>
      </c>
      <c r="AI99" s="541">
        <f>IFERROR(VLOOKUP(Camp_List[[#This Row],[Responsible Agency]],Organization_t[],3,0),"")</f>
        <v>0</v>
      </c>
      <c r="AJ99" s="548">
        <f>IF((SUMIFS(Data_Shelter_t[Coverage],Data_Shelter_t[Pcode],Camp_List[[#This Row],[P_Code]]))&gt;1,1,SUMIFS(Data_Shelter_t[Coverage],Data_Shelter_t[Pcode],Camp_List[[#This Row],[P_Code]]))</f>
        <v>0</v>
      </c>
      <c r="BL99" s="16"/>
      <c r="BM99" s="16"/>
      <c r="BP99" s="58"/>
      <c r="BQ99" s="58"/>
    </row>
    <row r="100" spans="1:69" ht="17.25" hidden="1" customHeight="1" x14ac:dyDescent="0.25">
      <c r="A100" s="316" t="s">
        <v>332</v>
      </c>
      <c r="B100" s="316" t="s">
        <v>7</v>
      </c>
      <c r="C100" s="316" t="s">
        <v>334</v>
      </c>
      <c r="D100" s="316" t="s">
        <v>17</v>
      </c>
      <c r="E100" s="316" t="s">
        <v>559</v>
      </c>
      <c r="F100" s="316" t="s">
        <v>17</v>
      </c>
      <c r="G100" s="316" t="s">
        <v>393</v>
      </c>
      <c r="H100" s="316" t="s">
        <v>399</v>
      </c>
      <c r="I100" s="316" t="s">
        <v>398</v>
      </c>
      <c r="J100" s="316" t="s">
        <v>454</v>
      </c>
      <c r="K100" s="316">
        <v>196192</v>
      </c>
      <c r="L100" s="316" t="s">
        <v>63</v>
      </c>
      <c r="M100" s="316" t="s">
        <v>149</v>
      </c>
      <c r="N100" s="64">
        <v>92.798676999999998</v>
      </c>
      <c r="O100" s="64">
        <v>20.187750999999999</v>
      </c>
      <c r="P100" s="316"/>
      <c r="Q100" s="706"/>
      <c r="R100" s="709"/>
      <c r="S100" s="719">
        <v>0</v>
      </c>
      <c r="T100" s="316" t="s">
        <v>326</v>
      </c>
      <c r="U100" s="316" t="s">
        <v>707</v>
      </c>
      <c r="V100" s="539" t="s">
        <v>20</v>
      </c>
      <c r="W100" s="540"/>
      <c r="X100" s="316"/>
      <c r="Y100" s="316"/>
      <c r="Z100" s="316"/>
      <c r="AA100" s="541" t="str">
        <f>CONCATENATE(Camp_List[[#This Row],[Ethnicity]],"-",Camp_List[[#This Row],[Religion]])</f>
        <v>-</v>
      </c>
      <c r="AB100" s="541"/>
      <c r="AC100" s="316"/>
      <c r="AD100" s="543" t="s">
        <v>724</v>
      </c>
      <c r="AE100" s="316" t="s">
        <v>462</v>
      </c>
      <c r="AF100" s="316" t="s">
        <v>477</v>
      </c>
      <c r="AG100" s="254">
        <v>41548</v>
      </c>
      <c r="AH100" s="545" t="s">
        <v>981</v>
      </c>
      <c r="AI100" s="541">
        <f>IFERROR(VLOOKUP(Camp_List[[#This Row],[Responsible Agency]],Organization_t[],3,0),"")</f>
        <v>0</v>
      </c>
      <c r="AJ100" s="548">
        <f>IF((SUMIFS(Data_Shelter_t[Coverage],Data_Shelter_t[Pcode],Camp_List[[#This Row],[P_Code]]))&gt;1,1,SUMIFS(Data_Shelter_t[Coverage],Data_Shelter_t[Pcode],Camp_List[[#This Row],[P_Code]]))</f>
        <v>0</v>
      </c>
      <c r="BL100" s="16"/>
      <c r="BM100" s="16"/>
      <c r="BP100" s="58"/>
      <c r="BQ100" s="58"/>
    </row>
    <row r="101" spans="1:69" ht="17.25" hidden="1" customHeight="1" x14ac:dyDescent="0.25">
      <c r="A101" s="316" t="s">
        <v>332</v>
      </c>
      <c r="B101" s="316" t="s">
        <v>7</v>
      </c>
      <c r="C101" s="316" t="s">
        <v>334</v>
      </c>
      <c r="D101" s="316" t="s">
        <v>17</v>
      </c>
      <c r="E101" s="316" t="s">
        <v>559</v>
      </c>
      <c r="F101" s="316" t="s">
        <v>17</v>
      </c>
      <c r="G101" s="316" t="s">
        <v>393</v>
      </c>
      <c r="H101" s="316" t="s">
        <v>399</v>
      </c>
      <c r="I101" s="316" t="s">
        <v>398</v>
      </c>
      <c r="J101" s="316" t="s">
        <v>454</v>
      </c>
      <c r="K101" s="316">
        <v>196192</v>
      </c>
      <c r="L101" s="316" t="s">
        <v>231</v>
      </c>
      <c r="M101" s="316" t="s">
        <v>266</v>
      </c>
      <c r="N101" s="64">
        <v>92.800693999999993</v>
      </c>
      <c r="O101" s="64">
        <v>20.190055999999998</v>
      </c>
      <c r="P101" s="316"/>
      <c r="Q101" s="706"/>
      <c r="R101" s="709"/>
      <c r="S101" s="719">
        <v>0</v>
      </c>
      <c r="T101" s="316" t="s">
        <v>326</v>
      </c>
      <c r="U101" s="316" t="s">
        <v>707</v>
      </c>
      <c r="V101" s="539" t="s">
        <v>20</v>
      </c>
      <c r="W101" s="540"/>
      <c r="X101" s="316"/>
      <c r="Y101" s="316"/>
      <c r="Z101" s="316"/>
      <c r="AA101" s="541" t="str">
        <f>CONCATENATE(Camp_List[[#This Row],[Ethnicity]],"-",Camp_List[[#This Row],[Religion]])</f>
        <v>-</v>
      </c>
      <c r="AB101" s="541"/>
      <c r="AC101" s="316"/>
      <c r="AD101" s="543" t="s">
        <v>724</v>
      </c>
      <c r="AE101" s="316" t="s">
        <v>462</v>
      </c>
      <c r="AF101" s="316" t="s">
        <v>477</v>
      </c>
      <c r="AG101" s="254">
        <v>41548</v>
      </c>
      <c r="AH101" s="545" t="s">
        <v>982</v>
      </c>
      <c r="AI101" s="541">
        <f>IFERROR(VLOOKUP(Camp_List[[#This Row],[Responsible Agency]],Organization_t[],3,0),"")</f>
        <v>0</v>
      </c>
      <c r="AJ101" s="548">
        <f>IF((SUMIFS(Data_Shelter_t[Coverage],Data_Shelter_t[Pcode],Camp_List[[#This Row],[P_Code]]))&gt;1,1,SUMIFS(Data_Shelter_t[Coverage],Data_Shelter_t[Pcode],Camp_List[[#This Row],[P_Code]]))</f>
        <v>0</v>
      </c>
      <c r="BL101" s="16"/>
      <c r="BM101" s="16"/>
      <c r="BP101" s="58"/>
      <c r="BQ101" s="58"/>
    </row>
    <row r="102" spans="1:69" ht="17.25" hidden="1" customHeight="1" x14ac:dyDescent="0.25">
      <c r="A102" s="316" t="s">
        <v>332</v>
      </c>
      <c r="B102" s="316" t="s">
        <v>7</v>
      </c>
      <c r="C102" s="316" t="s">
        <v>334</v>
      </c>
      <c r="D102" s="316" t="s">
        <v>17</v>
      </c>
      <c r="E102" s="316" t="s">
        <v>559</v>
      </c>
      <c r="F102" s="316" t="s">
        <v>17</v>
      </c>
      <c r="G102" s="316" t="s">
        <v>393</v>
      </c>
      <c r="H102" s="316" t="s">
        <v>399</v>
      </c>
      <c r="I102" s="316" t="s">
        <v>398</v>
      </c>
      <c r="J102" s="316" t="s">
        <v>454</v>
      </c>
      <c r="K102" s="316">
        <v>196192</v>
      </c>
      <c r="L102" s="316" t="s">
        <v>262</v>
      </c>
      <c r="M102" s="316" t="s">
        <v>503</v>
      </c>
      <c r="N102" s="64">
        <v>92.800528</v>
      </c>
      <c r="O102" s="64">
        <v>20.185583000000001</v>
      </c>
      <c r="P102" s="316"/>
      <c r="Q102" s="706"/>
      <c r="R102" s="709"/>
      <c r="S102" s="719">
        <v>0</v>
      </c>
      <c r="T102" s="316" t="s">
        <v>326</v>
      </c>
      <c r="U102" s="316" t="s">
        <v>707</v>
      </c>
      <c r="V102" s="539" t="s">
        <v>20</v>
      </c>
      <c r="W102" s="540"/>
      <c r="X102" s="316"/>
      <c r="Y102" s="316"/>
      <c r="Z102" s="316"/>
      <c r="AA102" s="541" t="str">
        <f>CONCATENATE(Camp_List[[#This Row],[Ethnicity]],"-",Camp_List[[#This Row],[Religion]])</f>
        <v>-</v>
      </c>
      <c r="AB102" s="541"/>
      <c r="AC102" s="316"/>
      <c r="AD102" s="543" t="s">
        <v>724</v>
      </c>
      <c r="AE102" s="316" t="s">
        <v>462</v>
      </c>
      <c r="AF102" s="316" t="s">
        <v>477</v>
      </c>
      <c r="AG102" s="254">
        <v>41548</v>
      </c>
      <c r="AH102" s="545" t="s">
        <v>983</v>
      </c>
      <c r="AI102" s="541">
        <f>IFERROR(VLOOKUP(Camp_List[[#This Row],[Responsible Agency]],Organization_t[],3,0),"")</f>
        <v>0</v>
      </c>
      <c r="AJ102" s="548">
        <f>IF((SUMIFS(Data_Shelter_t[Coverage],Data_Shelter_t[Pcode],Camp_List[[#This Row],[P_Code]]))&gt;1,1,SUMIFS(Data_Shelter_t[Coverage],Data_Shelter_t[Pcode],Camp_List[[#This Row],[P_Code]]))</f>
        <v>0</v>
      </c>
      <c r="BL102" s="16"/>
      <c r="BM102" s="16"/>
      <c r="BP102" s="58"/>
      <c r="BQ102" s="58"/>
    </row>
    <row r="103" spans="1:69" ht="17.25" hidden="1" customHeight="1" x14ac:dyDescent="0.25">
      <c r="A103" s="316" t="s">
        <v>332</v>
      </c>
      <c r="B103" s="316" t="s">
        <v>7</v>
      </c>
      <c r="C103" s="316" t="s">
        <v>334</v>
      </c>
      <c r="D103" s="316" t="s">
        <v>17</v>
      </c>
      <c r="E103" s="316" t="s">
        <v>559</v>
      </c>
      <c r="F103" s="316" t="s">
        <v>17</v>
      </c>
      <c r="G103" s="316" t="s">
        <v>393</v>
      </c>
      <c r="H103" s="316" t="s">
        <v>399</v>
      </c>
      <c r="I103" s="316" t="s">
        <v>398</v>
      </c>
      <c r="J103" s="316" t="s">
        <v>454</v>
      </c>
      <c r="K103" s="316">
        <v>196192</v>
      </c>
      <c r="L103" s="316" t="s">
        <v>263</v>
      </c>
      <c r="M103" s="316" t="s">
        <v>504</v>
      </c>
      <c r="N103" s="64">
        <v>92.799861000000007</v>
      </c>
      <c r="O103" s="64">
        <v>20.185193999999999</v>
      </c>
      <c r="P103" s="316"/>
      <c r="Q103" s="706"/>
      <c r="R103" s="709"/>
      <c r="S103" s="719">
        <v>0</v>
      </c>
      <c r="T103" s="316" t="s">
        <v>326</v>
      </c>
      <c r="U103" s="316" t="s">
        <v>707</v>
      </c>
      <c r="V103" s="539" t="s">
        <v>20</v>
      </c>
      <c r="W103" s="540"/>
      <c r="X103" s="316"/>
      <c r="Y103" s="316"/>
      <c r="Z103" s="316"/>
      <c r="AA103" s="541" t="str">
        <f>CONCATENATE(Camp_List[[#This Row],[Ethnicity]],"-",Camp_List[[#This Row],[Religion]])</f>
        <v>-</v>
      </c>
      <c r="AB103" s="541"/>
      <c r="AC103" s="316"/>
      <c r="AD103" s="543" t="s">
        <v>724</v>
      </c>
      <c r="AE103" s="316" t="s">
        <v>462</v>
      </c>
      <c r="AF103" s="316" t="s">
        <v>477</v>
      </c>
      <c r="AG103" s="254">
        <v>41548</v>
      </c>
      <c r="AH103" s="545" t="s">
        <v>984</v>
      </c>
      <c r="AI103" s="541">
        <f>IFERROR(VLOOKUP(Camp_List[[#This Row],[Responsible Agency]],Organization_t[],3,0),"")</f>
        <v>0</v>
      </c>
      <c r="AJ103" s="548">
        <f>IF((SUMIFS(Data_Shelter_t[Coverage],Data_Shelter_t[Pcode],Camp_List[[#This Row],[P_Code]]))&gt;1,1,SUMIFS(Data_Shelter_t[Coverage],Data_Shelter_t[Pcode],Camp_List[[#This Row],[P_Code]]))</f>
        <v>0</v>
      </c>
      <c r="BL103" s="16"/>
      <c r="BM103" s="16"/>
      <c r="BP103" s="58"/>
      <c r="BQ103" s="58"/>
    </row>
    <row r="104" spans="1:69" ht="17.25" hidden="1" customHeight="1" x14ac:dyDescent="0.25">
      <c r="A104" s="316" t="s">
        <v>332</v>
      </c>
      <c r="B104" s="316" t="s">
        <v>7</v>
      </c>
      <c r="C104" s="316" t="s">
        <v>334</v>
      </c>
      <c r="D104" s="316" t="s">
        <v>17</v>
      </c>
      <c r="E104" s="316" t="s">
        <v>559</v>
      </c>
      <c r="F104" s="316" t="s">
        <v>17</v>
      </c>
      <c r="G104" s="316" t="s">
        <v>393</v>
      </c>
      <c r="H104" s="316" t="s">
        <v>401</v>
      </c>
      <c r="I104" s="316" t="s">
        <v>400</v>
      </c>
      <c r="J104" s="316" t="s">
        <v>458</v>
      </c>
      <c r="K104" s="316">
        <v>196157</v>
      </c>
      <c r="L104" s="316" t="s">
        <v>64</v>
      </c>
      <c r="M104" s="316" t="s">
        <v>150</v>
      </c>
      <c r="N104" s="64">
        <v>92.788177000000005</v>
      </c>
      <c r="O104" s="64">
        <v>20.207284999999999</v>
      </c>
      <c r="P104" s="316"/>
      <c r="Q104" s="706"/>
      <c r="R104" s="709"/>
      <c r="S104" s="719">
        <v>0</v>
      </c>
      <c r="T104" s="316" t="s">
        <v>326</v>
      </c>
      <c r="U104" s="316" t="s">
        <v>707</v>
      </c>
      <c r="V104" s="539" t="s">
        <v>20</v>
      </c>
      <c r="W104" s="540"/>
      <c r="X104" s="316"/>
      <c r="Y104" s="316"/>
      <c r="Z104" s="316"/>
      <c r="AA104" s="541" t="str">
        <f>CONCATENATE(Camp_List[[#This Row],[Ethnicity]],"-",Camp_List[[#This Row],[Religion]])</f>
        <v>-</v>
      </c>
      <c r="AB104" s="541"/>
      <c r="AC104" s="316"/>
      <c r="AD104" s="543" t="s">
        <v>724</v>
      </c>
      <c r="AE104" s="316" t="s">
        <v>462</v>
      </c>
      <c r="AF104" s="316" t="s">
        <v>477</v>
      </c>
      <c r="AG104" s="254">
        <v>41548</v>
      </c>
      <c r="AH104" s="545" t="s">
        <v>985</v>
      </c>
      <c r="AI104" s="541">
        <f>IFERROR(VLOOKUP(Camp_List[[#This Row],[Responsible Agency]],Organization_t[],3,0),"")</f>
        <v>0</v>
      </c>
      <c r="AJ104" s="548">
        <f>IF((SUMIFS(Data_Shelter_t[Coverage],Data_Shelter_t[Pcode],Camp_List[[#This Row],[P_Code]]))&gt;1,1,SUMIFS(Data_Shelter_t[Coverage],Data_Shelter_t[Pcode],Camp_List[[#This Row],[P_Code]]))</f>
        <v>0</v>
      </c>
      <c r="BL104" s="16"/>
      <c r="BM104" s="16"/>
      <c r="BP104" s="58"/>
      <c r="BQ104" s="58"/>
    </row>
    <row r="105" spans="1:69" ht="17.25" hidden="1" customHeight="1" x14ac:dyDescent="0.25">
      <c r="A105" s="316" t="s">
        <v>332</v>
      </c>
      <c r="B105" s="316" t="s">
        <v>7</v>
      </c>
      <c r="C105" s="316" t="s">
        <v>334</v>
      </c>
      <c r="D105" s="316" t="s">
        <v>17</v>
      </c>
      <c r="E105" s="316" t="s">
        <v>559</v>
      </c>
      <c r="F105" s="316" t="s">
        <v>17</v>
      </c>
      <c r="G105" s="316" t="s">
        <v>393</v>
      </c>
      <c r="H105" s="316" t="s">
        <v>397</v>
      </c>
      <c r="I105" s="316" t="s">
        <v>396</v>
      </c>
      <c r="J105" s="316" t="s">
        <v>457</v>
      </c>
      <c r="K105" s="316">
        <v>196209</v>
      </c>
      <c r="L105" s="316" t="s">
        <v>71</v>
      </c>
      <c r="M105" s="316" t="s">
        <v>157</v>
      </c>
      <c r="N105" s="64">
        <v>92.847966999999997</v>
      </c>
      <c r="O105" s="64">
        <v>20.147107999999999</v>
      </c>
      <c r="P105" s="316"/>
      <c r="Q105" s="706"/>
      <c r="R105" s="709"/>
      <c r="S105" s="719">
        <v>0</v>
      </c>
      <c r="T105" s="316" t="s">
        <v>326</v>
      </c>
      <c r="U105" s="316" t="s">
        <v>707</v>
      </c>
      <c r="V105" s="539" t="s">
        <v>21</v>
      </c>
      <c r="W105" s="540"/>
      <c r="X105" s="316"/>
      <c r="Y105" s="316"/>
      <c r="Z105" s="316"/>
      <c r="AA105" s="541" t="str">
        <f>CONCATENATE(Camp_List[[#This Row],[Ethnicity]],"-",Camp_List[[#This Row],[Religion]])</f>
        <v>-</v>
      </c>
      <c r="AB105" s="541"/>
      <c r="AC105" s="316"/>
      <c r="AD105" s="543" t="s">
        <v>724</v>
      </c>
      <c r="AE105" s="316" t="s">
        <v>462</v>
      </c>
      <c r="AF105" s="316" t="s">
        <v>477</v>
      </c>
      <c r="AG105" s="254">
        <v>41520</v>
      </c>
      <c r="AH105" s="545" t="s">
        <v>986</v>
      </c>
      <c r="AI105" s="541">
        <f>IFERROR(VLOOKUP(Camp_List[[#This Row],[Responsible Agency]],Organization_t[],3,0),"")</f>
        <v>0</v>
      </c>
      <c r="AJ105" s="548">
        <f>IF((SUMIFS(Data_Shelter_t[Coverage],Data_Shelter_t[Pcode],Camp_List[[#This Row],[P_Code]]))&gt;1,1,SUMIFS(Data_Shelter_t[Coverage],Data_Shelter_t[Pcode],Camp_List[[#This Row],[P_Code]]))</f>
        <v>0</v>
      </c>
      <c r="BL105" s="16"/>
      <c r="BM105" s="16"/>
      <c r="BP105" s="58"/>
      <c r="BQ105" s="58"/>
    </row>
    <row r="106" spans="1:69" ht="17.25" hidden="1" customHeight="1" x14ac:dyDescent="0.25">
      <c r="A106" s="316" t="s">
        <v>332</v>
      </c>
      <c r="B106" s="316" t="s">
        <v>7</v>
      </c>
      <c r="C106" s="316" t="s">
        <v>334</v>
      </c>
      <c r="D106" s="316" t="s">
        <v>17</v>
      </c>
      <c r="E106" s="316" t="s">
        <v>559</v>
      </c>
      <c r="F106" s="316" t="s">
        <v>17</v>
      </c>
      <c r="G106" s="316" t="s">
        <v>393</v>
      </c>
      <c r="H106" s="316" t="s">
        <v>397</v>
      </c>
      <c r="I106" s="316" t="s">
        <v>396</v>
      </c>
      <c r="J106" s="316" t="s">
        <v>461</v>
      </c>
      <c r="K106" s="316">
        <v>196216</v>
      </c>
      <c r="L106" s="316" t="s">
        <v>72</v>
      </c>
      <c r="M106" s="316" t="s">
        <v>158</v>
      </c>
      <c r="N106" s="64">
        <v>92.848348000000001</v>
      </c>
      <c r="O106" s="64">
        <v>20.133385000000001</v>
      </c>
      <c r="P106" s="316"/>
      <c r="Q106" s="706"/>
      <c r="R106" s="709"/>
      <c r="S106" s="719">
        <v>0</v>
      </c>
      <c r="T106" s="316" t="s">
        <v>326</v>
      </c>
      <c r="U106" s="316" t="s">
        <v>707</v>
      </c>
      <c r="V106" s="539" t="s">
        <v>21</v>
      </c>
      <c r="W106" s="540"/>
      <c r="X106" s="316"/>
      <c r="Y106" s="316"/>
      <c r="Z106" s="316"/>
      <c r="AA106" s="541" t="str">
        <f>CONCATENATE(Camp_List[[#This Row],[Ethnicity]],"-",Camp_List[[#This Row],[Religion]])</f>
        <v>-</v>
      </c>
      <c r="AB106" s="541"/>
      <c r="AC106" s="316"/>
      <c r="AD106" s="543" t="s">
        <v>724</v>
      </c>
      <c r="AE106" s="316" t="s">
        <v>462</v>
      </c>
      <c r="AF106" s="316" t="s">
        <v>477</v>
      </c>
      <c r="AG106" s="254">
        <v>41520</v>
      </c>
      <c r="AH106" s="545"/>
      <c r="AI106" s="541">
        <f>IFERROR(VLOOKUP(Camp_List[[#This Row],[Responsible Agency]],Organization_t[],3,0),"")</f>
        <v>0</v>
      </c>
      <c r="AJ106" s="548">
        <f>IF((SUMIFS(Data_Shelter_t[Coverage],Data_Shelter_t[Pcode],Camp_List[[#This Row],[P_Code]]))&gt;1,1,SUMIFS(Data_Shelter_t[Coverage],Data_Shelter_t[Pcode],Camp_List[[#This Row],[P_Code]]))</f>
        <v>0</v>
      </c>
      <c r="BL106" s="16"/>
      <c r="BM106" s="16"/>
      <c r="BP106" s="58"/>
      <c r="BQ106" s="58"/>
    </row>
    <row r="107" spans="1:69" ht="17.25" hidden="1" customHeight="1" x14ac:dyDescent="0.25">
      <c r="A107" s="316" t="s">
        <v>332</v>
      </c>
      <c r="B107" s="316" t="s">
        <v>7</v>
      </c>
      <c r="C107" s="316" t="s">
        <v>334</v>
      </c>
      <c r="D107" s="316" t="s">
        <v>17</v>
      </c>
      <c r="E107" s="316" t="s">
        <v>559</v>
      </c>
      <c r="F107" s="316" t="s">
        <v>17</v>
      </c>
      <c r="G107" s="316" t="s">
        <v>393</v>
      </c>
      <c r="H107" s="316" t="s">
        <v>395</v>
      </c>
      <c r="I107" s="316" t="s">
        <v>394</v>
      </c>
      <c r="J107" s="316" t="s">
        <v>65</v>
      </c>
      <c r="K107" s="316">
        <v>196154</v>
      </c>
      <c r="L107" s="316" t="s">
        <v>70</v>
      </c>
      <c r="M107" s="316" t="s">
        <v>156</v>
      </c>
      <c r="N107" s="64">
        <v>92.792958999999996</v>
      </c>
      <c r="O107" s="64">
        <v>20.205295</v>
      </c>
      <c r="P107" s="316"/>
      <c r="Q107" s="706"/>
      <c r="R107" s="709"/>
      <c r="S107" s="719">
        <v>0</v>
      </c>
      <c r="T107" s="316" t="s">
        <v>326</v>
      </c>
      <c r="U107" s="316" t="s">
        <v>707</v>
      </c>
      <c r="V107" s="539" t="s">
        <v>21</v>
      </c>
      <c r="W107" s="540"/>
      <c r="X107" s="316"/>
      <c r="Y107" s="316"/>
      <c r="Z107" s="316"/>
      <c r="AA107" s="541" t="str">
        <f>CONCATENATE(Camp_List[[#This Row],[Ethnicity]],"-",Camp_List[[#This Row],[Religion]])</f>
        <v>-</v>
      </c>
      <c r="AB107" s="541"/>
      <c r="AC107" s="316"/>
      <c r="AD107" s="543" t="s">
        <v>724</v>
      </c>
      <c r="AE107" s="316" t="s">
        <v>462</v>
      </c>
      <c r="AF107" s="316" t="s">
        <v>477</v>
      </c>
      <c r="AG107" s="254">
        <v>41520</v>
      </c>
      <c r="AH107" s="545" t="s">
        <v>987</v>
      </c>
      <c r="AI107" s="541">
        <f>IFERROR(VLOOKUP(Camp_List[[#This Row],[Responsible Agency]],Organization_t[],3,0),"")</f>
        <v>0</v>
      </c>
      <c r="AJ107" s="548">
        <f>IF((SUMIFS(Data_Shelter_t[Coverage],Data_Shelter_t[Pcode],Camp_List[[#This Row],[P_Code]]))&gt;1,1,SUMIFS(Data_Shelter_t[Coverage],Data_Shelter_t[Pcode],Camp_List[[#This Row],[P_Code]]))</f>
        <v>0</v>
      </c>
      <c r="BL107" s="16"/>
      <c r="BM107" s="16"/>
      <c r="BP107" s="58"/>
      <c r="BQ107" s="58"/>
    </row>
    <row r="108" spans="1:69" ht="17.25" hidden="1" customHeight="1" x14ac:dyDescent="0.25">
      <c r="A108" s="316" t="s">
        <v>332</v>
      </c>
      <c r="B108" s="316" t="s">
        <v>7</v>
      </c>
      <c r="C108" s="316" t="s">
        <v>334</v>
      </c>
      <c r="D108" s="316" t="s">
        <v>17</v>
      </c>
      <c r="E108" s="316" t="s">
        <v>559</v>
      </c>
      <c r="F108" s="316" t="s">
        <v>17</v>
      </c>
      <c r="G108" s="316" t="s">
        <v>393</v>
      </c>
      <c r="H108" s="316" t="s">
        <v>470</v>
      </c>
      <c r="I108" s="316" t="s">
        <v>515</v>
      </c>
      <c r="J108" s="316" t="s">
        <v>516</v>
      </c>
      <c r="K108" s="316" t="s">
        <v>517</v>
      </c>
      <c r="L108" s="316" t="s">
        <v>518</v>
      </c>
      <c r="M108" s="316" t="s">
        <v>519</v>
      </c>
      <c r="N108" s="64">
        <v>92.887277999999995</v>
      </c>
      <c r="O108" s="64">
        <v>20.151471999999998</v>
      </c>
      <c r="P108" s="316"/>
      <c r="Q108" s="706"/>
      <c r="R108" s="709"/>
      <c r="S108" s="719">
        <v>0</v>
      </c>
      <c r="T108" s="316" t="s">
        <v>326</v>
      </c>
      <c r="U108" s="316" t="s">
        <v>707</v>
      </c>
      <c r="V108" s="539" t="s">
        <v>21</v>
      </c>
      <c r="W108" s="540"/>
      <c r="X108" s="316"/>
      <c r="Y108" s="316"/>
      <c r="Z108" s="316"/>
      <c r="AA108" s="541" t="str">
        <f>CONCATENATE(Camp_List[[#This Row],[Ethnicity]],"-",Camp_List[[#This Row],[Religion]])</f>
        <v>-</v>
      </c>
      <c r="AB108" s="541"/>
      <c r="AC108" s="316"/>
      <c r="AD108" s="543" t="s">
        <v>724</v>
      </c>
      <c r="AE108" s="316" t="s">
        <v>462</v>
      </c>
      <c r="AF108" s="316" t="s">
        <v>477</v>
      </c>
      <c r="AG108" s="254">
        <v>41548</v>
      </c>
      <c r="AH108" s="545" t="s">
        <v>988</v>
      </c>
      <c r="AI108" s="541">
        <f>IFERROR(VLOOKUP(Camp_List[[#This Row],[Responsible Agency]],Organization_t[],3,0),"")</f>
        <v>0</v>
      </c>
      <c r="AJ108" s="548">
        <f>IF((SUMIFS(Data_Shelter_t[Coverage],Data_Shelter_t[Pcode],Camp_List[[#This Row],[P_Code]]))&gt;1,1,SUMIFS(Data_Shelter_t[Coverage],Data_Shelter_t[Pcode],Camp_List[[#This Row],[P_Code]]))</f>
        <v>0</v>
      </c>
      <c r="BL108" s="16"/>
      <c r="BM108" s="16"/>
      <c r="BP108" s="58"/>
      <c r="BQ108" s="58"/>
    </row>
    <row r="109" spans="1:69" ht="17.25" hidden="1" customHeight="1" x14ac:dyDescent="0.25">
      <c r="A109" s="316" t="s">
        <v>606</v>
      </c>
      <c r="B109" s="316" t="s">
        <v>7</v>
      </c>
      <c r="C109" s="316" t="s">
        <v>334</v>
      </c>
      <c r="D109" s="316" t="s">
        <v>17</v>
      </c>
      <c r="E109" s="316" t="s">
        <v>559</v>
      </c>
      <c r="F109" s="316" t="s">
        <v>17</v>
      </c>
      <c r="G109" s="316" t="s">
        <v>393</v>
      </c>
      <c r="H109" s="316" t="s">
        <v>397</v>
      </c>
      <c r="I109" s="316" t="s">
        <v>396</v>
      </c>
      <c r="J109" s="316" t="s">
        <v>1160</v>
      </c>
      <c r="K109" s="316">
        <v>196211</v>
      </c>
      <c r="L109" s="316" t="s">
        <v>67</v>
      </c>
      <c r="M109" s="316" t="s">
        <v>153</v>
      </c>
      <c r="N109" s="64">
        <v>92.837576999999996</v>
      </c>
      <c r="O109" s="64">
        <v>20.156842000000001</v>
      </c>
      <c r="P109" s="316"/>
      <c r="Q109" s="706"/>
      <c r="R109" s="709"/>
      <c r="S109" s="719">
        <v>0</v>
      </c>
      <c r="T109" s="316" t="s">
        <v>326</v>
      </c>
      <c r="U109" s="316" t="s">
        <v>707</v>
      </c>
      <c r="V109" s="539" t="s">
        <v>21</v>
      </c>
      <c r="W109" s="540"/>
      <c r="X109" s="316"/>
      <c r="Y109" s="316"/>
      <c r="Z109" s="316"/>
      <c r="AA109" s="541" t="str">
        <f>CONCATENATE(Camp_List[[#This Row],[Ethnicity]],"-",Camp_List[[#This Row],[Religion]])</f>
        <v>-</v>
      </c>
      <c r="AB109" s="541"/>
      <c r="AC109" s="316"/>
      <c r="AD109" s="543" t="s">
        <v>724</v>
      </c>
      <c r="AE109" s="316" t="s">
        <v>462</v>
      </c>
      <c r="AF109" s="316" t="s">
        <v>477</v>
      </c>
      <c r="AG109" s="254">
        <v>41579</v>
      </c>
      <c r="AH109" s="545" t="s">
        <v>989</v>
      </c>
      <c r="AI109" s="541">
        <f>IFERROR(VLOOKUP(Camp_List[[#This Row],[Responsible Agency]],Organization_t[],3,0),"")</f>
        <v>0</v>
      </c>
      <c r="AJ109" s="548">
        <f>IF((SUMIFS(Data_Shelter_t[Coverage],Data_Shelter_t[Pcode],Camp_List[[#This Row],[P_Code]]))&gt;1,1,SUMIFS(Data_Shelter_t[Coverage],Data_Shelter_t[Pcode],Camp_List[[#This Row],[P_Code]]))</f>
        <v>0</v>
      </c>
      <c r="BL109" s="16"/>
      <c r="BM109" s="16"/>
      <c r="BP109" s="58"/>
      <c r="BQ109" s="58"/>
    </row>
    <row r="110" spans="1:69" ht="17.25" hidden="1" customHeight="1" x14ac:dyDescent="0.25">
      <c r="A110" s="316" t="s">
        <v>332</v>
      </c>
      <c r="B110" s="316" t="s">
        <v>7</v>
      </c>
      <c r="C110" s="316" t="s">
        <v>334</v>
      </c>
      <c r="D110" s="316" t="s">
        <v>17</v>
      </c>
      <c r="E110" s="316" t="s">
        <v>559</v>
      </c>
      <c r="F110" s="316" t="s">
        <v>17</v>
      </c>
      <c r="G110" s="316" t="s">
        <v>393</v>
      </c>
      <c r="H110" s="316" t="s">
        <v>397</v>
      </c>
      <c r="I110" s="316" t="s">
        <v>396</v>
      </c>
      <c r="J110" s="316" t="s">
        <v>1160</v>
      </c>
      <c r="K110" s="316">
        <v>196211</v>
      </c>
      <c r="L110" s="316" t="s">
        <v>505</v>
      </c>
      <c r="M110" s="316" t="s">
        <v>506</v>
      </c>
      <c r="N110" s="64">
        <v>92.839166000000006</v>
      </c>
      <c r="O110" s="64">
        <v>20.157311</v>
      </c>
      <c r="P110" s="316"/>
      <c r="Q110" s="707"/>
      <c r="R110" s="710"/>
      <c r="S110" s="719"/>
      <c r="T110" s="316" t="s">
        <v>326</v>
      </c>
      <c r="U110" s="316" t="s">
        <v>707</v>
      </c>
      <c r="V110" s="539" t="s">
        <v>759</v>
      </c>
      <c r="W110" s="540"/>
      <c r="X110" s="316"/>
      <c r="Y110" s="316"/>
      <c r="Z110" s="316"/>
      <c r="AA110" s="541"/>
      <c r="AB110" s="541"/>
      <c r="AC110" s="316"/>
      <c r="AD110" s="543"/>
      <c r="AE110" s="316"/>
      <c r="AF110" s="316"/>
      <c r="AG110" s="254">
        <v>42278</v>
      </c>
      <c r="AH110" s="545" t="s">
        <v>819</v>
      </c>
      <c r="AI110" s="541" t="str">
        <f>IFERROR(VLOOKUP(Camp_List[[#This Row],[Responsible Agency]],Organization_t[],3,0),"")</f>
        <v/>
      </c>
      <c r="AJ110" s="548">
        <f>IF((SUMIFS(Data_Shelter_t[Coverage],Data_Shelter_t[Pcode],Camp_List[[#This Row],[P_Code]]))&gt;1,1,SUMIFS(Data_Shelter_t[Coverage],Data_Shelter_t[Pcode],Camp_List[[#This Row],[P_Code]]))</f>
        <v>0</v>
      </c>
      <c r="BL110" s="16"/>
      <c r="BM110" s="16"/>
      <c r="BP110" s="58"/>
      <c r="BQ110" s="58"/>
    </row>
    <row r="111" spans="1:69" ht="15" customHeight="1" x14ac:dyDescent="0.25">
      <c r="A111" s="64"/>
      <c r="B111" s="64"/>
      <c r="C111" s="64"/>
      <c r="D111" s="64"/>
      <c r="E111" s="64"/>
      <c r="F111" s="64"/>
      <c r="G111" s="64"/>
      <c r="H111" s="64"/>
      <c r="I111" s="64"/>
      <c r="J111" s="64"/>
      <c r="K111" s="64"/>
      <c r="L111" s="316"/>
      <c r="M111" s="64"/>
      <c r="N111" s="64"/>
      <c r="O111" s="64"/>
      <c r="P111" s="64"/>
      <c r="Q111" s="252"/>
      <c r="R111" s="702"/>
      <c r="S111" s="719"/>
      <c r="T111" s="539"/>
      <c r="U111" s="64"/>
      <c r="V111" s="591"/>
      <c r="W111" s="592"/>
      <c r="X111" s="64"/>
      <c r="Y111" s="64"/>
      <c r="Z111" s="64"/>
      <c r="AA111" s="541" t="str">
        <f>CONCATENATE(Camp_List[[#This Row],[Ethnicity]],"-",Camp_List[[#This Row],[Religion]])</f>
        <v>-</v>
      </c>
      <c r="AB111" s="541"/>
      <c r="AC111" s="543"/>
      <c r="AD111" s="543"/>
      <c r="AE111" s="592"/>
      <c r="AF111" s="64"/>
      <c r="AG111" s="593"/>
      <c r="AH111" s="541"/>
      <c r="AI111" s="594" t="str">
        <f>IFERROR(VLOOKUP(Camp_List[[#This Row],[Responsible Agency]],Organization_t[],3,0),"")</f>
        <v/>
      </c>
      <c r="AJ111" s="548">
        <f>IF((SUMIFS(Data_Shelter_t[Coverage],Data_Shelter_t[Pcode],Camp_List[[#This Row],[P_Code]]))&gt;1,1,SUMIFS(Data_Shelter_t[Coverage],Data_Shelter_t[Pcode],Camp_List[[#This Row],[P_Code]]))</f>
        <v>0</v>
      </c>
    </row>
    <row r="112" spans="1:69" ht="15" customHeight="1" x14ac:dyDescent="0.25">
      <c r="A112" s="64"/>
      <c r="B112" s="64"/>
      <c r="C112" s="64"/>
      <c r="D112" s="64"/>
      <c r="E112" s="64"/>
      <c r="F112" s="64"/>
      <c r="G112" s="64"/>
      <c r="H112" s="64"/>
      <c r="I112" s="64"/>
      <c r="J112" s="64"/>
      <c r="K112" s="64"/>
      <c r="L112" s="316"/>
      <c r="M112" s="64"/>
      <c r="N112" s="64"/>
      <c r="O112" s="64"/>
      <c r="P112" s="64"/>
      <c r="Q112" s="252"/>
      <c r="R112" s="702"/>
      <c r="S112" s="719"/>
      <c r="T112" s="539"/>
      <c r="U112" s="64"/>
      <c r="V112" s="591"/>
      <c r="W112" s="592"/>
      <c r="X112" s="64"/>
      <c r="Y112" s="64"/>
      <c r="Z112" s="64"/>
      <c r="AA112" s="541" t="str">
        <f>CONCATENATE(Camp_List[[#This Row],[Ethnicity]],"-",Camp_List[[#This Row],[Religion]])</f>
        <v>-</v>
      </c>
      <c r="AB112" s="541"/>
      <c r="AC112" s="543"/>
      <c r="AD112" s="543"/>
      <c r="AE112" s="592"/>
      <c r="AF112" s="64"/>
      <c r="AG112" s="593"/>
      <c r="AH112" s="541"/>
      <c r="AI112" s="594" t="str">
        <f>IFERROR(VLOOKUP(Camp_List[[#This Row],[Responsible Agency]],Organization_t[],3,0),"")</f>
        <v/>
      </c>
      <c r="AJ112" s="548">
        <f>IF((SUMIFS(Data_Shelter_t[Coverage],Data_Shelter_t[Pcode],Camp_List[[#This Row],[P_Code]]))&gt;1,1,SUMIFS(Data_Shelter_t[Coverage],Data_Shelter_t[Pcode],Camp_List[[#This Row],[P_Code]]))</f>
        <v>0</v>
      </c>
    </row>
    <row r="113" spans="1:36" ht="15" customHeight="1" x14ac:dyDescent="0.25">
      <c r="A113" s="64"/>
      <c r="B113" s="64"/>
      <c r="C113" s="64"/>
      <c r="D113" s="64"/>
      <c r="E113" s="64"/>
      <c r="F113" s="64"/>
      <c r="G113" s="64"/>
      <c r="H113" s="64"/>
      <c r="I113" s="64"/>
      <c r="J113" s="64"/>
      <c r="K113" s="64"/>
      <c r="L113" s="316"/>
      <c r="M113" s="64"/>
      <c r="N113" s="64"/>
      <c r="O113" s="64"/>
      <c r="P113" s="64"/>
      <c r="Q113" s="252"/>
      <c r="R113" s="702"/>
      <c r="S113" s="719"/>
      <c r="T113" s="539"/>
      <c r="U113" s="64"/>
      <c r="V113" s="591"/>
      <c r="W113" s="592"/>
      <c r="X113" s="64"/>
      <c r="Y113" s="64"/>
      <c r="Z113" s="64"/>
      <c r="AA113" s="541" t="str">
        <f>CONCATENATE(Camp_List[[#This Row],[Ethnicity]],"-",Camp_List[[#This Row],[Religion]])</f>
        <v>-</v>
      </c>
      <c r="AB113" s="541"/>
      <c r="AC113" s="543"/>
      <c r="AD113" s="543"/>
      <c r="AE113" s="592"/>
      <c r="AF113" s="64"/>
      <c r="AG113" s="593"/>
      <c r="AH113" s="541"/>
      <c r="AI113" s="594" t="str">
        <f>IFERROR(VLOOKUP(Camp_List[[#This Row],[Responsible Agency]],Organization_t[],3,0),"")</f>
        <v/>
      </c>
      <c r="AJ113" s="548">
        <f>IF((SUMIFS(Data_Shelter_t[Coverage],Data_Shelter_t[Pcode],Camp_List[[#This Row],[P_Code]]))&gt;1,1,SUMIFS(Data_Shelter_t[Coverage],Data_Shelter_t[Pcode],Camp_List[[#This Row],[P_Code]]))</f>
        <v>0</v>
      </c>
    </row>
    <row r="114" spans="1:36" ht="15" customHeight="1" x14ac:dyDescent="0.25">
      <c r="A114" s="64"/>
      <c r="B114" s="64"/>
      <c r="C114" s="64"/>
      <c r="D114" s="462"/>
      <c r="E114" s="64"/>
      <c r="F114" s="64"/>
      <c r="G114" s="64"/>
      <c r="H114" s="64"/>
      <c r="I114" s="64"/>
      <c r="J114" s="64"/>
      <c r="K114" s="462"/>
      <c r="L114" s="316"/>
      <c r="M114" s="64"/>
      <c r="N114" s="64"/>
      <c r="O114" s="64"/>
      <c r="P114" s="64"/>
      <c r="Q114" s="252"/>
      <c r="R114" s="702"/>
      <c r="S114" s="719"/>
      <c r="T114" s="539"/>
      <c r="U114" s="64"/>
      <c r="V114" s="591"/>
      <c r="W114" s="592"/>
      <c r="X114" s="64"/>
      <c r="Y114" s="64"/>
      <c r="Z114" s="64"/>
      <c r="AA114" s="541" t="str">
        <f>CONCATENATE(Camp_List[[#This Row],[Ethnicity]],"-",Camp_List[[#This Row],[Religion]])</f>
        <v>-</v>
      </c>
      <c r="AB114" s="541"/>
      <c r="AC114" s="543"/>
      <c r="AD114" s="543"/>
      <c r="AE114" s="592"/>
      <c r="AF114" s="64"/>
      <c r="AG114" s="593"/>
      <c r="AH114" s="541"/>
      <c r="AI114" s="594" t="str">
        <f>IFERROR(VLOOKUP(Camp_List[[#This Row],[Responsible Agency]],Organization_t[],3,0),"")</f>
        <v/>
      </c>
      <c r="AJ114" s="548">
        <f>IF((SUMIFS(Data_Shelter_t[Coverage],Data_Shelter_t[Pcode],Camp_List[[#This Row],[P_Code]]))&gt;1,1,SUMIFS(Data_Shelter_t[Coverage],Data_Shelter_t[Pcode],Camp_List[[#This Row],[P_Code]]))</f>
        <v>0</v>
      </c>
    </row>
    <row r="115" spans="1:36" ht="15" customHeight="1" x14ac:dyDescent="0.25">
      <c r="A115" s="64"/>
      <c r="B115" s="64"/>
      <c r="C115" s="64"/>
      <c r="D115" s="595"/>
      <c r="E115" s="64"/>
      <c r="F115" s="597"/>
      <c r="G115" s="64"/>
      <c r="H115" s="64"/>
      <c r="I115" s="64"/>
      <c r="J115" s="64"/>
      <c r="K115" s="462"/>
      <c r="L115" s="316"/>
      <c r="M115" s="64"/>
      <c r="N115" s="64"/>
      <c r="O115" s="64"/>
      <c r="P115" s="64"/>
      <c r="Q115" s="252"/>
      <c r="R115" s="702"/>
      <c r="S115" s="719"/>
      <c r="T115" s="539"/>
      <c r="U115" s="64"/>
      <c r="V115" s="591"/>
      <c r="W115" s="592"/>
      <c r="X115" s="64"/>
      <c r="Y115" s="64"/>
      <c r="Z115" s="64"/>
      <c r="AA115" s="541" t="str">
        <f>CONCATENATE(Camp_List[[#This Row],[Ethnicity]],"-",Camp_List[[#This Row],[Religion]])</f>
        <v>-</v>
      </c>
      <c r="AB115" s="541"/>
      <c r="AC115" s="543"/>
      <c r="AD115" s="543"/>
      <c r="AE115" s="592"/>
      <c r="AF115" s="64"/>
      <c r="AG115" s="593"/>
      <c r="AH115" s="541"/>
      <c r="AI115" s="594" t="str">
        <f>IFERROR(VLOOKUP(Camp_List[[#This Row],[Responsible Agency]],Organization_t[],3,0),"")</f>
        <v/>
      </c>
      <c r="AJ115" s="548">
        <f>IF((SUMIFS(Data_Shelter_t[Coverage],Data_Shelter_t[Pcode],Camp_List[[#This Row],[P_Code]]))&gt;1,1,SUMIFS(Data_Shelter_t[Coverage],Data_Shelter_t[Pcode],Camp_List[[#This Row],[P_Code]]))</f>
        <v>0</v>
      </c>
    </row>
    <row r="116" spans="1:36" ht="15" customHeight="1" x14ac:dyDescent="0.25">
      <c r="A116" s="64"/>
      <c r="B116" s="64"/>
      <c r="C116" s="64"/>
      <c r="D116" s="595"/>
      <c r="E116" s="64"/>
      <c r="F116" s="597"/>
      <c r="G116" s="64"/>
      <c r="H116" s="64"/>
      <c r="I116" s="64"/>
      <c r="J116" s="64"/>
      <c r="K116" s="462"/>
      <c r="L116" s="316"/>
      <c r="M116" s="64"/>
      <c r="N116" s="64"/>
      <c r="O116" s="64"/>
      <c r="P116" s="64"/>
      <c r="Q116" s="252"/>
      <c r="R116" s="702"/>
      <c r="S116" s="719"/>
      <c r="T116" s="539"/>
      <c r="U116" s="64"/>
      <c r="V116" s="539"/>
      <c r="W116" s="592"/>
      <c r="X116" s="64"/>
      <c r="Y116" s="64"/>
      <c r="Z116" s="64"/>
      <c r="AA116" s="541" t="str">
        <f>CONCATENATE(Camp_List[[#This Row],[Ethnicity]],"-",Camp_List[[#This Row],[Religion]])</f>
        <v>-</v>
      </c>
      <c r="AB116" s="541"/>
      <c r="AC116" s="543"/>
      <c r="AD116" s="543"/>
      <c r="AE116" s="592"/>
      <c r="AF116" s="64"/>
      <c r="AG116" s="593"/>
      <c r="AH116" s="541"/>
      <c r="AI116" s="594" t="str">
        <f>IFERROR(VLOOKUP(Camp_List[[#This Row],[Responsible Agency]],Organization_t[],3,0),"")</f>
        <v/>
      </c>
      <c r="AJ116" s="548">
        <f>IF((SUMIFS(Data_Shelter_t[Coverage],Data_Shelter_t[Pcode],Camp_List[[#This Row],[P_Code]]))&gt;1,1,SUMIFS(Data_Shelter_t[Coverage],Data_Shelter_t[Pcode],Camp_List[[#This Row],[P_Code]]))</f>
        <v>0</v>
      </c>
    </row>
    <row r="117" spans="1:36" ht="15" customHeight="1" x14ac:dyDescent="0.25">
      <c r="A117" s="64"/>
      <c r="B117" s="64"/>
      <c r="C117" s="64"/>
      <c r="D117" s="595"/>
      <c r="E117" s="64"/>
      <c r="F117" s="597"/>
      <c r="G117" s="64"/>
      <c r="H117" s="64"/>
      <c r="I117" s="64"/>
      <c r="J117" s="64"/>
      <c r="K117" s="462"/>
      <c r="L117" s="316"/>
      <c r="M117" s="64"/>
      <c r="N117" s="64"/>
      <c r="O117" s="64"/>
      <c r="P117" s="64"/>
      <c r="Q117" s="252"/>
      <c r="R117" s="702"/>
      <c r="S117" s="719"/>
      <c r="T117" s="539"/>
      <c r="U117" s="64"/>
      <c r="V117" s="539"/>
      <c r="W117" s="592"/>
      <c r="X117" s="64"/>
      <c r="Y117" s="64"/>
      <c r="Z117" s="64"/>
      <c r="AA117" s="541" t="str">
        <f>CONCATENATE(Camp_List[[#This Row],[Ethnicity]],"-",Camp_List[[#This Row],[Religion]])</f>
        <v>-</v>
      </c>
      <c r="AB117" s="541"/>
      <c r="AC117" s="543"/>
      <c r="AD117" s="543"/>
      <c r="AE117" s="592"/>
      <c r="AF117" s="64"/>
      <c r="AG117" s="593"/>
      <c r="AH117" s="541"/>
      <c r="AI117" s="594" t="str">
        <f>IFERROR(VLOOKUP(Camp_List[[#This Row],[Responsible Agency]],Organization_t[],3,0),"")</f>
        <v/>
      </c>
      <c r="AJ117" s="548">
        <f>IF((SUMIFS(Data_Shelter_t[Coverage],Data_Shelter_t[Pcode],Camp_List[[#This Row],[P_Code]]))&gt;1,1,SUMIFS(Data_Shelter_t[Coverage],Data_Shelter_t[Pcode],Camp_List[[#This Row],[P_Code]]))</f>
        <v>0</v>
      </c>
    </row>
    <row r="118" spans="1:36" ht="15" customHeight="1" x14ac:dyDescent="0.25">
      <c r="A118" s="64"/>
      <c r="B118" s="64"/>
      <c r="C118" s="64"/>
      <c r="D118" s="595"/>
      <c r="E118" s="64"/>
      <c r="F118" s="597"/>
      <c r="G118" s="64"/>
      <c r="H118" s="64"/>
      <c r="I118" s="64"/>
      <c r="J118" s="64"/>
      <c r="K118" s="462"/>
      <c r="L118" s="316"/>
      <c r="M118" s="64"/>
      <c r="N118" s="64"/>
      <c r="O118" s="64"/>
      <c r="P118" s="64"/>
      <c r="Q118" s="252"/>
      <c r="R118" s="702"/>
      <c r="S118" s="719"/>
      <c r="T118" s="539"/>
      <c r="U118" s="64"/>
      <c r="V118" s="539"/>
      <c r="W118" s="592"/>
      <c r="X118" s="64"/>
      <c r="Y118" s="64"/>
      <c r="Z118" s="64"/>
      <c r="AA118" s="541" t="str">
        <f>CONCATENATE(Camp_List[[#This Row],[Ethnicity]],"-",Camp_List[[#This Row],[Religion]])</f>
        <v>-</v>
      </c>
      <c r="AB118" s="541"/>
      <c r="AC118" s="543"/>
      <c r="AD118" s="543"/>
      <c r="AE118" s="592"/>
      <c r="AF118" s="64"/>
      <c r="AG118" s="593"/>
      <c r="AH118" s="541"/>
      <c r="AI118" s="594" t="str">
        <f>IFERROR(VLOOKUP(Camp_List[[#This Row],[Responsible Agency]],Organization_t[],3,0),"")</f>
        <v/>
      </c>
      <c r="AJ118" s="548">
        <f>IF((SUMIFS(Data_Shelter_t[Coverage],Data_Shelter_t[Pcode],Camp_List[[#This Row],[P_Code]]))&gt;1,1,SUMIFS(Data_Shelter_t[Coverage],Data_Shelter_t[Pcode],Camp_List[[#This Row],[P_Code]]))</f>
        <v>0</v>
      </c>
    </row>
    <row r="119" spans="1:36" ht="15" customHeight="1" x14ac:dyDescent="0.25">
      <c r="A119" s="64"/>
      <c r="B119" s="64"/>
      <c r="C119" s="64"/>
      <c r="D119" s="596"/>
      <c r="E119" s="64"/>
      <c r="F119" s="597"/>
      <c r="G119" s="64"/>
      <c r="H119" s="64"/>
      <c r="I119" s="64"/>
      <c r="J119" s="64"/>
      <c r="K119" s="462"/>
      <c r="L119" s="316"/>
      <c r="M119" s="64"/>
      <c r="N119" s="64"/>
      <c r="O119" s="64"/>
      <c r="P119" s="64"/>
      <c r="Q119" s="252"/>
      <c r="R119" s="702"/>
      <c r="S119" s="719"/>
      <c r="T119" s="539"/>
      <c r="U119" s="64"/>
      <c r="V119" s="539"/>
      <c r="W119" s="592"/>
      <c r="X119" s="64"/>
      <c r="Y119" s="64"/>
      <c r="Z119" s="64"/>
      <c r="AA119" s="541" t="str">
        <f>CONCATENATE(Camp_List[[#This Row],[Ethnicity]],"-",Camp_List[[#This Row],[Religion]])</f>
        <v>-</v>
      </c>
      <c r="AB119" s="541"/>
      <c r="AC119" s="543"/>
      <c r="AD119" s="543"/>
      <c r="AE119" s="592"/>
      <c r="AF119" s="64"/>
      <c r="AG119" s="593"/>
      <c r="AH119" s="541"/>
      <c r="AI119" s="594" t="str">
        <f>IFERROR(VLOOKUP(Camp_List[[#This Row],[Responsible Agency]],Organization_t[],3,0),"")</f>
        <v/>
      </c>
      <c r="AJ119" s="548">
        <f>IF((SUMIFS(Data_Shelter_t[Coverage],Data_Shelter_t[Pcode],Camp_List[[#This Row],[P_Code]]))&gt;1,1,SUMIFS(Data_Shelter_t[Coverage],Data_Shelter_t[Pcode],Camp_List[[#This Row],[P_Code]]))</f>
        <v>0</v>
      </c>
    </row>
    <row r="120" spans="1:36" ht="15" customHeight="1" x14ac:dyDescent="0.25">
      <c r="A120" s="64"/>
      <c r="B120" s="64"/>
      <c r="C120" s="64"/>
      <c r="D120" s="595"/>
      <c r="E120" s="64"/>
      <c r="F120" s="597"/>
      <c r="G120" s="64"/>
      <c r="H120" s="64"/>
      <c r="I120" s="64"/>
      <c r="J120" s="64"/>
      <c r="K120" s="462"/>
      <c r="L120" s="316"/>
      <c r="M120" s="64"/>
      <c r="N120" s="64"/>
      <c r="O120" s="64"/>
      <c r="P120" s="64"/>
      <c r="Q120" s="252"/>
      <c r="R120" s="702"/>
      <c r="S120" s="719"/>
      <c r="T120" s="539"/>
      <c r="U120" s="64"/>
      <c r="V120" s="539"/>
      <c r="W120" s="592"/>
      <c r="X120" s="64"/>
      <c r="Y120" s="64"/>
      <c r="Z120" s="64"/>
      <c r="AA120" s="541" t="str">
        <f>CONCATENATE(Camp_List[[#This Row],[Ethnicity]],"-",Camp_List[[#This Row],[Religion]])</f>
        <v>-</v>
      </c>
      <c r="AB120" s="541"/>
      <c r="AC120" s="543"/>
      <c r="AD120" s="543"/>
      <c r="AE120" s="592"/>
      <c r="AF120" s="64"/>
      <c r="AG120" s="593"/>
      <c r="AH120" s="541"/>
      <c r="AI120" s="594" t="str">
        <f>IFERROR(VLOOKUP(Camp_List[[#This Row],[Responsible Agency]],Organization_t[],3,0),"")</f>
        <v/>
      </c>
      <c r="AJ120" s="548">
        <f>IF((SUMIFS(Data_Shelter_t[Coverage],Data_Shelter_t[Pcode],Camp_List[[#This Row],[P_Code]]))&gt;1,1,SUMIFS(Data_Shelter_t[Coverage],Data_Shelter_t[Pcode],Camp_List[[#This Row],[P_Code]]))</f>
        <v>0</v>
      </c>
    </row>
    <row r="121" spans="1:36" ht="15" customHeight="1" x14ac:dyDescent="0.25">
      <c r="A121" s="64"/>
      <c r="B121" s="64"/>
      <c r="C121" s="64"/>
      <c r="D121" s="595"/>
      <c r="E121" s="64"/>
      <c r="F121" s="597"/>
      <c r="G121" s="64"/>
      <c r="H121" s="64"/>
      <c r="I121" s="64"/>
      <c r="J121" s="64"/>
      <c r="K121" s="462"/>
      <c r="L121" s="316"/>
      <c r="M121" s="64"/>
      <c r="N121" s="64"/>
      <c r="O121" s="64"/>
      <c r="P121" s="64"/>
      <c r="Q121" s="252"/>
      <c r="R121" s="702"/>
      <c r="S121" s="719"/>
      <c r="T121" s="539"/>
      <c r="U121" s="64"/>
      <c r="V121" s="539"/>
      <c r="W121" s="592"/>
      <c r="X121" s="64"/>
      <c r="Y121" s="64"/>
      <c r="Z121" s="64"/>
      <c r="AA121" s="541" t="str">
        <f>CONCATENATE(Camp_List[[#This Row],[Ethnicity]],"-",Camp_List[[#This Row],[Religion]])</f>
        <v>-</v>
      </c>
      <c r="AB121" s="541"/>
      <c r="AC121" s="543"/>
      <c r="AD121" s="543"/>
      <c r="AE121" s="592"/>
      <c r="AF121" s="64"/>
      <c r="AG121" s="593"/>
      <c r="AH121" s="541"/>
      <c r="AI121" s="594" t="str">
        <f>IFERROR(VLOOKUP(Camp_List[[#This Row],[Responsible Agency]],Organization_t[],3,0),"")</f>
        <v/>
      </c>
      <c r="AJ121" s="548">
        <f>IF((SUMIFS(Data_Shelter_t[Coverage],Data_Shelter_t[Pcode],Camp_List[[#This Row],[P_Code]]))&gt;1,1,SUMIFS(Data_Shelter_t[Coverage],Data_Shelter_t[Pcode],Camp_List[[#This Row],[P_Code]]))</f>
        <v>0</v>
      </c>
    </row>
    <row r="122" spans="1:36" ht="15" customHeight="1" x14ac:dyDescent="0.25">
      <c r="A122" s="64"/>
      <c r="B122" s="64"/>
      <c r="C122" s="64"/>
      <c r="D122" s="596"/>
      <c r="E122" s="64"/>
      <c r="F122" s="597"/>
      <c r="G122" s="64"/>
      <c r="H122" s="64"/>
      <c r="I122" s="64"/>
      <c r="J122" s="64"/>
      <c r="K122" s="463"/>
      <c r="L122" s="316"/>
      <c r="M122" s="64"/>
      <c r="N122" s="64"/>
      <c r="O122" s="64"/>
      <c r="P122" s="64"/>
      <c r="Q122" s="252"/>
      <c r="R122" s="702"/>
      <c r="S122" s="719"/>
      <c r="T122" s="539"/>
      <c r="U122" s="64"/>
      <c r="V122" s="539"/>
      <c r="W122" s="592"/>
      <c r="X122" s="64"/>
      <c r="Y122" s="64"/>
      <c r="Z122" s="64"/>
      <c r="AA122" s="541" t="str">
        <f>CONCATENATE(Camp_List[[#This Row],[Ethnicity]],"-",Camp_List[[#This Row],[Religion]])</f>
        <v>-</v>
      </c>
      <c r="AB122" s="541"/>
      <c r="AC122" s="543"/>
      <c r="AD122" s="543"/>
      <c r="AE122" s="592"/>
      <c r="AF122" s="64"/>
      <c r="AG122" s="593"/>
      <c r="AH122" s="541"/>
      <c r="AI122" s="594" t="str">
        <f>IFERROR(VLOOKUP(Camp_List[[#This Row],[Responsible Agency]],Organization_t[],3,0),"")</f>
        <v/>
      </c>
      <c r="AJ122" s="548">
        <f>IF((SUMIFS(Data_Shelter_t[Coverage],Data_Shelter_t[Pcode],Camp_List[[#This Row],[P_Code]]))&gt;1,1,SUMIFS(Data_Shelter_t[Coverage],Data_Shelter_t[Pcode],Camp_List[[#This Row],[P_Code]]))</f>
        <v>0</v>
      </c>
    </row>
    <row r="123" spans="1:36" ht="15" customHeight="1" x14ac:dyDescent="0.25">
      <c r="A123" s="64"/>
      <c r="B123" s="64"/>
      <c r="C123" s="64"/>
      <c r="D123" s="64"/>
      <c r="E123" s="64"/>
      <c r="F123" s="64"/>
      <c r="G123" s="64"/>
      <c r="H123" s="64"/>
      <c r="I123" s="64"/>
      <c r="J123" s="64"/>
      <c r="K123" s="462"/>
      <c r="L123" s="316"/>
      <c r="M123" s="64"/>
      <c r="N123" s="64"/>
      <c r="O123" s="64"/>
      <c r="P123" s="64"/>
      <c r="Q123" s="252"/>
      <c r="R123" s="702"/>
      <c r="S123" s="719"/>
      <c r="T123" s="539"/>
      <c r="U123" s="64"/>
      <c r="V123" s="539"/>
      <c r="W123" s="592"/>
      <c r="X123" s="64"/>
      <c r="Y123" s="64"/>
      <c r="Z123" s="64"/>
      <c r="AA123" s="541" t="str">
        <f>CONCATENATE(Camp_List[[#This Row],[Ethnicity]],"-",Camp_List[[#This Row],[Religion]])</f>
        <v>-</v>
      </c>
      <c r="AB123" s="541"/>
      <c r="AC123" s="543"/>
      <c r="AD123" s="543"/>
      <c r="AE123" s="592"/>
      <c r="AF123" s="64"/>
      <c r="AG123" s="593"/>
      <c r="AH123" s="541"/>
      <c r="AI123" s="594" t="str">
        <f>IFERROR(VLOOKUP(Camp_List[[#This Row],[Responsible Agency]],Organization_t[],3,0),"")</f>
        <v/>
      </c>
      <c r="AJ123" s="548">
        <f>IF((SUMIFS(Data_Shelter_t[Coverage],Data_Shelter_t[Pcode],Camp_List[[#This Row],[P_Code]]))&gt;1,1,SUMIFS(Data_Shelter_t[Coverage],Data_Shelter_t[Pcode],Camp_List[[#This Row],[P_Code]]))</f>
        <v>0</v>
      </c>
    </row>
    <row r="124" spans="1:36" ht="15" customHeight="1" x14ac:dyDescent="0.25">
      <c r="A124" s="64"/>
      <c r="B124" s="64"/>
      <c r="C124" s="64"/>
      <c r="D124" s="64"/>
      <c r="E124" s="64"/>
      <c r="F124" s="64"/>
      <c r="G124" s="64"/>
      <c r="H124" s="64"/>
      <c r="I124" s="64"/>
      <c r="J124" s="64"/>
      <c r="K124" s="462"/>
      <c r="L124" s="316"/>
      <c r="M124" s="64"/>
      <c r="N124" s="64"/>
      <c r="O124" s="64"/>
      <c r="P124" s="64"/>
      <c r="Q124" s="252"/>
      <c r="R124" s="702"/>
      <c r="S124" s="719"/>
      <c r="T124" s="539"/>
      <c r="U124" s="64"/>
      <c r="V124" s="539"/>
      <c r="W124" s="592"/>
      <c r="X124" s="64"/>
      <c r="Y124" s="64"/>
      <c r="Z124" s="64"/>
      <c r="AA124" s="541" t="str">
        <f>CONCATENATE(Camp_List[[#This Row],[Ethnicity]],"-",Camp_List[[#This Row],[Religion]])</f>
        <v>-</v>
      </c>
      <c r="AB124" s="541"/>
      <c r="AC124" s="543"/>
      <c r="AD124" s="543"/>
      <c r="AE124" s="592"/>
      <c r="AF124" s="64"/>
      <c r="AG124" s="593"/>
      <c r="AH124" s="541"/>
      <c r="AI124" s="594" t="str">
        <f>IFERROR(VLOOKUP(Camp_List[[#This Row],[Responsible Agency]],Organization_t[],3,0),"")</f>
        <v/>
      </c>
      <c r="AJ124" s="548">
        <f>IF((SUMIFS(Data_Shelter_t[Coverage],Data_Shelter_t[Pcode],Camp_List[[#This Row],[P_Code]]))&gt;1,1,SUMIFS(Data_Shelter_t[Coverage],Data_Shelter_t[Pcode],Camp_List[[#This Row],[P_Code]]))</f>
        <v>0</v>
      </c>
    </row>
    <row r="125" spans="1:36" ht="15" customHeight="1" x14ac:dyDescent="0.25">
      <c r="A125" s="64"/>
      <c r="B125" s="64"/>
      <c r="C125" s="64"/>
      <c r="D125" s="64"/>
      <c r="E125" s="64"/>
      <c r="F125" s="64"/>
      <c r="G125" s="64"/>
      <c r="H125" s="64"/>
      <c r="I125" s="64"/>
      <c r="J125" s="64"/>
      <c r="K125" s="462"/>
      <c r="L125" s="316"/>
      <c r="M125" s="64"/>
      <c r="N125" s="64"/>
      <c r="O125" s="64"/>
      <c r="P125" s="64"/>
      <c r="Q125" s="252"/>
      <c r="R125" s="702"/>
      <c r="S125" s="719"/>
      <c r="T125" s="539"/>
      <c r="U125" s="64"/>
      <c r="V125" s="539"/>
      <c r="W125" s="592"/>
      <c r="X125" s="64"/>
      <c r="Y125" s="64"/>
      <c r="Z125" s="64"/>
      <c r="AA125" s="541" t="str">
        <f>CONCATENATE(Camp_List[[#This Row],[Ethnicity]],"-",Camp_List[[#This Row],[Religion]])</f>
        <v>-</v>
      </c>
      <c r="AB125" s="541"/>
      <c r="AC125" s="543"/>
      <c r="AD125" s="543"/>
      <c r="AE125" s="592"/>
      <c r="AF125" s="64"/>
      <c r="AG125" s="593"/>
      <c r="AH125" s="541"/>
      <c r="AI125" s="594" t="str">
        <f>IFERROR(VLOOKUP(Camp_List[[#This Row],[Responsible Agency]],Organization_t[],3,0),"")</f>
        <v/>
      </c>
      <c r="AJ125" s="548">
        <f>IF((SUMIFS(Data_Shelter_t[Coverage],Data_Shelter_t[Pcode],Camp_List[[#This Row],[P_Code]]))&gt;1,1,SUMIFS(Data_Shelter_t[Coverage],Data_Shelter_t[Pcode],Camp_List[[#This Row],[P_Code]]))</f>
        <v>0</v>
      </c>
    </row>
    <row r="126" spans="1:36" ht="15" customHeight="1" x14ac:dyDescent="0.25">
      <c r="A126" s="64"/>
      <c r="B126" s="64"/>
      <c r="C126" s="64"/>
      <c r="D126" s="64"/>
      <c r="E126" s="64"/>
      <c r="F126" s="64"/>
      <c r="G126" s="64"/>
      <c r="H126" s="64"/>
      <c r="I126" s="64"/>
      <c r="J126" s="64"/>
      <c r="K126" s="64"/>
      <c r="L126" s="316"/>
      <c r="M126" s="64"/>
      <c r="N126" s="64"/>
      <c r="O126" s="64"/>
      <c r="P126" s="64"/>
      <c r="Q126" s="252"/>
      <c r="R126" s="702"/>
      <c r="S126" s="719"/>
      <c r="T126" s="539"/>
      <c r="U126" s="64"/>
      <c r="V126" s="539"/>
      <c r="W126" s="592"/>
      <c r="X126" s="64"/>
      <c r="Y126" s="64"/>
      <c r="Z126" s="64"/>
      <c r="AA126" s="541" t="str">
        <f>CONCATENATE(Camp_List[[#This Row],[Ethnicity]],"-",Camp_List[[#This Row],[Religion]])</f>
        <v>-</v>
      </c>
      <c r="AB126" s="541"/>
      <c r="AC126" s="543"/>
      <c r="AD126" s="543"/>
      <c r="AE126" s="592"/>
      <c r="AF126" s="64"/>
      <c r="AG126" s="593"/>
      <c r="AH126" s="541"/>
      <c r="AI126" s="594" t="str">
        <f>IFERROR(VLOOKUP(Camp_List[[#This Row],[Responsible Agency]],Organization_t[],3,0),"")</f>
        <v/>
      </c>
      <c r="AJ126" s="548">
        <f>IF((SUMIFS(Data_Shelter_t[Coverage],Data_Shelter_t[Pcode],Camp_List[[#This Row],[P_Code]]))&gt;1,1,SUMIFS(Data_Shelter_t[Coverage],Data_Shelter_t[Pcode],Camp_List[[#This Row],[P_Code]]))</f>
        <v>0</v>
      </c>
    </row>
    <row r="127" spans="1:36" ht="15" customHeight="1" x14ac:dyDescent="0.25">
      <c r="A127" s="64"/>
      <c r="B127" s="64"/>
      <c r="C127" s="64"/>
      <c r="D127" s="64"/>
      <c r="E127" s="64"/>
      <c r="F127" s="64"/>
      <c r="G127" s="64"/>
      <c r="H127" s="64"/>
      <c r="I127" s="64"/>
      <c r="J127" s="64"/>
      <c r="K127" s="64"/>
      <c r="L127" s="316"/>
      <c r="M127" s="64"/>
      <c r="N127" s="64"/>
      <c r="O127" s="64"/>
      <c r="P127" s="64"/>
      <c r="Q127" s="252"/>
      <c r="R127" s="702"/>
      <c r="S127" s="719"/>
      <c r="T127" s="539"/>
      <c r="U127" s="64"/>
      <c r="V127" s="539"/>
      <c r="W127" s="592"/>
      <c r="X127" s="64"/>
      <c r="Y127" s="64"/>
      <c r="Z127" s="64"/>
      <c r="AA127" s="541" t="str">
        <f>CONCATENATE(Camp_List[[#This Row],[Ethnicity]],"-",Camp_List[[#This Row],[Religion]])</f>
        <v>-</v>
      </c>
      <c r="AB127" s="541"/>
      <c r="AC127" s="543"/>
      <c r="AD127" s="543"/>
      <c r="AE127" s="592"/>
      <c r="AF127" s="64"/>
      <c r="AG127" s="593"/>
      <c r="AH127" s="541"/>
      <c r="AI127" s="594" t="str">
        <f>IFERROR(VLOOKUP(Camp_List[[#This Row],[Responsible Agency]],Organization_t[],3,0),"")</f>
        <v/>
      </c>
      <c r="AJ127" s="548">
        <f>IF((SUMIFS(Data_Shelter_t[Coverage],Data_Shelter_t[Pcode],Camp_List[[#This Row],[P_Code]]))&gt;1,1,SUMIFS(Data_Shelter_t[Coverage],Data_Shelter_t[Pcode],Camp_List[[#This Row],[P_Code]]))</f>
        <v>0</v>
      </c>
    </row>
    <row r="128" spans="1:36" ht="15" customHeight="1" x14ac:dyDescent="0.25">
      <c r="A128" s="64"/>
      <c r="B128" s="64"/>
      <c r="C128" s="64"/>
      <c r="D128" s="64"/>
      <c r="E128" s="64"/>
      <c r="F128" s="64"/>
      <c r="G128" s="64"/>
      <c r="H128" s="64"/>
      <c r="I128" s="64"/>
      <c r="J128" s="64"/>
      <c r="K128" s="64"/>
      <c r="L128" s="316"/>
      <c r="M128" s="64"/>
      <c r="N128" s="64"/>
      <c r="O128" s="64"/>
      <c r="P128" s="64"/>
      <c r="Q128" s="252"/>
      <c r="R128" s="702"/>
      <c r="S128" s="719"/>
      <c r="T128" s="539"/>
      <c r="U128" s="64"/>
      <c r="V128" s="539"/>
      <c r="W128" s="592"/>
      <c r="X128" s="64"/>
      <c r="Y128" s="64"/>
      <c r="Z128" s="64"/>
      <c r="AA128" s="541" t="str">
        <f>CONCATENATE(Camp_List[[#This Row],[Ethnicity]],"-",Camp_List[[#This Row],[Religion]])</f>
        <v>-</v>
      </c>
      <c r="AB128" s="541"/>
      <c r="AC128" s="543"/>
      <c r="AD128" s="543"/>
      <c r="AE128" s="592"/>
      <c r="AF128" s="64"/>
      <c r="AG128" s="593"/>
      <c r="AH128" s="541"/>
      <c r="AI128" s="594" t="str">
        <f>IFERROR(VLOOKUP(Camp_List[[#This Row],[Responsible Agency]],Organization_t[],3,0),"")</f>
        <v/>
      </c>
      <c r="AJ128" s="548">
        <f>IF((SUMIFS(Data_Shelter_t[Coverage],Data_Shelter_t[Pcode],Camp_List[[#This Row],[P_Code]]))&gt;1,1,SUMIFS(Data_Shelter_t[Coverage],Data_Shelter_t[Pcode],Camp_List[[#This Row],[P_Code]]))</f>
        <v>0</v>
      </c>
    </row>
    <row r="129" spans="1:36" ht="15" customHeight="1" x14ac:dyDescent="0.25">
      <c r="A129" s="64"/>
      <c r="B129" s="64"/>
      <c r="C129" s="64"/>
      <c r="D129" s="64"/>
      <c r="E129" s="64"/>
      <c r="F129" s="64"/>
      <c r="G129" s="64"/>
      <c r="H129" s="64"/>
      <c r="I129" s="64"/>
      <c r="J129" s="64"/>
      <c r="K129" s="64"/>
      <c r="L129" s="316"/>
      <c r="M129" s="64"/>
      <c r="N129" s="64"/>
      <c r="O129" s="64"/>
      <c r="P129" s="64"/>
      <c r="Q129" s="252"/>
      <c r="R129" s="702"/>
      <c r="S129" s="719"/>
      <c r="T129" s="539"/>
      <c r="U129" s="64"/>
      <c r="V129" s="539"/>
      <c r="W129" s="592"/>
      <c r="X129" s="64"/>
      <c r="Y129" s="64"/>
      <c r="Z129" s="64"/>
      <c r="AA129" s="541" t="str">
        <f>CONCATENATE(Camp_List[[#This Row],[Ethnicity]],"-",Camp_List[[#This Row],[Religion]])</f>
        <v>-</v>
      </c>
      <c r="AB129" s="541"/>
      <c r="AC129" s="543"/>
      <c r="AD129" s="543"/>
      <c r="AE129" s="592"/>
      <c r="AF129" s="64"/>
      <c r="AG129" s="593"/>
      <c r="AH129" s="541"/>
      <c r="AI129" s="594" t="str">
        <f>IFERROR(VLOOKUP(Camp_List[[#This Row],[Responsible Agency]],Organization_t[],3,0),"")</f>
        <v/>
      </c>
      <c r="AJ129" s="548">
        <f>IF((SUMIFS(Data_Shelter_t[Coverage],Data_Shelter_t[Pcode],Camp_List[[#This Row],[P_Code]]))&gt;1,1,SUMIFS(Data_Shelter_t[Coverage],Data_Shelter_t[Pcode],Camp_List[[#This Row],[P_Code]]))</f>
        <v>0</v>
      </c>
    </row>
    <row r="130" spans="1:36" ht="15" customHeight="1" x14ac:dyDescent="0.25">
      <c r="A130" s="64"/>
      <c r="B130" s="64"/>
      <c r="C130" s="64"/>
      <c r="D130" s="64"/>
      <c r="E130" s="64"/>
      <c r="F130" s="64"/>
      <c r="G130" s="64"/>
      <c r="H130" s="64"/>
      <c r="I130" s="64"/>
      <c r="J130" s="64"/>
      <c r="K130" s="64"/>
      <c r="L130" s="316"/>
      <c r="M130" s="64"/>
      <c r="N130" s="64"/>
      <c r="O130" s="64"/>
      <c r="P130" s="64"/>
      <c r="Q130" s="252"/>
      <c r="R130" s="702"/>
      <c r="S130" s="719"/>
      <c r="T130" s="539"/>
      <c r="U130" s="64"/>
      <c r="V130" s="539"/>
      <c r="W130" s="592"/>
      <c r="X130" s="64"/>
      <c r="Y130" s="64"/>
      <c r="Z130" s="64"/>
      <c r="AA130" s="541" t="str">
        <f>CONCATENATE(Camp_List[[#This Row],[Ethnicity]],"-",Camp_List[[#This Row],[Religion]])</f>
        <v>-</v>
      </c>
      <c r="AB130" s="541"/>
      <c r="AC130" s="543"/>
      <c r="AD130" s="543"/>
      <c r="AE130" s="592"/>
      <c r="AF130" s="64"/>
      <c r="AG130" s="593"/>
      <c r="AH130" s="541"/>
      <c r="AI130" s="594" t="str">
        <f>IFERROR(VLOOKUP(Camp_List[[#This Row],[Responsible Agency]],Organization_t[],3,0),"")</f>
        <v/>
      </c>
      <c r="AJ130" s="548">
        <f>IF((SUMIFS(Data_Shelter_t[Coverage],Data_Shelter_t[Pcode],Camp_List[[#This Row],[P_Code]]))&gt;1,1,SUMIFS(Data_Shelter_t[Coverage],Data_Shelter_t[Pcode],Camp_List[[#This Row],[P_Code]]))</f>
        <v>0</v>
      </c>
    </row>
    <row r="131" spans="1:36" ht="15" customHeight="1" x14ac:dyDescent="0.25">
      <c r="A131" s="64"/>
      <c r="B131" s="64"/>
      <c r="C131" s="64"/>
      <c r="D131" s="64"/>
      <c r="E131" s="64"/>
      <c r="F131" s="64"/>
      <c r="G131" s="64"/>
      <c r="H131" s="64"/>
      <c r="I131" s="64"/>
      <c r="J131" s="64"/>
      <c r="K131" s="64"/>
      <c r="L131" s="64"/>
      <c r="M131" s="64"/>
      <c r="N131" s="64"/>
      <c r="O131" s="64"/>
      <c r="P131" s="64"/>
      <c r="Q131" s="252"/>
      <c r="R131" s="702"/>
      <c r="S131" s="719"/>
      <c r="T131" s="539"/>
      <c r="U131" s="64"/>
      <c r="V131" s="539"/>
      <c r="W131" s="592"/>
      <c r="X131" s="64"/>
      <c r="Y131" s="64"/>
      <c r="Z131" s="64"/>
      <c r="AA131" s="541" t="str">
        <f>CONCATENATE(Camp_List[[#This Row],[Ethnicity]],"-",Camp_List[[#This Row],[Religion]])</f>
        <v>-</v>
      </c>
      <c r="AB131" s="541"/>
      <c r="AC131" s="543"/>
      <c r="AD131" s="543"/>
      <c r="AE131" s="592"/>
      <c r="AF131" s="64"/>
      <c r="AG131" s="817"/>
      <c r="AH131" s="541"/>
      <c r="AI131" s="594" t="str">
        <f>IFERROR(VLOOKUP(Camp_List[[#This Row],[Responsible Agency]],Organization_t[],3,0),"")</f>
        <v/>
      </c>
      <c r="AJ131" s="548">
        <f>IF((SUMIFS(Data_Shelter_t[Coverage],Data_Shelter_t[Pcode],Camp_List[[#This Row],[P_Code]]))&gt;1,1,SUMIFS(Data_Shelter_t[Coverage],Data_Shelter_t[Pcode],Camp_List[[#This Row],[P_Code]]))</f>
        <v>0</v>
      </c>
    </row>
    <row r="133" spans="1:36" x14ac:dyDescent="0.25">
      <c r="O133" s="933"/>
      <c r="P133" s="934"/>
      <c r="Q133" s="934"/>
    </row>
    <row r="134" spans="1:36" x14ac:dyDescent="0.25">
      <c r="O134" s="933"/>
      <c r="P134" s="935"/>
      <c r="Q134" s="936"/>
    </row>
    <row r="135" spans="1:36" x14ac:dyDescent="0.25">
      <c r="O135" s="933"/>
      <c r="P135" s="935"/>
      <c r="Q135" s="934"/>
    </row>
    <row r="136" spans="1:36" x14ac:dyDescent="0.25">
      <c r="O136" s="933"/>
      <c r="P136" s="935"/>
      <c r="Q136" s="934"/>
    </row>
    <row r="137" spans="1:36" x14ac:dyDescent="0.25">
      <c r="O137" s="933"/>
      <c r="P137" s="935"/>
      <c r="Q137" s="934"/>
    </row>
    <row r="138" spans="1:36" x14ac:dyDescent="0.25">
      <c r="O138" s="933"/>
      <c r="P138" s="937"/>
      <c r="Q138" s="934"/>
    </row>
    <row r="139" spans="1:36" x14ac:dyDescent="0.25">
      <c r="O139" s="933"/>
      <c r="P139" s="935"/>
      <c r="Q139" s="934"/>
    </row>
    <row r="140" spans="1:36" x14ac:dyDescent="0.25">
      <c r="O140" s="933"/>
      <c r="P140" s="935"/>
      <c r="Q140" s="934"/>
    </row>
    <row r="141" spans="1:36" x14ac:dyDescent="0.25">
      <c r="O141" s="127"/>
      <c r="P141" s="935"/>
      <c r="Q141" s="936"/>
    </row>
    <row r="142" spans="1:36" x14ac:dyDescent="0.25">
      <c r="O142" s="127"/>
      <c r="P142" s="935"/>
      <c r="Q142" s="936"/>
    </row>
  </sheetData>
  <sortState ref="A56:AJ88">
    <sortCondition ref="G1:G1048576"/>
    <sortCondition ref="L1:L1048576"/>
  </sortState>
  <mergeCells count="1">
    <mergeCell ref="A3:B3"/>
  </mergeCells>
  <conditionalFormatting sqref="A46:A60 A5:A41">
    <cfRule type="cellIs" dxfId="1497" priority="10" operator="equal">
      <formula>"close"</formula>
    </cfRule>
  </conditionalFormatting>
  <conditionalFormatting sqref="A61:A110">
    <cfRule type="cellIs" dxfId="1496" priority="5" operator="equal">
      <formula>"close"</formula>
    </cfRule>
  </conditionalFormatting>
  <conditionalFormatting sqref="A42:A44">
    <cfRule type="cellIs" dxfId="1495" priority="3" operator="equal">
      <formula>"close"</formula>
    </cfRule>
  </conditionalFormatting>
  <conditionalFormatting sqref="A45">
    <cfRule type="cellIs" dxfId="1494" priority="1" operator="equal">
      <formula>"close"</formula>
    </cfRule>
  </conditionalFormatting>
  <dataValidations count="4">
    <dataValidation type="list" allowBlank="1" showInputMessage="1" showErrorMessage="1" sqref="AD5:AD131">
      <formula1>Organization_Code</formula1>
    </dataValidation>
    <dataValidation type="list" allowBlank="1" showInputMessage="1" showErrorMessage="1" sqref="V5:V131">
      <formula1>Type_of_Accomodation</formula1>
    </dataValidation>
    <dataValidation type="list" allowBlank="1" showInputMessage="1" showErrorMessage="1" sqref="U5:U131">
      <formula1>Type_Population</formula1>
    </dataValidation>
    <dataValidation type="list" errorStyle="warning" showInputMessage="1" showErrorMessage="1" sqref="O133:O142">
      <formula1>OFFSET(TCL_T1,MATCH(N133,TCL_T,0)-1,1,COUNTIF(TCL_T,N133),1)</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EV33"/>
  <sheetViews>
    <sheetView topLeftCell="M1" zoomScale="86" zoomScaleNormal="86" workbookViewId="0">
      <selection activeCell="S20" sqref="S20"/>
    </sheetView>
  </sheetViews>
  <sheetFormatPr defaultRowHeight="15" x14ac:dyDescent="0.25"/>
  <cols>
    <col min="1" max="1" width="18.7109375" customWidth="1"/>
    <col min="2" max="2" width="13.85546875" customWidth="1"/>
    <col min="3" max="3" width="12.85546875" customWidth="1"/>
    <col min="4" max="4" width="14.140625" customWidth="1"/>
    <col min="5" max="5" width="24" customWidth="1"/>
    <col min="6" max="6" width="18.7109375" customWidth="1"/>
    <col min="7" max="7" width="13" customWidth="1"/>
    <col min="19" max="19" width="18.28515625" customWidth="1"/>
    <col min="20" max="20" width="14.42578125" customWidth="1"/>
    <col min="21" max="21" width="21.42578125" customWidth="1"/>
    <col min="22" max="22" width="14.28515625" customWidth="1"/>
    <col min="23" max="23" width="19.140625" customWidth="1"/>
    <col min="24" max="24" width="16.28515625" customWidth="1"/>
    <col min="25" max="25" width="13.5703125" customWidth="1"/>
    <col min="26" max="26" width="33.28515625" customWidth="1"/>
    <col min="27" max="27" width="31" customWidth="1"/>
  </cols>
  <sheetData>
    <row r="3" spans="1:27" ht="45" x14ac:dyDescent="0.25">
      <c r="A3" s="435" t="s">
        <v>329</v>
      </c>
      <c r="B3" s="430" t="s">
        <v>10</v>
      </c>
      <c r="C3" s="430" t="s">
        <v>489</v>
      </c>
      <c r="D3" s="431" t="s">
        <v>0</v>
      </c>
      <c r="E3" s="431" t="s">
        <v>9</v>
      </c>
      <c r="F3" s="431" t="s">
        <v>8</v>
      </c>
      <c r="G3" s="430" t="s">
        <v>2</v>
      </c>
      <c r="H3" s="430" t="s">
        <v>3</v>
      </c>
      <c r="I3" s="431" t="s">
        <v>601</v>
      </c>
      <c r="J3" s="432" t="s">
        <v>4</v>
      </c>
      <c r="K3" s="432" t="s">
        <v>5</v>
      </c>
      <c r="L3" s="433" t="s">
        <v>320</v>
      </c>
      <c r="M3" s="431" t="s">
        <v>758</v>
      </c>
      <c r="N3" s="431" t="s">
        <v>706</v>
      </c>
      <c r="O3" s="431" t="s">
        <v>22</v>
      </c>
      <c r="P3" s="431" t="s">
        <v>812</v>
      </c>
      <c r="Q3" s="431" t="s">
        <v>602</v>
      </c>
      <c r="R3" s="431" t="s">
        <v>708</v>
      </c>
      <c r="S3" s="434" t="s">
        <v>709</v>
      </c>
      <c r="T3" s="434" t="s">
        <v>713</v>
      </c>
      <c r="U3" s="431" t="s">
        <v>615</v>
      </c>
      <c r="V3" s="431" t="s">
        <v>614</v>
      </c>
      <c r="W3" s="431" t="s">
        <v>323</v>
      </c>
      <c r="X3" s="431" t="s">
        <v>324</v>
      </c>
      <c r="Y3" s="431" t="s">
        <v>333</v>
      </c>
      <c r="Z3" s="431" t="s">
        <v>328</v>
      </c>
      <c r="AA3" s="431" t="s">
        <v>750</v>
      </c>
    </row>
    <row r="4" spans="1:27" x14ac:dyDescent="0.25">
      <c r="A4" s="436" t="s">
        <v>332</v>
      </c>
      <c r="B4" s="448" t="s">
        <v>7</v>
      </c>
      <c r="C4" s="448" t="s">
        <v>17</v>
      </c>
      <c r="D4" s="448" t="s">
        <v>14</v>
      </c>
      <c r="E4" s="448" t="s">
        <v>44</v>
      </c>
      <c r="F4" s="448" t="s">
        <v>130</v>
      </c>
      <c r="G4" s="449">
        <v>93.003204999999994</v>
      </c>
      <c r="H4" s="449">
        <v>20.921424999999999</v>
      </c>
      <c r="I4" s="448"/>
      <c r="J4" s="440">
        <v>24</v>
      </c>
      <c r="K4" s="440">
        <v>140</v>
      </c>
      <c r="L4" s="441">
        <v>6.0869565217391308</v>
      </c>
      <c r="M4" s="442" t="s">
        <v>326</v>
      </c>
      <c r="N4" s="442" t="s">
        <v>707</v>
      </c>
      <c r="O4" s="442" t="s">
        <v>759</v>
      </c>
      <c r="P4" s="443" t="s">
        <v>813</v>
      </c>
      <c r="Q4" s="442"/>
      <c r="R4" s="442" t="s">
        <v>724</v>
      </c>
      <c r="S4" s="442" t="s">
        <v>608</v>
      </c>
      <c r="T4" s="442" t="s">
        <v>725</v>
      </c>
      <c r="U4" s="442" t="s">
        <v>613</v>
      </c>
      <c r="V4" s="442" t="s">
        <v>270</v>
      </c>
      <c r="W4" s="442" t="s">
        <v>462</v>
      </c>
      <c r="X4" s="442" t="s">
        <v>477</v>
      </c>
      <c r="Y4" s="445">
        <v>42415</v>
      </c>
      <c r="Z4" s="442" t="s">
        <v>886</v>
      </c>
      <c r="AA4" s="449" t="s">
        <v>915</v>
      </c>
    </row>
    <row r="5" spans="1:27" x14ac:dyDescent="0.25">
      <c r="A5" s="436" t="s">
        <v>332</v>
      </c>
      <c r="B5" s="448" t="s">
        <v>7</v>
      </c>
      <c r="C5" s="448" t="s">
        <v>17</v>
      </c>
      <c r="D5" s="448" t="s">
        <v>14</v>
      </c>
      <c r="E5" s="448" t="s">
        <v>47</v>
      </c>
      <c r="F5" s="448" t="s">
        <v>133</v>
      </c>
      <c r="G5" s="449">
        <v>93.014349999999993</v>
      </c>
      <c r="H5" s="449">
        <v>20.896740000000001</v>
      </c>
      <c r="I5" s="448"/>
      <c r="J5" s="440">
        <v>14</v>
      </c>
      <c r="K5" s="440">
        <v>84</v>
      </c>
      <c r="L5" s="441">
        <v>6</v>
      </c>
      <c r="M5" s="442" t="s">
        <v>326</v>
      </c>
      <c r="N5" s="442" t="s">
        <v>707</v>
      </c>
      <c r="O5" s="442" t="s">
        <v>759</v>
      </c>
      <c r="P5" s="443" t="s">
        <v>813</v>
      </c>
      <c r="Q5" s="442"/>
      <c r="R5" s="442" t="s">
        <v>724</v>
      </c>
      <c r="S5" s="442" t="s">
        <v>608</v>
      </c>
      <c r="T5" s="442" t="s">
        <v>725</v>
      </c>
      <c r="U5" s="442" t="s">
        <v>613</v>
      </c>
      <c r="V5" s="442" t="s">
        <v>270</v>
      </c>
      <c r="W5" s="442" t="s">
        <v>462</v>
      </c>
      <c r="X5" s="442" t="s">
        <v>477</v>
      </c>
      <c r="Y5" s="445">
        <v>42415</v>
      </c>
      <c r="Z5" s="442" t="s">
        <v>887</v>
      </c>
      <c r="AA5" s="449" t="s">
        <v>915</v>
      </c>
    </row>
    <row r="6" spans="1:27" x14ac:dyDescent="0.25">
      <c r="A6" s="436" t="s">
        <v>332</v>
      </c>
      <c r="B6" s="448" t="s">
        <v>7</v>
      </c>
      <c r="C6" s="448" t="s">
        <v>17</v>
      </c>
      <c r="D6" s="448" t="s">
        <v>14</v>
      </c>
      <c r="E6" s="448" t="s">
        <v>46</v>
      </c>
      <c r="F6" s="448" t="s">
        <v>132</v>
      </c>
      <c r="G6" s="449">
        <v>92.961841000000007</v>
      </c>
      <c r="H6" s="449">
        <v>20.720213000000001</v>
      </c>
      <c r="I6" s="448"/>
      <c r="J6" s="440">
        <v>92</v>
      </c>
      <c r="K6" s="440">
        <v>559</v>
      </c>
      <c r="L6" s="441">
        <v>6.0760869565217392</v>
      </c>
      <c r="M6" s="442" t="s">
        <v>326</v>
      </c>
      <c r="N6" s="442" t="s">
        <v>707</v>
      </c>
      <c r="O6" s="442" t="s">
        <v>759</v>
      </c>
      <c r="P6" s="443" t="s">
        <v>813</v>
      </c>
      <c r="Q6" s="442"/>
      <c r="R6" s="442" t="s">
        <v>724</v>
      </c>
      <c r="S6" s="442" t="s">
        <v>608</v>
      </c>
      <c r="T6" s="442" t="s">
        <v>725</v>
      </c>
      <c r="U6" s="442" t="s">
        <v>613</v>
      </c>
      <c r="V6" s="442" t="s">
        <v>270</v>
      </c>
      <c r="W6" s="442" t="s">
        <v>462</v>
      </c>
      <c r="X6" s="442" t="s">
        <v>869</v>
      </c>
      <c r="Y6" s="445">
        <v>42415</v>
      </c>
      <c r="Z6" s="442" t="s">
        <v>888</v>
      </c>
      <c r="AA6" s="449" t="s">
        <v>915</v>
      </c>
    </row>
    <row r="7" spans="1:27" x14ac:dyDescent="0.25">
      <c r="A7" s="436" t="s">
        <v>606</v>
      </c>
      <c r="B7" s="448" t="s">
        <v>7</v>
      </c>
      <c r="C7" s="448" t="s">
        <v>17</v>
      </c>
      <c r="D7" s="448" t="s">
        <v>14</v>
      </c>
      <c r="E7" s="448" t="s">
        <v>49</v>
      </c>
      <c r="F7" s="448" t="s">
        <v>135</v>
      </c>
      <c r="G7" s="449">
        <v>93.014089999999996</v>
      </c>
      <c r="H7" s="449">
        <v>20.713259999999998</v>
      </c>
      <c r="I7" s="448"/>
      <c r="J7" s="440">
        <v>116</v>
      </c>
      <c r="K7" s="440">
        <v>802</v>
      </c>
      <c r="L7" s="441">
        <v>6.8879310344827589</v>
      </c>
      <c r="M7" s="442" t="s">
        <v>326</v>
      </c>
      <c r="N7" s="442" t="s">
        <v>707</v>
      </c>
      <c r="O7" s="442" t="s">
        <v>759</v>
      </c>
      <c r="P7" s="443" t="s">
        <v>813</v>
      </c>
      <c r="Q7" s="442"/>
      <c r="R7" s="442" t="s">
        <v>724</v>
      </c>
      <c r="S7" s="442" t="s">
        <v>608</v>
      </c>
      <c r="T7" s="442" t="s">
        <v>725</v>
      </c>
      <c r="U7" s="442" t="s">
        <v>613</v>
      </c>
      <c r="V7" s="442" t="s">
        <v>270</v>
      </c>
      <c r="W7" s="442" t="s">
        <v>462</v>
      </c>
      <c r="X7" s="442" t="s">
        <v>869</v>
      </c>
      <c r="Y7" s="445">
        <v>42415</v>
      </c>
      <c r="Z7" s="442" t="s">
        <v>889</v>
      </c>
      <c r="AA7" s="449" t="s">
        <v>915</v>
      </c>
    </row>
    <row r="8" spans="1:27" x14ac:dyDescent="0.25">
      <c r="A8" s="436" t="s">
        <v>332</v>
      </c>
      <c r="B8" s="448" t="s">
        <v>7</v>
      </c>
      <c r="C8" s="448" t="s">
        <v>17</v>
      </c>
      <c r="D8" s="448" t="s">
        <v>14</v>
      </c>
      <c r="E8" s="448" t="s">
        <v>48</v>
      </c>
      <c r="F8" s="448" t="s">
        <v>134</v>
      </c>
      <c r="G8" s="449">
        <v>93.009900000000002</v>
      </c>
      <c r="H8" s="449">
        <v>20.696819999999999</v>
      </c>
      <c r="I8" s="448"/>
      <c r="J8" s="440">
        <v>236</v>
      </c>
      <c r="K8" s="440">
        <v>1524</v>
      </c>
      <c r="L8" s="441">
        <v>6.4576271186440675</v>
      </c>
      <c r="M8" s="442" t="s">
        <v>326</v>
      </c>
      <c r="N8" s="442" t="s">
        <v>707</v>
      </c>
      <c r="O8" s="442" t="s">
        <v>759</v>
      </c>
      <c r="P8" s="443" t="s">
        <v>813</v>
      </c>
      <c r="Q8" s="442"/>
      <c r="R8" s="442" t="s">
        <v>724</v>
      </c>
      <c r="S8" s="442" t="s">
        <v>608</v>
      </c>
      <c r="T8" s="442" t="s">
        <v>725</v>
      </c>
      <c r="U8" s="442" t="s">
        <v>613</v>
      </c>
      <c r="V8" s="442" t="s">
        <v>270</v>
      </c>
      <c r="W8" s="442" t="s">
        <v>462</v>
      </c>
      <c r="X8" s="442" t="s">
        <v>869</v>
      </c>
      <c r="Y8" s="445">
        <v>42415</v>
      </c>
      <c r="Z8" s="442" t="s">
        <v>890</v>
      </c>
      <c r="AA8" s="449" t="s">
        <v>915</v>
      </c>
    </row>
    <row r="9" spans="1:27" x14ac:dyDescent="0.25">
      <c r="A9" s="436" t="s">
        <v>332</v>
      </c>
      <c r="B9" s="448" t="s">
        <v>7</v>
      </c>
      <c r="C9" s="448" t="s">
        <v>17</v>
      </c>
      <c r="D9" s="448" t="s">
        <v>14</v>
      </c>
      <c r="E9" s="448" t="s">
        <v>52</v>
      </c>
      <c r="F9" s="448" t="s">
        <v>138</v>
      </c>
      <c r="G9" s="449">
        <v>93.006497999999993</v>
      </c>
      <c r="H9" s="449">
        <v>20.886997999999998</v>
      </c>
      <c r="I9" s="448"/>
      <c r="J9" s="440">
        <v>97</v>
      </c>
      <c r="K9" s="440">
        <v>557</v>
      </c>
      <c r="L9" s="441">
        <v>5.9381443298969074</v>
      </c>
      <c r="M9" s="442" t="s">
        <v>326</v>
      </c>
      <c r="N9" s="442" t="s">
        <v>707</v>
      </c>
      <c r="O9" s="442" t="s">
        <v>21</v>
      </c>
      <c r="P9" s="443" t="s">
        <v>813</v>
      </c>
      <c r="Q9" s="442"/>
      <c r="R9" s="442" t="s">
        <v>724</v>
      </c>
      <c r="S9" s="442" t="s">
        <v>608</v>
      </c>
      <c r="T9" s="442" t="s">
        <v>725</v>
      </c>
      <c r="U9" s="442" t="s">
        <v>613</v>
      </c>
      <c r="V9" s="442" t="s">
        <v>270</v>
      </c>
      <c r="W9" s="442" t="s">
        <v>462</v>
      </c>
      <c r="X9" s="442" t="s">
        <v>869</v>
      </c>
      <c r="Y9" s="445">
        <v>42415</v>
      </c>
      <c r="Z9" s="442" t="s">
        <v>891</v>
      </c>
      <c r="AA9" s="449" t="s">
        <v>915</v>
      </c>
    </row>
    <row r="10" spans="1:27" x14ac:dyDescent="0.25">
      <c r="A10" s="436" t="s">
        <v>332</v>
      </c>
      <c r="B10" s="448" t="s">
        <v>7</v>
      </c>
      <c r="C10" s="448" t="s">
        <v>17</v>
      </c>
      <c r="D10" s="448" t="s">
        <v>14</v>
      </c>
      <c r="E10" s="448" t="s">
        <v>42</v>
      </c>
      <c r="F10" s="448" t="s">
        <v>128</v>
      </c>
      <c r="G10" s="449">
        <v>92.982675999999998</v>
      </c>
      <c r="H10" s="449">
        <v>20.805734000000001</v>
      </c>
      <c r="I10" s="448"/>
      <c r="J10" s="440">
        <v>18</v>
      </c>
      <c r="K10" s="440">
        <v>157</v>
      </c>
      <c r="L10" s="441">
        <v>8.7222222222222214</v>
      </c>
      <c r="M10" s="442" t="s">
        <v>326</v>
      </c>
      <c r="N10" s="442" t="s">
        <v>707</v>
      </c>
      <c r="O10" s="442" t="s">
        <v>759</v>
      </c>
      <c r="P10" s="443" t="s">
        <v>813</v>
      </c>
      <c r="Q10" s="442"/>
      <c r="R10" s="442" t="s">
        <v>724</v>
      </c>
      <c r="S10" s="442" t="s">
        <v>608</v>
      </c>
      <c r="T10" s="442" t="s">
        <v>725</v>
      </c>
      <c r="U10" s="442" t="s">
        <v>613</v>
      </c>
      <c r="V10" s="442" t="s">
        <v>270</v>
      </c>
      <c r="W10" s="442" t="s">
        <v>462</v>
      </c>
      <c r="X10" s="442" t="s">
        <v>477</v>
      </c>
      <c r="Y10" s="445">
        <v>42415</v>
      </c>
      <c r="Z10" s="442" t="s">
        <v>892</v>
      </c>
      <c r="AA10" s="449" t="s">
        <v>915</v>
      </c>
    </row>
    <row r="11" spans="1:27" x14ac:dyDescent="0.25">
      <c r="A11" s="436" t="s">
        <v>332</v>
      </c>
      <c r="B11" s="448" t="s">
        <v>7</v>
      </c>
      <c r="C11" s="448" t="s">
        <v>17</v>
      </c>
      <c r="D11" s="448" t="s">
        <v>14</v>
      </c>
      <c r="E11" s="448" t="s">
        <v>51</v>
      </c>
      <c r="F11" s="448" t="s">
        <v>137</v>
      </c>
      <c r="G11" s="449">
        <v>92.987399999999994</v>
      </c>
      <c r="H11" s="449">
        <v>20.78332</v>
      </c>
      <c r="I11" s="448"/>
      <c r="J11" s="440">
        <v>144</v>
      </c>
      <c r="K11" s="440">
        <v>1006</v>
      </c>
      <c r="L11" s="441">
        <v>7.1388888888888893</v>
      </c>
      <c r="M11" s="442" t="s">
        <v>326</v>
      </c>
      <c r="N11" s="442" t="s">
        <v>707</v>
      </c>
      <c r="O11" s="442" t="s">
        <v>759</v>
      </c>
      <c r="P11" s="443" t="s">
        <v>813</v>
      </c>
      <c r="Q11" s="442"/>
      <c r="R11" s="442" t="s">
        <v>724</v>
      </c>
      <c r="S11" s="442" t="s">
        <v>608</v>
      </c>
      <c r="T11" s="442" t="s">
        <v>725</v>
      </c>
      <c r="U11" s="442" t="s">
        <v>613</v>
      </c>
      <c r="V11" s="442" t="s">
        <v>270</v>
      </c>
      <c r="W11" s="442" t="s">
        <v>462</v>
      </c>
      <c r="X11" s="442" t="s">
        <v>869</v>
      </c>
      <c r="Y11" s="445">
        <v>42415</v>
      </c>
      <c r="Z11" s="442" t="s">
        <v>893</v>
      </c>
      <c r="AA11" s="449" t="s">
        <v>915</v>
      </c>
    </row>
    <row r="12" spans="1:27" x14ac:dyDescent="0.25">
      <c r="A12" s="436" t="s">
        <v>332</v>
      </c>
      <c r="B12" s="448" t="s">
        <v>7</v>
      </c>
      <c r="C12" s="448" t="s">
        <v>17</v>
      </c>
      <c r="D12" s="448" t="s">
        <v>14</v>
      </c>
      <c r="E12" s="448" t="s">
        <v>43</v>
      </c>
      <c r="F12" s="448" t="s">
        <v>129</v>
      </c>
      <c r="G12" s="449">
        <v>93.000815000000003</v>
      </c>
      <c r="H12" s="449">
        <v>20.929649000000001</v>
      </c>
      <c r="I12" s="448"/>
      <c r="J12" s="440">
        <v>63</v>
      </c>
      <c r="K12" s="440">
        <v>414</v>
      </c>
      <c r="L12" s="441">
        <v>6.67741935483871</v>
      </c>
      <c r="M12" s="442" t="s">
        <v>326</v>
      </c>
      <c r="N12" s="442" t="s">
        <v>707</v>
      </c>
      <c r="O12" s="442" t="s">
        <v>759</v>
      </c>
      <c r="P12" s="443" t="s">
        <v>813</v>
      </c>
      <c r="Q12" s="442"/>
      <c r="R12" s="442" t="s">
        <v>724</v>
      </c>
      <c r="S12" s="442" t="s">
        <v>608</v>
      </c>
      <c r="T12" s="442" t="s">
        <v>725</v>
      </c>
      <c r="U12" s="442" t="s">
        <v>613</v>
      </c>
      <c r="V12" s="442" t="s">
        <v>270</v>
      </c>
      <c r="W12" s="442" t="s">
        <v>462</v>
      </c>
      <c r="X12" s="442" t="s">
        <v>477</v>
      </c>
      <c r="Y12" s="445">
        <v>42415</v>
      </c>
      <c r="Z12" s="442" t="s">
        <v>894</v>
      </c>
      <c r="AA12" s="449" t="s">
        <v>915</v>
      </c>
    </row>
    <row r="13" spans="1:27" x14ac:dyDescent="0.25">
      <c r="A13" s="436" t="s">
        <v>332</v>
      </c>
      <c r="B13" s="448" t="s">
        <v>7</v>
      </c>
      <c r="C13" s="448" t="s">
        <v>17</v>
      </c>
      <c r="D13" s="448" t="s">
        <v>14</v>
      </c>
      <c r="E13" s="448" t="s">
        <v>50</v>
      </c>
      <c r="F13" s="448" t="s">
        <v>136</v>
      </c>
      <c r="G13" s="449">
        <v>92.969350000000006</v>
      </c>
      <c r="H13" s="449">
        <v>20.727589999999999</v>
      </c>
      <c r="I13" s="448"/>
      <c r="J13" s="440">
        <v>112</v>
      </c>
      <c r="K13" s="440">
        <v>738</v>
      </c>
      <c r="L13" s="441">
        <v>6.5625</v>
      </c>
      <c r="M13" s="442" t="s">
        <v>326</v>
      </c>
      <c r="N13" s="442" t="s">
        <v>707</v>
      </c>
      <c r="O13" s="442" t="s">
        <v>759</v>
      </c>
      <c r="P13" s="443" t="s">
        <v>813</v>
      </c>
      <c r="Q13" s="442"/>
      <c r="R13" s="442" t="s">
        <v>724</v>
      </c>
      <c r="S13" s="442" t="s">
        <v>608</v>
      </c>
      <c r="T13" s="442" t="s">
        <v>725</v>
      </c>
      <c r="U13" s="442" t="s">
        <v>613</v>
      </c>
      <c r="V13" s="442" t="s">
        <v>270</v>
      </c>
      <c r="W13" s="442" t="s">
        <v>462</v>
      </c>
      <c r="X13" s="442" t="s">
        <v>869</v>
      </c>
      <c r="Y13" s="445">
        <v>42415</v>
      </c>
      <c r="Z13" s="442" t="s">
        <v>895</v>
      </c>
      <c r="AA13" s="449" t="s">
        <v>915</v>
      </c>
    </row>
    <row r="14" spans="1:27" x14ac:dyDescent="0.25">
      <c r="A14" s="436" t="s">
        <v>332</v>
      </c>
      <c r="B14" s="448" t="s">
        <v>7</v>
      </c>
      <c r="C14" s="448" t="s">
        <v>17</v>
      </c>
      <c r="D14" s="448" t="s">
        <v>11</v>
      </c>
      <c r="E14" s="448" t="s">
        <v>28</v>
      </c>
      <c r="F14" s="448" t="s">
        <v>114</v>
      </c>
      <c r="G14" s="449">
        <v>93.299485000000004</v>
      </c>
      <c r="H14" s="449">
        <v>20.480898</v>
      </c>
      <c r="I14" s="448"/>
      <c r="J14" s="440">
        <v>86</v>
      </c>
      <c r="K14" s="440">
        <v>444</v>
      </c>
      <c r="L14" s="441">
        <v>5.7674418604651159</v>
      </c>
      <c r="M14" s="442" t="s">
        <v>326</v>
      </c>
      <c r="N14" s="442" t="s">
        <v>707</v>
      </c>
      <c r="O14" s="442" t="s">
        <v>759</v>
      </c>
      <c r="P14" s="443" t="s">
        <v>813</v>
      </c>
      <c r="Q14" s="442"/>
      <c r="R14" s="442" t="s">
        <v>724</v>
      </c>
      <c r="S14" s="442" t="s">
        <v>608</v>
      </c>
      <c r="T14" s="442" t="s">
        <v>725</v>
      </c>
      <c r="U14" s="442" t="s">
        <v>613</v>
      </c>
      <c r="V14" s="442" t="s">
        <v>270</v>
      </c>
      <c r="W14" s="442" t="s">
        <v>462</v>
      </c>
      <c r="X14" s="442" t="s">
        <v>869</v>
      </c>
      <c r="Y14" s="445">
        <v>42415</v>
      </c>
      <c r="Z14" s="442" t="s">
        <v>896</v>
      </c>
      <c r="AA14" s="449" t="s">
        <v>915</v>
      </c>
    </row>
    <row r="15" spans="1:27" x14ac:dyDescent="0.25">
      <c r="A15" s="436" t="s">
        <v>332</v>
      </c>
      <c r="B15" s="448" t="s">
        <v>7</v>
      </c>
      <c r="C15" s="448" t="s">
        <v>17</v>
      </c>
      <c r="D15" s="448" t="s">
        <v>11</v>
      </c>
      <c r="E15" s="448" t="s">
        <v>23</v>
      </c>
      <c r="F15" s="448" t="s">
        <v>109</v>
      </c>
      <c r="G15" s="449">
        <v>93.271642</v>
      </c>
      <c r="H15" s="449">
        <v>20.377523</v>
      </c>
      <c r="I15" s="448"/>
      <c r="J15" s="440">
        <v>19</v>
      </c>
      <c r="K15" s="440">
        <v>142</v>
      </c>
      <c r="L15" s="441">
        <v>7.4736842105263159</v>
      </c>
      <c r="M15" s="442" t="s">
        <v>326</v>
      </c>
      <c r="N15" s="442" t="s">
        <v>707</v>
      </c>
      <c r="O15" s="442" t="s">
        <v>759</v>
      </c>
      <c r="P15" s="443" t="s">
        <v>813</v>
      </c>
      <c r="Q15" s="442"/>
      <c r="R15" s="442" t="s">
        <v>724</v>
      </c>
      <c r="S15" s="442" t="s">
        <v>608</v>
      </c>
      <c r="T15" s="442" t="s">
        <v>725</v>
      </c>
      <c r="U15" s="442" t="s">
        <v>613</v>
      </c>
      <c r="V15" s="442" t="s">
        <v>270</v>
      </c>
      <c r="W15" s="442" t="s">
        <v>462</v>
      </c>
      <c r="X15" s="442" t="s">
        <v>477</v>
      </c>
      <c r="Y15" s="445">
        <v>42415</v>
      </c>
      <c r="Z15" s="442" t="s">
        <v>897</v>
      </c>
      <c r="AA15" s="449" t="s">
        <v>915</v>
      </c>
    </row>
    <row r="16" spans="1:27" x14ac:dyDescent="0.25">
      <c r="A16" s="436" t="s">
        <v>332</v>
      </c>
      <c r="B16" s="448" t="s">
        <v>7</v>
      </c>
      <c r="C16" s="448" t="s">
        <v>17</v>
      </c>
      <c r="D16" s="448" t="s">
        <v>11</v>
      </c>
      <c r="E16" s="448" t="s">
        <v>30</v>
      </c>
      <c r="F16" s="448" t="s">
        <v>116</v>
      </c>
      <c r="G16" s="449">
        <v>93.313627999999994</v>
      </c>
      <c r="H16" s="449">
        <v>20.407971</v>
      </c>
      <c r="I16" s="448"/>
      <c r="J16" s="440">
        <v>225</v>
      </c>
      <c r="K16" s="440">
        <v>1377</v>
      </c>
      <c r="L16" s="441">
        <v>5.8577777777777778</v>
      </c>
      <c r="M16" s="442" t="s">
        <v>326</v>
      </c>
      <c r="N16" s="442" t="s">
        <v>707</v>
      </c>
      <c r="O16" s="442" t="s">
        <v>759</v>
      </c>
      <c r="P16" s="443" t="s">
        <v>813</v>
      </c>
      <c r="Q16" s="442"/>
      <c r="R16" s="442" t="s">
        <v>724</v>
      </c>
      <c r="S16" s="442" t="s">
        <v>608</v>
      </c>
      <c r="T16" s="442" t="s">
        <v>725</v>
      </c>
      <c r="U16" s="442" t="s">
        <v>613</v>
      </c>
      <c r="V16" s="442" t="s">
        <v>270</v>
      </c>
      <c r="W16" s="442" t="s">
        <v>462</v>
      </c>
      <c r="X16" s="442" t="s">
        <v>869</v>
      </c>
      <c r="Y16" s="445">
        <v>42415</v>
      </c>
      <c r="Z16" s="442" t="s">
        <v>898</v>
      </c>
      <c r="AA16" s="449" t="s">
        <v>915</v>
      </c>
    </row>
    <row r="17" spans="1:27" x14ac:dyDescent="0.25">
      <c r="A17" s="436" t="s">
        <v>332</v>
      </c>
      <c r="B17" s="448" t="s">
        <v>7</v>
      </c>
      <c r="C17" s="448" t="s">
        <v>17</v>
      </c>
      <c r="D17" s="448" t="s">
        <v>11</v>
      </c>
      <c r="E17" s="448" t="s">
        <v>25</v>
      </c>
      <c r="F17" s="448" t="s">
        <v>111</v>
      </c>
      <c r="G17" s="449">
        <v>93.249669999999995</v>
      </c>
      <c r="H17" s="449">
        <v>20.39902</v>
      </c>
      <c r="I17" s="448"/>
      <c r="J17" s="440">
        <v>86</v>
      </c>
      <c r="K17" s="440">
        <v>476</v>
      </c>
      <c r="L17" s="441">
        <v>6.058139534883721</v>
      </c>
      <c r="M17" s="442" t="s">
        <v>326</v>
      </c>
      <c r="N17" s="442" t="s">
        <v>707</v>
      </c>
      <c r="O17" s="442" t="s">
        <v>759</v>
      </c>
      <c r="P17" s="443" t="s">
        <v>813</v>
      </c>
      <c r="Q17" s="442"/>
      <c r="R17" s="442" t="s">
        <v>724</v>
      </c>
      <c r="S17" s="442" t="s">
        <v>608</v>
      </c>
      <c r="T17" s="442" t="s">
        <v>725</v>
      </c>
      <c r="U17" s="442" t="s">
        <v>613</v>
      </c>
      <c r="V17" s="442" t="s">
        <v>270</v>
      </c>
      <c r="W17" s="442" t="s">
        <v>462</v>
      </c>
      <c r="X17" s="442" t="s">
        <v>869</v>
      </c>
      <c r="Y17" s="445">
        <v>42415</v>
      </c>
      <c r="Z17" s="442" t="s">
        <v>899</v>
      </c>
      <c r="AA17" s="449" t="s">
        <v>915</v>
      </c>
    </row>
    <row r="18" spans="1:27" x14ac:dyDescent="0.25">
      <c r="A18" s="436" t="s">
        <v>332</v>
      </c>
      <c r="B18" s="448" t="s">
        <v>7</v>
      </c>
      <c r="C18" s="448" t="s">
        <v>17</v>
      </c>
      <c r="D18" s="448" t="s">
        <v>11</v>
      </c>
      <c r="E18" s="448" t="s">
        <v>513</v>
      </c>
      <c r="F18" s="448" t="s">
        <v>514</v>
      </c>
      <c r="G18" s="449">
        <v>93.314695</v>
      </c>
      <c r="H18" s="449">
        <v>20.409645000000001</v>
      </c>
      <c r="I18" s="448"/>
      <c r="J18" s="440">
        <v>17</v>
      </c>
      <c r="K18" s="440">
        <v>72</v>
      </c>
      <c r="L18" s="441">
        <v>4</v>
      </c>
      <c r="M18" s="442" t="s">
        <v>326</v>
      </c>
      <c r="N18" s="442" t="s">
        <v>707</v>
      </c>
      <c r="O18" s="442" t="s">
        <v>21</v>
      </c>
      <c r="P18" s="443" t="s">
        <v>814</v>
      </c>
      <c r="Q18" s="442"/>
      <c r="R18" s="444" t="s">
        <v>7</v>
      </c>
      <c r="S18" s="444" t="s">
        <v>710</v>
      </c>
      <c r="T18" s="444" t="s">
        <v>711</v>
      </c>
      <c r="U18" s="442" t="s">
        <v>613</v>
      </c>
      <c r="V18" s="442" t="s">
        <v>270</v>
      </c>
      <c r="W18" s="442" t="s">
        <v>462</v>
      </c>
      <c r="X18" s="442" t="s">
        <v>477</v>
      </c>
      <c r="Y18" s="445">
        <v>42415</v>
      </c>
      <c r="Z18" s="442" t="s">
        <v>900</v>
      </c>
      <c r="AA18" s="449" t="s">
        <v>915</v>
      </c>
    </row>
    <row r="19" spans="1:27" x14ac:dyDescent="0.25">
      <c r="A19" s="436" t="s">
        <v>332</v>
      </c>
      <c r="B19" s="448" t="s">
        <v>7</v>
      </c>
      <c r="C19" s="448" t="s">
        <v>17</v>
      </c>
      <c r="D19" s="448" t="s">
        <v>11</v>
      </c>
      <c r="E19" s="448" t="s">
        <v>24</v>
      </c>
      <c r="F19" s="448" t="s">
        <v>110</v>
      </c>
      <c r="G19" s="449">
        <v>93.257272</v>
      </c>
      <c r="H19" s="449">
        <v>20.392137999999999</v>
      </c>
      <c r="I19" s="448"/>
      <c r="J19" s="440">
        <v>203</v>
      </c>
      <c r="K19" s="440">
        <v>1420</v>
      </c>
      <c r="L19" s="441">
        <v>5.3529411764705879</v>
      </c>
      <c r="M19" s="442" t="s">
        <v>326</v>
      </c>
      <c r="N19" s="442" t="s">
        <v>707</v>
      </c>
      <c r="O19" s="442" t="s">
        <v>759</v>
      </c>
      <c r="P19" s="443" t="s">
        <v>813</v>
      </c>
      <c r="Q19" s="442"/>
      <c r="R19" s="442" t="s">
        <v>724</v>
      </c>
      <c r="S19" s="442" t="s">
        <v>608</v>
      </c>
      <c r="T19" s="442" t="s">
        <v>725</v>
      </c>
      <c r="U19" s="442" t="s">
        <v>613</v>
      </c>
      <c r="V19" s="442" t="s">
        <v>270</v>
      </c>
      <c r="W19" s="442" t="s">
        <v>462</v>
      </c>
      <c r="X19" s="442" t="s">
        <v>869</v>
      </c>
      <c r="Y19" s="445">
        <v>42415</v>
      </c>
      <c r="Z19" s="442" t="s">
        <v>901</v>
      </c>
      <c r="AA19" s="449" t="s">
        <v>915</v>
      </c>
    </row>
    <row r="20" spans="1:27" x14ac:dyDescent="0.25">
      <c r="A20" s="436" t="s">
        <v>332</v>
      </c>
      <c r="B20" s="448" t="s">
        <v>7</v>
      </c>
      <c r="C20" s="448" t="s">
        <v>17</v>
      </c>
      <c r="D20" s="448" t="s">
        <v>11</v>
      </c>
      <c r="E20" s="448" t="s">
        <v>27</v>
      </c>
      <c r="F20" s="448" t="s">
        <v>113</v>
      </c>
      <c r="G20" s="449">
        <v>93.258573999999996</v>
      </c>
      <c r="H20" s="449">
        <v>20.587142</v>
      </c>
      <c r="I20" s="448"/>
      <c r="J20" s="440">
        <v>275</v>
      </c>
      <c r="K20" s="440">
        <v>1707</v>
      </c>
      <c r="L20" s="441">
        <v>5.9527272727272731</v>
      </c>
      <c r="M20" s="442" t="s">
        <v>326</v>
      </c>
      <c r="N20" s="442" t="s">
        <v>707</v>
      </c>
      <c r="O20" s="442" t="s">
        <v>759</v>
      </c>
      <c r="P20" s="443" t="s">
        <v>813</v>
      </c>
      <c r="Q20" s="442"/>
      <c r="R20" s="442" t="s">
        <v>724</v>
      </c>
      <c r="S20" s="442" t="s">
        <v>608</v>
      </c>
      <c r="T20" s="442" t="s">
        <v>725</v>
      </c>
      <c r="U20" s="442" t="s">
        <v>613</v>
      </c>
      <c r="V20" s="442" t="s">
        <v>270</v>
      </c>
      <c r="W20" s="442" t="s">
        <v>462</v>
      </c>
      <c r="X20" s="442" t="s">
        <v>869</v>
      </c>
      <c r="Y20" s="445">
        <v>42415</v>
      </c>
      <c r="Z20" s="442" t="s">
        <v>902</v>
      </c>
      <c r="AA20" s="449" t="s">
        <v>915</v>
      </c>
    </row>
    <row r="21" spans="1:27" x14ac:dyDescent="0.25">
      <c r="A21" s="436" t="s">
        <v>332</v>
      </c>
      <c r="B21" s="448" t="s">
        <v>7</v>
      </c>
      <c r="C21" s="448" t="s">
        <v>17</v>
      </c>
      <c r="D21" s="448" t="s">
        <v>12</v>
      </c>
      <c r="E21" s="448" t="s">
        <v>31</v>
      </c>
      <c r="F21" s="448" t="s">
        <v>117</v>
      </c>
      <c r="G21" s="449">
        <v>93.245551000000006</v>
      </c>
      <c r="H21" s="449">
        <v>20.576577</v>
      </c>
      <c r="I21" s="448"/>
      <c r="J21" s="440">
        <v>204</v>
      </c>
      <c r="K21" s="440">
        <v>1265</v>
      </c>
      <c r="L21" s="441">
        <v>5.5245098039215685</v>
      </c>
      <c r="M21" s="442" t="s">
        <v>326</v>
      </c>
      <c r="N21" s="442" t="s">
        <v>707</v>
      </c>
      <c r="O21" s="442" t="s">
        <v>759</v>
      </c>
      <c r="P21" s="443" t="s">
        <v>813</v>
      </c>
      <c r="Q21" s="442"/>
      <c r="R21" s="442" t="s">
        <v>724</v>
      </c>
      <c r="S21" s="442" t="s">
        <v>608</v>
      </c>
      <c r="T21" s="442" t="s">
        <v>725</v>
      </c>
      <c r="U21" s="442" t="s">
        <v>613</v>
      </c>
      <c r="V21" s="442" t="s">
        <v>270</v>
      </c>
      <c r="W21" s="442" t="s">
        <v>462</v>
      </c>
      <c r="X21" s="442" t="s">
        <v>869</v>
      </c>
      <c r="Y21" s="445">
        <v>42415</v>
      </c>
      <c r="Z21" s="442" t="s">
        <v>903</v>
      </c>
      <c r="AA21" s="449" t="s">
        <v>915</v>
      </c>
    </row>
    <row r="22" spans="1:27" x14ac:dyDescent="0.25">
      <c r="A22" s="436" t="s">
        <v>332</v>
      </c>
      <c r="B22" s="448" t="s">
        <v>7</v>
      </c>
      <c r="C22" s="448" t="s">
        <v>17</v>
      </c>
      <c r="D22" s="448" t="s">
        <v>12</v>
      </c>
      <c r="E22" s="448" t="s">
        <v>34</v>
      </c>
      <c r="F22" s="448" t="s">
        <v>120</v>
      </c>
      <c r="G22" s="449">
        <v>93.239519999999999</v>
      </c>
      <c r="H22" s="449">
        <v>20.61692</v>
      </c>
      <c r="I22" s="448"/>
      <c r="J22" s="440">
        <v>10</v>
      </c>
      <c r="K22" s="440">
        <v>64</v>
      </c>
      <c r="L22" s="441">
        <v>6.4</v>
      </c>
      <c r="M22" s="442" t="s">
        <v>326</v>
      </c>
      <c r="N22" s="442" t="s">
        <v>707</v>
      </c>
      <c r="O22" s="442" t="s">
        <v>21</v>
      </c>
      <c r="P22" s="443" t="s">
        <v>814</v>
      </c>
      <c r="Q22" s="442"/>
      <c r="R22" s="442" t="s">
        <v>609</v>
      </c>
      <c r="S22" s="444" t="s">
        <v>710</v>
      </c>
      <c r="T22" s="444" t="s">
        <v>885</v>
      </c>
      <c r="U22" s="442" t="s">
        <v>613</v>
      </c>
      <c r="V22" s="442" t="s">
        <v>270</v>
      </c>
      <c r="W22" s="442" t="s">
        <v>462</v>
      </c>
      <c r="X22" s="442" t="s">
        <v>477</v>
      </c>
      <c r="Y22" s="445">
        <v>42415</v>
      </c>
      <c r="Z22" s="442" t="s">
        <v>904</v>
      </c>
      <c r="AA22" s="449" t="s">
        <v>915</v>
      </c>
    </row>
    <row r="23" spans="1:27" x14ac:dyDescent="0.25">
      <c r="A23" s="436" t="s">
        <v>332</v>
      </c>
      <c r="B23" s="448" t="s">
        <v>7</v>
      </c>
      <c r="C23" s="448" t="s">
        <v>17</v>
      </c>
      <c r="D23" s="448" t="s">
        <v>12</v>
      </c>
      <c r="E23" s="448" t="s">
        <v>578</v>
      </c>
      <c r="F23" s="448" t="s">
        <v>579</v>
      </c>
      <c r="G23" s="449">
        <v>93.246863000000005</v>
      </c>
      <c r="H23" s="449">
        <v>20.495086000000001</v>
      </c>
      <c r="I23" s="448"/>
      <c r="J23" s="440">
        <v>31</v>
      </c>
      <c r="K23" s="440">
        <v>131</v>
      </c>
      <c r="L23" s="441">
        <v>4.225806451612903</v>
      </c>
      <c r="M23" s="442" t="s">
        <v>326</v>
      </c>
      <c r="N23" s="442" t="s">
        <v>707</v>
      </c>
      <c r="O23" s="442" t="s">
        <v>21</v>
      </c>
      <c r="P23" s="443" t="s">
        <v>814</v>
      </c>
      <c r="Q23" s="442"/>
      <c r="R23" s="442" t="s">
        <v>7</v>
      </c>
      <c r="S23" s="442" t="s">
        <v>710</v>
      </c>
      <c r="T23" s="442" t="s">
        <v>711</v>
      </c>
      <c r="U23" s="442" t="s">
        <v>613</v>
      </c>
      <c r="V23" s="442" t="s">
        <v>270</v>
      </c>
      <c r="W23" s="442" t="s">
        <v>462</v>
      </c>
      <c r="X23" s="442" t="s">
        <v>477</v>
      </c>
      <c r="Y23" s="445">
        <v>42415</v>
      </c>
      <c r="Z23" s="442" t="s">
        <v>905</v>
      </c>
      <c r="AA23" s="449" t="s">
        <v>915</v>
      </c>
    </row>
    <row r="24" spans="1:27" x14ac:dyDescent="0.25">
      <c r="A24" s="436" t="s">
        <v>332</v>
      </c>
      <c r="B24" s="448" t="s">
        <v>7</v>
      </c>
      <c r="C24" s="448" t="s">
        <v>17</v>
      </c>
      <c r="D24" s="448" t="s">
        <v>12</v>
      </c>
      <c r="E24" s="448" t="s">
        <v>32</v>
      </c>
      <c r="F24" s="448" t="s">
        <v>118</v>
      </c>
      <c r="G24" s="449">
        <v>93.217039999999997</v>
      </c>
      <c r="H24" s="449">
        <v>20.501757999999999</v>
      </c>
      <c r="I24" s="448"/>
      <c r="J24" s="440">
        <v>365</v>
      </c>
      <c r="K24" s="440">
        <v>2366</v>
      </c>
      <c r="L24" s="441">
        <v>6.4821917808219176</v>
      </c>
      <c r="M24" s="442" t="s">
        <v>326</v>
      </c>
      <c r="N24" s="442" t="s">
        <v>707</v>
      </c>
      <c r="O24" s="442" t="s">
        <v>759</v>
      </c>
      <c r="P24" s="443" t="s">
        <v>813</v>
      </c>
      <c r="Q24" s="442"/>
      <c r="R24" s="442" t="s">
        <v>724</v>
      </c>
      <c r="S24" s="442" t="s">
        <v>608</v>
      </c>
      <c r="T24" s="442" t="s">
        <v>725</v>
      </c>
      <c r="U24" s="442" t="s">
        <v>613</v>
      </c>
      <c r="V24" s="442" t="s">
        <v>270</v>
      </c>
      <c r="W24" s="442" t="s">
        <v>462</v>
      </c>
      <c r="X24" s="442" t="s">
        <v>869</v>
      </c>
      <c r="Y24" s="445">
        <v>42415</v>
      </c>
      <c r="Z24" s="442" t="s">
        <v>906</v>
      </c>
      <c r="AA24" s="449" t="s">
        <v>915</v>
      </c>
    </row>
    <row r="25" spans="1:27" ht="45" x14ac:dyDescent="0.25">
      <c r="A25" s="436" t="s">
        <v>332</v>
      </c>
      <c r="B25" s="448" t="s">
        <v>7</v>
      </c>
      <c r="C25" s="448" t="s">
        <v>17</v>
      </c>
      <c r="D25" s="448" t="s">
        <v>13</v>
      </c>
      <c r="E25" s="448" t="s">
        <v>37</v>
      </c>
      <c r="F25" s="448" t="s">
        <v>123</v>
      </c>
      <c r="G25" s="449">
        <v>93.067891000000003</v>
      </c>
      <c r="H25" s="449">
        <v>20.173468</v>
      </c>
      <c r="I25" s="448"/>
      <c r="J25" s="440">
        <v>21</v>
      </c>
      <c r="K25" s="440">
        <v>122</v>
      </c>
      <c r="L25" s="441">
        <v>5.8095238095238093</v>
      </c>
      <c r="M25" s="442" t="s">
        <v>326</v>
      </c>
      <c r="N25" s="442" t="s">
        <v>707</v>
      </c>
      <c r="O25" s="442" t="s">
        <v>20</v>
      </c>
      <c r="P25" s="443"/>
      <c r="Q25" s="442"/>
      <c r="R25" s="442" t="s">
        <v>7</v>
      </c>
      <c r="S25" s="442" t="s">
        <v>710</v>
      </c>
      <c r="T25" s="442" t="s">
        <v>711</v>
      </c>
      <c r="U25" s="442" t="s">
        <v>612</v>
      </c>
      <c r="V25" s="442" t="s">
        <v>575</v>
      </c>
      <c r="W25" s="442" t="s">
        <v>829</v>
      </c>
      <c r="X25" s="442" t="s">
        <v>830</v>
      </c>
      <c r="Y25" s="445">
        <v>42415</v>
      </c>
      <c r="Z25" s="442" t="s">
        <v>907</v>
      </c>
      <c r="AA25" s="460" t="s">
        <v>815</v>
      </c>
    </row>
    <row r="26" spans="1:27" x14ac:dyDescent="0.25">
      <c r="A26" s="437" t="s">
        <v>331</v>
      </c>
      <c r="B26" s="450" t="s">
        <v>7</v>
      </c>
      <c r="C26" s="450" t="s">
        <v>17</v>
      </c>
      <c r="D26" s="450" t="s">
        <v>13</v>
      </c>
      <c r="E26" s="450" t="s">
        <v>40</v>
      </c>
      <c r="F26" s="450" t="s">
        <v>126</v>
      </c>
      <c r="G26" s="451">
        <v>93.010368999999997</v>
      </c>
      <c r="H26" s="451">
        <v>20.090183</v>
      </c>
      <c r="I26" s="450"/>
      <c r="J26" s="453">
        <v>112</v>
      </c>
      <c r="K26" s="453">
        <v>616</v>
      </c>
      <c r="L26" s="454">
        <v>4.8249227600411944</v>
      </c>
      <c r="M26" s="455" t="s">
        <v>326</v>
      </c>
      <c r="N26" s="455" t="s">
        <v>707</v>
      </c>
      <c r="O26" s="455" t="s">
        <v>20</v>
      </c>
      <c r="P26" s="456"/>
      <c r="Q26" s="455"/>
      <c r="R26" s="455" t="s">
        <v>724</v>
      </c>
      <c r="S26" s="455" t="s">
        <v>608</v>
      </c>
      <c r="T26" s="455" t="s">
        <v>725</v>
      </c>
      <c r="U26" s="455" t="s">
        <v>613</v>
      </c>
      <c r="V26" s="455" t="s">
        <v>270</v>
      </c>
      <c r="W26" s="455" t="s">
        <v>829</v>
      </c>
      <c r="X26" s="455" t="s">
        <v>830</v>
      </c>
      <c r="Y26" s="445">
        <v>42415</v>
      </c>
      <c r="Z26" s="455" t="s">
        <v>884</v>
      </c>
      <c r="AA26" s="451" t="s">
        <v>916</v>
      </c>
    </row>
    <row r="27" spans="1:27" ht="45" x14ac:dyDescent="0.25">
      <c r="A27" s="437" t="s">
        <v>331</v>
      </c>
      <c r="B27" s="450" t="s">
        <v>7</v>
      </c>
      <c r="C27" s="450" t="s">
        <v>17</v>
      </c>
      <c r="D27" s="450" t="s">
        <v>13</v>
      </c>
      <c r="E27" s="450" t="s">
        <v>39</v>
      </c>
      <c r="F27" s="450" t="s">
        <v>125</v>
      </c>
      <c r="G27" s="451">
        <v>93.154551999999995</v>
      </c>
      <c r="H27" s="451">
        <v>20.073437999999999</v>
      </c>
      <c r="I27" s="450"/>
      <c r="J27" s="453">
        <v>775</v>
      </c>
      <c r="K27" s="453">
        <v>4262</v>
      </c>
      <c r="L27" s="454">
        <v>4.7418321588725174</v>
      </c>
      <c r="M27" s="455" t="s">
        <v>326</v>
      </c>
      <c r="N27" s="455" t="s">
        <v>707</v>
      </c>
      <c r="O27" s="455" t="s">
        <v>20</v>
      </c>
      <c r="P27" s="456"/>
      <c r="Q27" s="455"/>
      <c r="R27" s="455" t="s">
        <v>724</v>
      </c>
      <c r="S27" s="455" t="s">
        <v>608</v>
      </c>
      <c r="T27" s="455" t="s">
        <v>725</v>
      </c>
      <c r="U27" s="455" t="s">
        <v>612</v>
      </c>
      <c r="V27" s="455" t="s">
        <v>575</v>
      </c>
      <c r="W27" s="455" t="s">
        <v>829</v>
      </c>
      <c r="X27" s="455" t="s">
        <v>830</v>
      </c>
      <c r="Y27" s="445">
        <v>42415</v>
      </c>
      <c r="Z27" s="455" t="s">
        <v>883</v>
      </c>
      <c r="AA27" s="461" t="s">
        <v>815</v>
      </c>
    </row>
    <row r="28" spans="1:27" x14ac:dyDescent="0.25">
      <c r="A28" s="436" t="s">
        <v>332</v>
      </c>
      <c r="B28" s="448" t="s">
        <v>7</v>
      </c>
      <c r="C28" s="448" t="s">
        <v>17</v>
      </c>
      <c r="D28" s="448" t="s">
        <v>17</v>
      </c>
      <c r="E28" s="448" t="s">
        <v>590</v>
      </c>
      <c r="F28" s="448" t="s">
        <v>592</v>
      </c>
      <c r="G28" s="449">
        <v>92.887277999999995</v>
      </c>
      <c r="H28" s="449">
        <v>20.151471999999998</v>
      </c>
      <c r="I28" s="448"/>
      <c r="J28" s="440">
        <v>249</v>
      </c>
      <c r="K28" s="440">
        <v>1282</v>
      </c>
      <c r="L28" s="441">
        <v>5.1485943775100402</v>
      </c>
      <c r="M28" s="442" t="s">
        <v>326</v>
      </c>
      <c r="N28" s="442" t="s">
        <v>762</v>
      </c>
      <c r="O28" s="442" t="s">
        <v>20</v>
      </c>
      <c r="P28" s="443"/>
      <c r="Q28" s="442"/>
      <c r="R28" s="442" t="s">
        <v>7</v>
      </c>
      <c r="S28" s="442" t="s">
        <v>710</v>
      </c>
      <c r="T28" s="442" t="s">
        <v>711</v>
      </c>
      <c r="U28" s="442" t="s">
        <v>613</v>
      </c>
      <c r="V28" s="442" t="s">
        <v>270</v>
      </c>
      <c r="W28" s="442" t="s">
        <v>829</v>
      </c>
      <c r="X28" s="442" t="s">
        <v>830</v>
      </c>
      <c r="Y28" s="445">
        <v>42415</v>
      </c>
      <c r="Z28" s="442" t="s">
        <v>907</v>
      </c>
      <c r="AA28" s="452" t="s">
        <v>825</v>
      </c>
    </row>
    <row r="29" spans="1:27" x14ac:dyDescent="0.25">
      <c r="A29" s="436" t="s">
        <v>332</v>
      </c>
      <c r="B29" s="448" t="s">
        <v>7</v>
      </c>
      <c r="C29" s="448" t="s">
        <v>17</v>
      </c>
      <c r="D29" s="448" t="s">
        <v>17</v>
      </c>
      <c r="E29" s="448" t="s">
        <v>591</v>
      </c>
      <c r="F29" s="448" t="s">
        <v>593</v>
      </c>
      <c r="G29" s="449">
        <v>92.887277999999995</v>
      </c>
      <c r="H29" s="449">
        <v>20.151471999999998</v>
      </c>
      <c r="I29" s="448"/>
      <c r="J29" s="440">
        <v>418</v>
      </c>
      <c r="K29" s="440">
        <v>2200</v>
      </c>
      <c r="L29" s="441">
        <v>5.2631578947368425</v>
      </c>
      <c r="M29" s="442" t="s">
        <v>326</v>
      </c>
      <c r="N29" s="442" t="s">
        <v>762</v>
      </c>
      <c r="O29" s="442" t="s">
        <v>20</v>
      </c>
      <c r="P29" s="443"/>
      <c r="Q29" s="442"/>
      <c r="R29" s="442" t="s">
        <v>7</v>
      </c>
      <c r="S29" s="442" t="s">
        <v>710</v>
      </c>
      <c r="T29" s="442" t="s">
        <v>711</v>
      </c>
      <c r="U29" s="442" t="s">
        <v>613</v>
      </c>
      <c r="V29" s="442" t="s">
        <v>270</v>
      </c>
      <c r="W29" s="442" t="s">
        <v>829</v>
      </c>
      <c r="X29" s="442" t="s">
        <v>830</v>
      </c>
      <c r="Y29" s="445">
        <v>42415</v>
      </c>
      <c r="Z29" s="442" t="s">
        <v>908</v>
      </c>
      <c r="AA29" s="452" t="s">
        <v>825</v>
      </c>
    </row>
    <row r="30" spans="1:27" ht="45" x14ac:dyDescent="0.25">
      <c r="A30" s="436" t="s">
        <v>332</v>
      </c>
      <c r="B30" s="448" t="s">
        <v>7</v>
      </c>
      <c r="C30" s="448" t="s">
        <v>17</v>
      </c>
      <c r="D30" s="448" t="s">
        <v>17</v>
      </c>
      <c r="E30" s="448" t="s">
        <v>76</v>
      </c>
      <c r="F30" s="448" t="s">
        <v>162</v>
      </c>
      <c r="G30" s="449">
        <v>92.880319999999998</v>
      </c>
      <c r="H30" s="449">
        <v>20.148584</v>
      </c>
      <c r="I30" s="448"/>
      <c r="J30" s="440">
        <v>72</v>
      </c>
      <c r="K30" s="440">
        <v>489</v>
      </c>
      <c r="L30" s="441">
        <v>6.416666666666667</v>
      </c>
      <c r="M30" s="442" t="s">
        <v>326</v>
      </c>
      <c r="N30" s="442" t="s">
        <v>707</v>
      </c>
      <c r="O30" s="442" t="s">
        <v>20</v>
      </c>
      <c r="P30" s="443"/>
      <c r="Q30" s="442"/>
      <c r="R30" s="442" t="s">
        <v>609</v>
      </c>
      <c r="S30" s="442" t="s">
        <v>710</v>
      </c>
      <c r="T30" s="442" t="s">
        <v>885</v>
      </c>
      <c r="U30" s="442" t="s">
        <v>612</v>
      </c>
      <c r="V30" s="442" t="s">
        <v>575</v>
      </c>
      <c r="W30" s="442" t="s">
        <v>829</v>
      </c>
      <c r="X30" s="442" t="s">
        <v>830</v>
      </c>
      <c r="Y30" s="445">
        <v>42415</v>
      </c>
      <c r="Z30" s="442" t="s">
        <v>909</v>
      </c>
      <c r="AA30" s="460" t="s">
        <v>815</v>
      </c>
    </row>
    <row r="31" spans="1:27" ht="45" x14ac:dyDescent="0.25">
      <c r="A31" s="436" t="s">
        <v>332</v>
      </c>
      <c r="B31" s="448" t="s">
        <v>7</v>
      </c>
      <c r="C31" s="448" t="s">
        <v>17</v>
      </c>
      <c r="D31" s="448" t="s">
        <v>17</v>
      </c>
      <c r="E31" s="448" t="s">
        <v>232</v>
      </c>
      <c r="F31" s="448" t="s">
        <v>269</v>
      </c>
      <c r="G31" s="449">
        <v>92.879138999999995</v>
      </c>
      <c r="H31" s="449">
        <v>20.155805999999998</v>
      </c>
      <c r="I31" s="448"/>
      <c r="J31" s="440">
        <v>151</v>
      </c>
      <c r="K31" s="440">
        <v>652</v>
      </c>
      <c r="L31" s="441">
        <v>4.2384105960264904</v>
      </c>
      <c r="M31" s="442" t="s">
        <v>326</v>
      </c>
      <c r="N31" s="442" t="s">
        <v>707</v>
      </c>
      <c r="O31" s="442" t="s">
        <v>20</v>
      </c>
      <c r="P31" s="443"/>
      <c r="Q31" s="442"/>
      <c r="R31" s="442" t="s">
        <v>7</v>
      </c>
      <c r="S31" s="442" t="s">
        <v>710</v>
      </c>
      <c r="T31" s="442" t="s">
        <v>711</v>
      </c>
      <c r="U31" s="442" t="s">
        <v>612</v>
      </c>
      <c r="V31" s="442" t="s">
        <v>575</v>
      </c>
      <c r="W31" s="442" t="s">
        <v>829</v>
      </c>
      <c r="X31" s="442" t="s">
        <v>830</v>
      </c>
      <c r="Y31" s="445">
        <v>42415</v>
      </c>
      <c r="Z31" s="442" t="s">
        <v>910</v>
      </c>
      <c r="AA31" s="460" t="s">
        <v>815</v>
      </c>
    </row>
    <row r="32" spans="1:27" s="230" customFormat="1" x14ac:dyDescent="0.25">
      <c r="A32" s="458" t="s">
        <v>332</v>
      </c>
      <c r="B32" s="448" t="s">
        <v>7</v>
      </c>
      <c r="C32" s="448" t="s">
        <v>17</v>
      </c>
      <c r="D32" s="448" t="s">
        <v>15</v>
      </c>
      <c r="E32" s="448" t="s">
        <v>54</v>
      </c>
      <c r="F32" s="448" t="s">
        <v>140</v>
      </c>
      <c r="G32" s="449">
        <v>92.781294000000003</v>
      </c>
      <c r="H32" s="449">
        <v>20.399269</v>
      </c>
      <c r="I32" s="448"/>
      <c r="J32" s="440">
        <v>32</v>
      </c>
      <c r="K32" s="440">
        <v>162</v>
      </c>
      <c r="L32" s="441">
        <v>5.21875</v>
      </c>
      <c r="M32" s="442" t="s">
        <v>326</v>
      </c>
      <c r="N32" s="442" t="s">
        <v>707</v>
      </c>
      <c r="O32" s="442" t="s">
        <v>20</v>
      </c>
      <c r="P32" s="459"/>
      <c r="Q32" s="442"/>
      <c r="R32" s="442" t="s">
        <v>724</v>
      </c>
      <c r="S32" s="442" t="s">
        <v>608</v>
      </c>
      <c r="T32" s="442" t="s">
        <v>725</v>
      </c>
      <c r="U32" s="442" t="s">
        <v>613</v>
      </c>
      <c r="V32" s="442" t="s">
        <v>270</v>
      </c>
      <c r="W32" s="442" t="s">
        <v>462</v>
      </c>
      <c r="X32" s="442" t="s">
        <v>477</v>
      </c>
      <c r="Y32" s="445">
        <v>42415</v>
      </c>
      <c r="Z32" s="442" t="s">
        <v>911</v>
      </c>
      <c r="AA32" s="449" t="s">
        <v>825</v>
      </c>
    </row>
    <row r="33" spans="1:16376" s="230" customFormat="1" x14ac:dyDescent="0.25">
      <c r="A33" s="446" t="s">
        <v>332</v>
      </c>
      <c r="B33" s="446" t="s">
        <v>7</v>
      </c>
      <c r="C33" s="446" t="s">
        <v>17</v>
      </c>
      <c r="D33" s="446" t="s">
        <v>15</v>
      </c>
      <c r="E33" s="446" t="s">
        <v>53</v>
      </c>
      <c r="F33" s="446" t="s">
        <v>139</v>
      </c>
      <c r="G33" s="447">
        <v>92.785706000000005</v>
      </c>
      <c r="H33" s="447">
        <v>20.335864000000001</v>
      </c>
      <c r="I33" s="446"/>
      <c r="J33" s="438">
        <v>54</v>
      </c>
      <c r="K33" s="438">
        <v>324</v>
      </c>
      <c r="L33" s="439">
        <v>6.2857142857142856</v>
      </c>
      <c r="M33" s="457" t="s">
        <v>326</v>
      </c>
      <c r="N33" s="457" t="s">
        <v>707</v>
      </c>
      <c r="O33" s="457" t="s">
        <v>20</v>
      </c>
      <c r="P33" s="457"/>
      <c r="Q33" s="457"/>
      <c r="R33" s="457" t="s">
        <v>724</v>
      </c>
      <c r="S33" s="457" t="s">
        <v>608</v>
      </c>
      <c r="T33" s="457" t="s">
        <v>725</v>
      </c>
      <c r="U33" s="457" t="s">
        <v>613</v>
      </c>
      <c r="V33" s="457" t="s">
        <v>270</v>
      </c>
      <c r="W33" s="457" t="s">
        <v>462</v>
      </c>
      <c r="X33" s="457" t="s">
        <v>477</v>
      </c>
      <c r="Y33" s="445">
        <v>42415</v>
      </c>
      <c r="Z33" s="442" t="s">
        <v>912</v>
      </c>
      <c r="AA33" s="447" t="s">
        <v>825</v>
      </c>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27"/>
      <c r="BW33" s="127"/>
      <c r="BX33" s="127"/>
      <c r="BY33" s="127"/>
      <c r="BZ33" s="127"/>
      <c r="CA33" s="127"/>
      <c r="CB33" s="127"/>
      <c r="CC33" s="127"/>
      <c r="CD33" s="127"/>
      <c r="CE33" s="127"/>
      <c r="CF33" s="127"/>
      <c r="CG33" s="127"/>
      <c r="CH33" s="127"/>
      <c r="CI33" s="127"/>
      <c r="CJ33" s="127"/>
      <c r="CK33" s="127"/>
      <c r="CL33" s="127"/>
      <c r="CM33" s="127"/>
      <c r="CN33" s="127"/>
      <c r="CO33" s="127"/>
      <c r="CP33" s="127"/>
      <c r="CQ33" s="127"/>
      <c r="CR33" s="127"/>
      <c r="CS33" s="127"/>
      <c r="CT33" s="127"/>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c r="EO33" s="127"/>
      <c r="EP33" s="127"/>
      <c r="EQ33" s="127"/>
      <c r="ER33" s="127"/>
      <c r="ES33" s="127"/>
      <c r="ET33" s="127"/>
      <c r="EU33" s="127"/>
      <c r="EV33" s="127"/>
      <c r="EW33" s="127"/>
      <c r="EX33" s="127"/>
      <c r="EY33" s="127"/>
      <c r="EZ33" s="127"/>
      <c r="FA33" s="127"/>
      <c r="FB33" s="127"/>
      <c r="FC33" s="127"/>
      <c r="FD33" s="127"/>
      <c r="FE33" s="127"/>
      <c r="FF33" s="127"/>
      <c r="FG33" s="127"/>
      <c r="FH33" s="127"/>
      <c r="FI33" s="127"/>
      <c r="FJ33" s="127"/>
      <c r="FK33" s="127"/>
      <c r="FL33" s="127"/>
      <c r="FM33" s="127"/>
      <c r="FN33" s="127"/>
      <c r="FO33" s="127"/>
      <c r="FP33" s="127"/>
      <c r="FQ33" s="127"/>
      <c r="FR33" s="127"/>
      <c r="FS33" s="127"/>
      <c r="FT33" s="127"/>
      <c r="FU33" s="127"/>
      <c r="FV33" s="127"/>
      <c r="FW33" s="127"/>
      <c r="FX33" s="127"/>
      <c r="FY33" s="127"/>
      <c r="FZ33" s="127"/>
      <c r="GA33" s="127"/>
      <c r="GB33" s="127"/>
      <c r="GC33" s="127"/>
      <c r="GD33" s="127"/>
      <c r="GE33" s="127"/>
      <c r="GF33" s="127"/>
      <c r="GG33" s="127"/>
      <c r="GH33" s="127"/>
      <c r="GI33" s="127"/>
      <c r="GJ33" s="127"/>
      <c r="GK33" s="127"/>
      <c r="GL33" s="127"/>
      <c r="GM33" s="127"/>
      <c r="GN33" s="127"/>
      <c r="GO33" s="127"/>
      <c r="GP33" s="127"/>
      <c r="GQ33" s="127"/>
      <c r="GR33" s="127"/>
      <c r="GS33" s="127"/>
      <c r="GT33" s="127"/>
      <c r="GU33" s="127"/>
      <c r="GV33" s="127"/>
      <c r="GW33" s="127"/>
      <c r="GX33" s="127"/>
      <c r="GY33" s="127"/>
      <c r="GZ33" s="127"/>
      <c r="HA33" s="127"/>
      <c r="HB33" s="127"/>
      <c r="HC33" s="127"/>
      <c r="HD33" s="127"/>
      <c r="HE33" s="127"/>
      <c r="HF33" s="127"/>
      <c r="HG33" s="127"/>
      <c r="HH33" s="127"/>
      <c r="HI33" s="127"/>
      <c r="HJ33" s="127"/>
      <c r="HK33" s="127"/>
      <c r="HL33" s="127"/>
      <c r="HM33" s="127"/>
      <c r="HN33" s="127"/>
      <c r="HO33" s="127"/>
      <c r="HP33" s="127"/>
      <c r="HQ33" s="127"/>
      <c r="HR33" s="127"/>
      <c r="HS33" s="127"/>
      <c r="HT33" s="127"/>
      <c r="HU33" s="127"/>
      <c r="HV33" s="127"/>
      <c r="HW33" s="127"/>
      <c r="HX33" s="127"/>
      <c r="HY33" s="127"/>
      <c r="HZ33" s="127"/>
      <c r="IA33" s="127"/>
      <c r="IB33" s="127"/>
      <c r="IC33" s="127"/>
      <c r="ID33" s="127"/>
      <c r="IE33" s="127"/>
      <c r="IF33" s="127"/>
      <c r="IG33" s="127"/>
      <c r="IH33" s="127"/>
      <c r="II33" s="127"/>
      <c r="IJ33" s="127"/>
      <c r="IK33" s="127"/>
      <c r="IL33" s="127"/>
      <c r="IM33" s="127"/>
      <c r="IN33" s="127"/>
      <c r="IO33" s="127"/>
      <c r="IP33" s="127"/>
      <c r="IQ33" s="127"/>
      <c r="IR33" s="127"/>
      <c r="IS33" s="127"/>
      <c r="IT33" s="127"/>
      <c r="IU33" s="127"/>
      <c r="IV33" s="127"/>
      <c r="IW33" s="127"/>
      <c r="IX33" s="127"/>
      <c r="IY33" s="127"/>
      <c r="IZ33" s="127"/>
      <c r="JA33" s="127"/>
      <c r="JB33" s="127"/>
      <c r="JC33" s="127"/>
      <c r="JD33" s="127"/>
      <c r="JE33" s="127"/>
      <c r="JF33" s="127"/>
      <c r="JG33" s="127"/>
      <c r="JH33" s="127"/>
      <c r="JI33" s="127"/>
      <c r="JJ33" s="127"/>
      <c r="JK33" s="127"/>
      <c r="JL33" s="127"/>
      <c r="JM33" s="127"/>
      <c r="JN33" s="127"/>
      <c r="JO33" s="127"/>
      <c r="JP33" s="127"/>
      <c r="JQ33" s="127"/>
      <c r="JR33" s="127"/>
      <c r="JS33" s="127"/>
      <c r="JT33" s="127"/>
      <c r="JU33" s="127"/>
      <c r="JV33" s="127"/>
      <c r="JW33" s="127"/>
      <c r="JX33" s="127"/>
      <c r="JY33" s="127"/>
      <c r="JZ33" s="127"/>
      <c r="KA33" s="127"/>
      <c r="KB33" s="127"/>
      <c r="KC33" s="127"/>
      <c r="KD33" s="127"/>
      <c r="KE33" s="127"/>
      <c r="KF33" s="127"/>
      <c r="KG33" s="127"/>
      <c r="KH33" s="127"/>
      <c r="KI33" s="127"/>
      <c r="KJ33" s="127"/>
      <c r="KK33" s="127"/>
      <c r="KL33" s="127"/>
      <c r="KM33" s="127"/>
      <c r="KN33" s="127"/>
      <c r="KO33" s="127"/>
      <c r="KP33" s="127"/>
      <c r="KQ33" s="127"/>
      <c r="KR33" s="127"/>
      <c r="KS33" s="127"/>
      <c r="KT33" s="127"/>
      <c r="KU33" s="127"/>
      <c r="KV33" s="127"/>
      <c r="KW33" s="127"/>
      <c r="KX33" s="127"/>
      <c r="KY33" s="127"/>
      <c r="KZ33" s="127"/>
      <c r="LA33" s="127"/>
      <c r="LB33" s="127"/>
      <c r="LC33" s="127"/>
      <c r="LD33" s="127"/>
      <c r="LE33" s="127"/>
      <c r="LF33" s="127"/>
      <c r="LG33" s="127"/>
      <c r="LH33" s="127"/>
      <c r="LI33" s="127"/>
      <c r="LJ33" s="127"/>
      <c r="LK33" s="127"/>
      <c r="LL33" s="127"/>
      <c r="LM33" s="127"/>
      <c r="LN33" s="127"/>
      <c r="LO33" s="127"/>
      <c r="LP33" s="127"/>
      <c r="LQ33" s="127"/>
      <c r="LR33" s="127"/>
      <c r="LS33" s="127"/>
      <c r="LT33" s="127"/>
      <c r="LU33" s="127"/>
      <c r="LV33" s="127"/>
      <c r="LW33" s="127"/>
      <c r="LX33" s="127"/>
      <c r="LY33" s="127"/>
      <c r="LZ33" s="127"/>
      <c r="MA33" s="127"/>
      <c r="MB33" s="127"/>
      <c r="MC33" s="127"/>
      <c r="MD33" s="127"/>
      <c r="ME33" s="127"/>
      <c r="MF33" s="127"/>
      <c r="MG33" s="127"/>
      <c r="MH33" s="127"/>
      <c r="MI33" s="127"/>
      <c r="MJ33" s="127"/>
      <c r="MK33" s="127"/>
      <c r="ML33" s="127"/>
      <c r="MM33" s="127"/>
      <c r="MN33" s="127"/>
      <c r="MO33" s="127"/>
      <c r="MP33" s="127"/>
      <c r="MQ33" s="127"/>
      <c r="MR33" s="127"/>
      <c r="MS33" s="127"/>
      <c r="MT33" s="127"/>
      <c r="MU33" s="127"/>
      <c r="MV33" s="127"/>
      <c r="MW33" s="127"/>
      <c r="MX33" s="127"/>
      <c r="MY33" s="127"/>
      <c r="MZ33" s="127"/>
      <c r="NA33" s="127"/>
      <c r="NB33" s="127"/>
      <c r="NC33" s="127"/>
      <c r="ND33" s="127"/>
      <c r="NE33" s="127"/>
      <c r="NF33" s="127"/>
      <c r="NG33" s="127"/>
      <c r="NH33" s="127"/>
      <c r="NI33" s="127"/>
      <c r="NJ33" s="127"/>
      <c r="NK33" s="127"/>
      <c r="NL33" s="127"/>
      <c r="NM33" s="127"/>
      <c r="NN33" s="127"/>
      <c r="NO33" s="127"/>
      <c r="NP33" s="127"/>
      <c r="NQ33" s="127"/>
      <c r="NR33" s="127"/>
      <c r="NS33" s="127"/>
      <c r="NT33" s="127"/>
      <c r="NU33" s="127"/>
      <c r="NV33" s="127"/>
      <c r="NW33" s="127"/>
      <c r="NX33" s="127"/>
      <c r="NY33" s="127"/>
      <c r="NZ33" s="127"/>
      <c r="OA33" s="127"/>
      <c r="OB33" s="127"/>
      <c r="OC33" s="127"/>
      <c r="OD33" s="127"/>
      <c r="OE33" s="127"/>
      <c r="OF33" s="127"/>
      <c r="OG33" s="127"/>
      <c r="OH33" s="127"/>
      <c r="OI33" s="127"/>
      <c r="OJ33" s="127"/>
      <c r="OK33" s="127"/>
      <c r="OL33" s="127"/>
      <c r="OM33" s="127"/>
      <c r="ON33" s="127"/>
      <c r="OO33" s="127"/>
      <c r="OP33" s="127"/>
      <c r="OQ33" s="127"/>
      <c r="OR33" s="127"/>
      <c r="OS33" s="127"/>
      <c r="OT33" s="127"/>
      <c r="OU33" s="127"/>
      <c r="OV33" s="127"/>
      <c r="OW33" s="127"/>
      <c r="OX33" s="127"/>
      <c r="OY33" s="127"/>
      <c r="OZ33" s="127"/>
      <c r="PA33" s="127"/>
      <c r="PB33" s="127"/>
      <c r="PC33" s="127"/>
      <c r="PD33" s="127"/>
      <c r="PE33" s="127"/>
      <c r="PF33" s="127"/>
      <c r="PG33" s="127"/>
      <c r="PH33" s="127"/>
      <c r="PI33" s="127"/>
      <c r="PJ33" s="127"/>
      <c r="PK33" s="127"/>
      <c r="PL33" s="127"/>
      <c r="PM33" s="127"/>
      <c r="PN33" s="127"/>
      <c r="PO33" s="127"/>
      <c r="PP33" s="127"/>
      <c r="PQ33" s="127"/>
      <c r="PR33" s="127"/>
      <c r="PS33" s="127"/>
      <c r="PT33" s="127"/>
      <c r="PU33" s="127"/>
      <c r="PV33" s="127"/>
      <c r="PW33" s="127"/>
      <c r="PX33" s="127"/>
      <c r="PY33" s="127"/>
      <c r="PZ33" s="127"/>
      <c r="QA33" s="127"/>
      <c r="QB33" s="127"/>
      <c r="QC33" s="127"/>
      <c r="QD33" s="127"/>
      <c r="QE33" s="127"/>
      <c r="QF33" s="127"/>
      <c r="QG33" s="127"/>
      <c r="QH33" s="127"/>
      <c r="QI33" s="127"/>
      <c r="QJ33" s="127"/>
      <c r="QK33" s="127"/>
      <c r="QL33" s="127"/>
      <c r="QM33" s="127"/>
      <c r="QN33" s="127"/>
      <c r="QO33" s="127"/>
      <c r="QP33" s="127"/>
      <c r="QQ33" s="127"/>
      <c r="QR33" s="127"/>
      <c r="QS33" s="127"/>
      <c r="QT33" s="127"/>
      <c r="QU33" s="127"/>
      <c r="QV33" s="127"/>
      <c r="QW33" s="127"/>
      <c r="QX33" s="127"/>
      <c r="QY33" s="127"/>
      <c r="QZ33" s="127"/>
      <c r="RA33" s="127"/>
      <c r="RB33" s="127"/>
      <c r="RC33" s="127"/>
      <c r="RD33" s="127"/>
      <c r="RE33" s="127"/>
      <c r="RF33" s="127"/>
      <c r="RG33" s="127"/>
      <c r="RH33" s="127"/>
      <c r="RI33" s="127"/>
      <c r="RJ33" s="127"/>
      <c r="RK33" s="127"/>
      <c r="RL33" s="127"/>
      <c r="RM33" s="127"/>
      <c r="RN33" s="127"/>
      <c r="RO33" s="127"/>
      <c r="RP33" s="127"/>
      <c r="RQ33" s="127"/>
      <c r="RR33" s="127"/>
      <c r="RS33" s="127"/>
      <c r="RT33" s="127"/>
      <c r="RU33" s="127"/>
      <c r="RV33" s="127"/>
      <c r="RW33" s="127"/>
      <c r="RX33" s="127"/>
      <c r="RY33" s="127"/>
      <c r="RZ33" s="127"/>
      <c r="SA33" s="127"/>
      <c r="SB33" s="127"/>
      <c r="SC33" s="127"/>
      <c r="SD33" s="127"/>
      <c r="SE33" s="127"/>
      <c r="SF33" s="127"/>
      <c r="SG33" s="127"/>
      <c r="SH33" s="127"/>
      <c r="SI33" s="127"/>
      <c r="SJ33" s="127"/>
      <c r="SK33" s="127"/>
      <c r="SL33" s="127"/>
      <c r="SM33" s="127"/>
      <c r="SN33" s="127"/>
      <c r="SO33" s="127"/>
      <c r="SP33" s="127"/>
      <c r="SQ33" s="127"/>
      <c r="SR33" s="127"/>
      <c r="SS33" s="127"/>
      <c r="ST33" s="127"/>
      <c r="SU33" s="127"/>
      <c r="SV33" s="127"/>
      <c r="SW33" s="127"/>
      <c r="SX33" s="127"/>
      <c r="SY33" s="127"/>
      <c r="SZ33" s="127"/>
      <c r="TA33" s="127"/>
      <c r="TB33" s="127"/>
      <c r="TC33" s="127"/>
      <c r="TD33" s="127"/>
      <c r="TE33" s="127"/>
      <c r="TF33" s="127"/>
      <c r="TG33" s="127"/>
      <c r="TH33" s="127"/>
      <c r="TI33" s="127"/>
      <c r="TJ33" s="127"/>
      <c r="TK33" s="127"/>
      <c r="TL33" s="127"/>
      <c r="TM33" s="127"/>
      <c r="TN33" s="127"/>
      <c r="TO33" s="127"/>
      <c r="TP33" s="127"/>
      <c r="TQ33" s="127"/>
      <c r="TR33" s="127"/>
      <c r="TS33" s="127"/>
      <c r="TT33" s="127"/>
      <c r="TU33" s="127"/>
      <c r="TV33" s="127"/>
      <c r="TW33" s="127"/>
      <c r="TX33" s="127"/>
      <c r="TY33" s="127"/>
      <c r="TZ33" s="127"/>
      <c r="UA33" s="127"/>
      <c r="UB33" s="127"/>
      <c r="UC33" s="127"/>
      <c r="UD33" s="127"/>
      <c r="UE33" s="127"/>
      <c r="UF33" s="127"/>
      <c r="UG33" s="127"/>
      <c r="UH33" s="127"/>
      <c r="UI33" s="127"/>
      <c r="UJ33" s="127"/>
      <c r="UK33" s="127"/>
      <c r="UL33" s="127"/>
      <c r="UM33" s="127"/>
      <c r="UN33" s="127"/>
      <c r="UO33" s="127"/>
      <c r="UP33" s="127"/>
      <c r="UQ33" s="127"/>
      <c r="UR33" s="127"/>
      <c r="US33" s="127"/>
      <c r="UT33" s="127"/>
      <c r="UU33" s="127"/>
      <c r="UV33" s="127"/>
      <c r="UW33" s="127"/>
      <c r="UX33" s="127"/>
      <c r="UY33" s="127"/>
      <c r="UZ33" s="127"/>
      <c r="VA33" s="127"/>
      <c r="VB33" s="127"/>
      <c r="VC33" s="127"/>
      <c r="VD33" s="127"/>
      <c r="VE33" s="127"/>
      <c r="VF33" s="127"/>
      <c r="VG33" s="127"/>
      <c r="VH33" s="127"/>
      <c r="VI33" s="127"/>
      <c r="VJ33" s="127"/>
      <c r="VK33" s="127"/>
      <c r="VL33" s="127"/>
      <c r="VM33" s="127"/>
      <c r="VN33" s="127"/>
      <c r="VO33" s="127"/>
      <c r="VP33" s="127"/>
      <c r="VQ33" s="127"/>
      <c r="VR33" s="127"/>
      <c r="VS33" s="127"/>
      <c r="VT33" s="127"/>
      <c r="VU33" s="127"/>
      <c r="VV33" s="127"/>
      <c r="VW33" s="127"/>
      <c r="VX33" s="127"/>
      <c r="VY33" s="127"/>
      <c r="VZ33" s="127"/>
      <c r="WA33" s="127"/>
      <c r="WB33" s="127"/>
      <c r="WC33" s="127"/>
      <c r="WD33" s="127"/>
      <c r="WE33" s="127"/>
      <c r="WF33" s="127"/>
      <c r="WG33" s="127"/>
      <c r="WH33" s="127"/>
      <c r="WI33" s="127"/>
      <c r="WJ33" s="127"/>
      <c r="WK33" s="127"/>
      <c r="WL33" s="127"/>
      <c r="WM33" s="127"/>
      <c r="WN33" s="127"/>
      <c r="WO33" s="127"/>
      <c r="WP33" s="127"/>
      <c r="WQ33" s="127"/>
      <c r="WR33" s="127"/>
      <c r="WS33" s="127"/>
      <c r="WT33" s="127"/>
      <c r="WU33" s="127"/>
      <c r="WV33" s="127"/>
      <c r="WW33" s="127"/>
      <c r="WX33" s="127"/>
      <c r="WY33" s="127"/>
      <c r="WZ33" s="127"/>
      <c r="XA33" s="127"/>
      <c r="XB33" s="127"/>
      <c r="XC33" s="127"/>
      <c r="XD33" s="127"/>
      <c r="XE33" s="127"/>
      <c r="XF33" s="127"/>
      <c r="XG33" s="127"/>
      <c r="XH33" s="127"/>
      <c r="XI33" s="127"/>
      <c r="XJ33" s="127"/>
      <c r="XK33" s="127"/>
      <c r="XL33" s="127"/>
      <c r="XM33" s="127"/>
      <c r="XN33" s="127"/>
      <c r="XO33" s="127"/>
      <c r="XP33" s="127"/>
      <c r="XQ33" s="127"/>
      <c r="XR33" s="127"/>
      <c r="XS33" s="127"/>
      <c r="XT33" s="127"/>
      <c r="XU33" s="127"/>
      <c r="XV33" s="127"/>
      <c r="XW33" s="127"/>
      <c r="XX33" s="127"/>
      <c r="XY33" s="127"/>
      <c r="XZ33" s="127"/>
      <c r="YA33" s="127"/>
      <c r="YB33" s="127"/>
      <c r="YC33" s="127"/>
      <c r="YD33" s="127"/>
      <c r="YE33" s="127"/>
      <c r="YF33" s="127"/>
      <c r="YG33" s="127"/>
      <c r="YH33" s="127"/>
      <c r="YI33" s="127"/>
      <c r="YJ33" s="127"/>
      <c r="YK33" s="127"/>
      <c r="YL33" s="127"/>
      <c r="YM33" s="127"/>
      <c r="YN33" s="127"/>
      <c r="YO33" s="127"/>
      <c r="YP33" s="127"/>
      <c r="YQ33" s="127"/>
      <c r="YR33" s="127"/>
      <c r="YS33" s="127"/>
      <c r="YT33" s="127"/>
      <c r="YU33" s="127"/>
      <c r="YV33" s="127"/>
      <c r="YW33" s="127"/>
      <c r="YX33" s="127"/>
      <c r="YY33" s="127"/>
      <c r="YZ33" s="127"/>
      <c r="ZA33" s="127"/>
      <c r="ZB33" s="127"/>
      <c r="ZC33" s="127"/>
      <c r="ZD33" s="127"/>
      <c r="ZE33" s="127"/>
      <c r="ZF33" s="127"/>
      <c r="ZG33" s="127"/>
      <c r="ZH33" s="127"/>
      <c r="ZI33" s="127"/>
      <c r="ZJ33" s="127"/>
      <c r="ZK33" s="127"/>
      <c r="ZL33" s="127"/>
      <c r="ZM33" s="127"/>
      <c r="ZN33" s="127"/>
      <c r="ZO33" s="127"/>
      <c r="ZP33" s="127"/>
      <c r="ZQ33" s="127"/>
      <c r="ZR33" s="127"/>
      <c r="ZS33" s="127"/>
      <c r="ZT33" s="127"/>
      <c r="ZU33" s="127"/>
      <c r="ZV33" s="127"/>
      <c r="ZW33" s="127"/>
      <c r="ZX33" s="127"/>
      <c r="ZY33" s="127"/>
      <c r="ZZ33" s="127"/>
      <c r="AAA33" s="127"/>
      <c r="AAB33" s="127"/>
      <c r="AAC33" s="127"/>
      <c r="AAD33" s="127"/>
      <c r="AAE33" s="127"/>
      <c r="AAF33" s="127"/>
      <c r="AAG33" s="127"/>
      <c r="AAH33" s="127"/>
      <c r="AAI33" s="127"/>
      <c r="AAJ33" s="127"/>
      <c r="AAK33" s="127"/>
      <c r="AAL33" s="127"/>
      <c r="AAM33" s="127"/>
      <c r="AAN33" s="127"/>
      <c r="AAO33" s="127"/>
      <c r="AAP33" s="127"/>
      <c r="AAQ33" s="127"/>
      <c r="AAR33" s="127"/>
      <c r="AAS33" s="127"/>
      <c r="AAT33" s="127"/>
      <c r="AAU33" s="127"/>
      <c r="AAV33" s="127"/>
      <c r="AAW33" s="127"/>
      <c r="AAX33" s="127"/>
      <c r="AAY33" s="127"/>
      <c r="AAZ33" s="127"/>
      <c r="ABA33" s="127"/>
      <c r="ABB33" s="127"/>
      <c r="ABC33" s="127"/>
      <c r="ABD33" s="127"/>
      <c r="ABE33" s="127"/>
      <c r="ABF33" s="127"/>
      <c r="ABG33" s="127"/>
      <c r="ABH33" s="127"/>
      <c r="ABI33" s="127"/>
      <c r="ABJ33" s="127"/>
      <c r="ABK33" s="127"/>
      <c r="ABL33" s="127"/>
      <c r="ABM33" s="127"/>
      <c r="ABN33" s="127"/>
      <c r="ABO33" s="127"/>
      <c r="ABP33" s="127"/>
      <c r="ABQ33" s="127"/>
      <c r="ABR33" s="127"/>
      <c r="ABS33" s="127"/>
      <c r="ABT33" s="127"/>
      <c r="ABU33" s="127"/>
      <c r="ABV33" s="127"/>
      <c r="ABW33" s="127"/>
      <c r="ABX33" s="127"/>
      <c r="ABY33" s="127"/>
      <c r="ABZ33" s="127"/>
      <c r="ACA33" s="127"/>
      <c r="ACB33" s="127"/>
      <c r="ACC33" s="127"/>
      <c r="ACD33" s="127"/>
      <c r="ACE33" s="127"/>
      <c r="ACF33" s="127"/>
      <c r="ACG33" s="127"/>
      <c r="ACH33" s="127"/>
      <c r="ACI33" s="127"/>
      <c r="ACJ33" s="127"/>
      <c r="ACK33" s="127"/>
      <c r="ACL33" s="127"/>
      <c r="ACM33" s="127"/>
      <c r="ACN33" s="127"/>
      <c r="ACO33" s="127"/>
      <c r="ACP33" s="127"/>
      <c r="ACQ33" s="127"/>
      <c r="ACR33" s="127"/>
      <c r="ACS33" s="127"/>
      <c r="ACT33" s="127"/>
      <c r="ACU33" s="127"/>
      <c r="ACV33" s="127"/>
      <c r="ACW33" s="127"/>
      <c r="ACX33" s="127"/>
      <c r="ACY33" s="127"/>
      <c r="ACZ33" s="127"/>
      <c r="ADA33" s="127"/>
      <c r="ADB33" s="127"/>
      <c r="ADC33" s="127"/>
      <c r="ADD33" s="127"/>
      <c r="ADE33" s="127"/>
      <c r="ADF33" s="127"/>
      <c r="ADG33" s="127"/>
      <c r="ADH33" s="127"/>
      <c r="ADI33" s="127"/>
      <c r="ADJ33" s="127"/>
      <c r="ADK33" s="127"/>
      <c r="ADL33" s="127"/>
      <c r="ADM33" s="127"/>
      <c r="ADN33" s="127"/>
      <c r="ADO33" s="127"/>
      <c r="ADP33" s="127"/>
      <c r="ADQ33" s="127"/>
      <c r="ADR33" s="127"/>
      <c r="ADS33" s="127"/>
      <c r="ADT33" s="127"/>
      <c r="ADU33" s="127"/>
      <c r="ADV33" s="127"/>
      <c r="ADW33" s="127"/>
      <c r="ADX33" s="127"/>
      <c r="ADY33" s="127"/>
      <c r="ADZ33" s="127"/>
      <c r="AEA33" s="127"/>
      <c r="AEB33" s="127"/>
      <c r="AEC33" s="127"/>
      <c r="AED33" s="127"/>
      <c r="AEE33" s="127"/>
      <c r="AEF33" s="127"/>
      <c r="AEG33" s="127"/>
      <c r="AEH33" s="127"/>
      <c r="AEI33" s="127"/>
      <c r="AEJ33" s="127"/>
      <c r="AEK33" s="127"/>
      <c r="AEL33" s="127"/>
      <c r="AEM33" s="127"/>
      <c r="AEN33" s="127"/>
      <c r="AEO33" s="127"/>
      <c r="AEP33" s="127"/>
      <c r="AEQ33" s="127"/>
      <c r="AER33" s="127"/>
      <c r="AES33" s="127"/>
      <c r="AET33" s="127"/>
      <c r="AEU33" s="127"/>
      <c r="AEV33" s="127"/>
      <c r="AEW33" s="127"/>
      <c r="AEX33" s="127"/>
      <c r="AEY33" s="127"/>
      <c r="AEZ33" s="127"/>
      <c r="AFA33" s="127"/>
      <c r="AFB33" s="127"/>
      <c r="AFC33" s="127"/>
      <c r="AFD33" s="127"/>
      <c r="AFE33" s="127"/>
      <c r="AFF33" s="127"/>
      <c r="AFG33" s="127"/>
      <c r="AFH33" s="127"/>
      <c r="AFI33" s="127"/>
      <c r="AFJ33" s="127"/>
      <c r="AFK33" s="127"/>
      <c r="AFL33" s="127"/>
      <c r="AFM33" s="127"/>
      <c r="AFN33" s="127"/>
      <c r="AFO33" s="127"/>
      <c r="AFP33" s="127"/>
      <c r="AFQ33" s="127"/>
      <c r="AFR33" s="127"/>
      <c r="AFS33" s="127"/>
      <c r="AFT33" s="127"/>
      <c r="AFU33" s="127"/>
      <c r="AFV33" s="127"/>
      <c r="AFW33" s="127"/>
      <c r="AFX33" s="127"/>
      <c r="AFY33" s="127"/>
      <c r="AFZ33" s="127"/>
      <c r="AGA33" s="127"/>
      <c r="AGB33" s="127"/>
      <c r="AGC33" s="127"/>
      <c r="AGD33" s="127"/>
      <c r="AGE33" s="127"/>
      <c r="AGF33" s="127"/>
      <c r="AGG33" s="127"/>
      <c r="AGH33" s="127"/>
      <c r="AGI33" s="127"/>
      <c r="AGJ33" s="127"/>
      <c r="AGK33" s="127"/>
      <c r="AGL33" s="127"/>
      <c r="AGM33" s="127"/>
      <c r="AGN33" s="127"/>
      <c r="AGO33" s="127"/>
      <c r="AGP33" s="127"/>
      <c r="AGQ33" s="127"/>
      <c r="AGR33" s="127"/>
      <c r="AGS33" s="127"/>
      <c r="AGT33" s="127"/>
      <c r="AGU33" s="127"/>
      <c r="AGV33" s="127"/>
      <c r="AGW33" s="127"/>
      <c r="AGX33" s="127"/>
      <c r="AGY33" s="127"/>
      <c r="AGZ33" s="127"/>
      <c r="AHA33" s="127"/>
      <c r="AHB33" s="127"/>
      <c r="AHC33" s="127"/>
      <c r="AHD33" s="127"/>
      <c r="AHE33" s="127"/>
      <c r="AHF33" s="127"/>
      <c r="AHG33" s="127"/>
      <c r="AHH33" s="127"/>
      <c r="AHI33" s="127"/>
      <c r="AHJ33" s="127"/>
      <c r="AHK33" s="127"/>
      <c r="AHL33" s="127"/>
      <c r="AHM33" s="127"/>
      <c r="AHN33" s="127"/>
      <c r="AHO33" s="127"/>
      <c r="AHP33" s="127"/>
      <c r="AHQ33" s="127"/>
      <c r="AHR33" s="127"/>
      <c r="AHS33" s="127"/>
      <c r="AHT33" s="127"/>
      <c r="AHU33" s="127"/>
      <c r="AHV33" s="127"/>
      <c r="AHW33" s="127"/>
      <c r="AHX33" s="127"/>
      <c r="AHY33" s="127"/>
      <c r="AHZ33" s="127"/>
      <c r="AIA33" s="127"/>
      <c r="AIB33" s="127"/>
      <c r="AIC33" s="127"/>
      <c r="AID33" s="127"/>
      <c r="AIE33" s="127"/>
      <c r="AIF33" s="127"/>
      <c r="AIG33" s="127"/>
      <c r="AIH33" s="127"/>
      <c r="AII33" s="127"/>
      <c r="AIJ33" s="127"/>
      <c r="AIK33" s="127"/>
      <c r="AIL33" s="127"/>
      <c r="AIM33" s="127"/>
      <c r="AIN33" s="127"/>
      <c r="AIO33" s="127"/>
      <c r="AIP33" s="127"/>
      <c r="AIQ33" s="127"/>
      <c r="AIR33" s="127"/>
      <c r="AIS33" s="127"/>
      <c r="AIT33" s="127"/>
      <c r="AIU33" s="127"/>
      <c r="AIV33" s="127"/>
      <c r="AIW33" s="127"/>
      <c r="AIX33" s="127"/>
      <c r="AIY33" s="127"/>
      <c r="AIZ33" s="127"/>
      <c r="AJA33" s="127"/>
      <c r="AJB33" s="127"/>
      <c r="AJC33" s="127"/>
      <c r="AJD33" s="127"/>
      <c r="AJE33" s="127"/>
      <c r="AJF33" s="127"/>
      <c r="AJG33" s="127"/>
      <c r="AJH33" s="127"/>
      <c r="AJI33" s="127"/>
      <c r="AJJ33" s="127"/>
      <c r="AJK33" s="127"/>
      <c r="AJL33" s="127"/>
      <c r="AJM33" s="127"/>
      <c r="AJN33" s="127"/>
      <c r="AJO33" s="127"/>
      <c r="AJP33" s="127"/>
      <c r="AJQ33" s="127"/>
      <c r="AJR33" s="127"/>
      <c r="AJS33" s="127"/>
      <c r="AJT33" s="127"/>
      <c r="AJU33" s="127"/>
      <c r="AJV33" s="127"/>
      <c r="AJW33" s="127"/>
      <c r="AJX33" s="127"/>
      <c r="AJY33" s="127"/>
      <c r="AJZ33" s="127"/>
      <c r="AKA33" s="127"/>
      <c r="AKB33" s="127"/>
      <c r="AKC33" s="127"/>
      <c r="AKD33" s="127"/>
      <c r="AKE33" s="127"/>
      <c r="AKF33" s="127"/>
      <c r="AKG33" s="127"/>
      <c r="AKH33" s="127"/>
      <c r="AKI33" s="127"/>
      <c r="AKJ33" s="127"/>
      <c r="AKK33" s="127"/>
      <c r="AKL33" s="127"/>
      <c r="AKM33" s="127"/>
      <c r="AKN33" s="127"/>
      <c r="AKO33" s="127"/>
      <c r="AKP33" s="127"/>
      <c r="AKQ33" s="127"/>
      <c r="AKR33" s="127"/>
      <c r="AKS33" s="127"/>
      <c r="AKT33" s="127"/>
      <c r="AKU33" s="127"/>
      <c r="AKV33" s="127"/>
      <c r="AKW33" s="127"/>
      <c r="AKX33" s="127"/>
      <c r="AKY33" s="127"/>
      <c r="AKZ33" s="127"/>
      <c r="ALA33" s="127"/>
      <c r="ALB33" s="127"/>
      <c r="ALC33" s="127"/>
      <c r="ALD33" s="127"/>
      <c r="ALE33" s="127"/>
      <c r="ALF33" s="127"/>
      <c r="ALG33" s="127"/>
      <c r="ALH33" s="127"/>
      <c r="ALI33" s="127"/>
      <c r="ALJ33" s="127"/>
      <c r="ALK33" s="127"/>
      <c r="ALL33" s="127"/>
      <c r="ALM33" s="127"/>
      <c r="ALN33" s="127"/>
      <c r="ALO33" s="127"/>
      <c r="ALP33" s="127"/>
      <c r="ALQ33" s="127"/>
      <c r="ALR33" s="127"/>
      <c r="ALS33" s="127"/>
      <c r="ALT33" s="127"/>
      <c r="ALU33" s="127"/>
      <c r="ALV33" s="127"/>
      <c r="ALW33" s="127"/>
      <c r="ALX33" s="127"/>
      <c r="ALY33" s="127"/>
      <c r="ALZ33" s="127"/>
      <c r="AMA33" s="127"/>
      <c r="AMB33" s="127"/>
      <c r="AMC33" s="127"/>
      <c r="AMD33" s="127"/>
      <c r="AME33" s="127"/>
      <c r="AMF33" s="127"/>
      <c r="AMG33" s="127"/>
      <c r="AMH33" s="127"/>
      <c r="AMI33" s="127"/>
      <c r="AMJ33" s="127"/>
      <c r="AMK33" s="127"/>
      <c r="AML33" s="127"/>
      <c r="AMM33" s="127"/>
      <c r="AMN33" s="127"/>
      <c r="AMO33" s="127"/>
      <c r="AMP33" s="127"/>
      <c r="AMQ33" s="127"/>
      <c r="AMR33" s="127"/>
      <c r="AMS33" s="127"/>
      <c r="AMT33" s="127"/>
      <c r="AMU33" s="127"/>
      <c r="AMV33" s="127"/>
      <c r="AMW33" s="127"/>
      <c r="AMX33" s="127"/>
      <c r="AMY33" s="127"/>
      <c r="AMZ33" s="127"/>
      <c r="ANA33" s="127"/>
      <c r="ANB33" s="127"/>
      <c r="ANC33" s="127"/>
      <c r="AND33" s="127"/>
      <c r="ANE33" s="127"/>
      <c r="ANF33" s="127"/>
      <c r="ANG33" s="127"/>
      <c r="ANH33" s="127"/>
      <c r="ANI33" s="127"/>
      <c r="ANJ33" s="127"/>
      <c r="ANK33" s="127"/>
      <c r="ANL33" s="127"/>
      <c r="ANM33" s="127"/>
      <c r="ANN33" s="127"/>
      <c r="ANO33" s="127"/>
      <c r="ANP33" s="127"/>
      <c r="ANQ33" s="127"/>
      <c r="ANR33" s="127"/>
      <c r="ANS33" s="127"/>
      <c r="ANT33" s="127"/>
      <c r="ANU33" s="127"/>
      <c r="ANV33" s="127"/>
      <c r="ANW33" s="127"/>
      <c r="ANX33" s="127"/>
      <c r="ANY33" s="127"/>
      <c r="ANZ33" s="127"/>
      <c r="AOA33" s="127"/>
      <c r="AOB33" s="127"/>
      <c r="AOC33" s="127"/>
      <c r="AOD33" s="127"/>
      <c r="AOE33" s="127"/>
      <c r="AOF33" s="127"/>
      <c r="AOG33" s="127"/>
      <c r="AOH33" s="127"/>
      <c r="AOI33" s="127"/>
      <c r="AOJ33" s="127"/>
      <c r="AOK33" s="127"/>
      <c r="AOL33" s="127"/>
      <c r="AOM33" s="127"/>
      <c r="AON33" s="127"/>
      <c r="AOO33" s="127"/>
      <c r="AOP33" s="127"/>
      <c r="AOQ33" s="127"/>
      <c r="AOR33" s="127"/>
      <c r="AOS33" s="127"/>
      <c r="AOT33" s="127"/>
      <c r="AOU33" s="127"/>
      <c r="AOV33" s="127"/>
      <c r="AOW33" s="127"/>
      <c r="AOX33" s="127"/>
      <c r="AOY33" s="127"/>
      <c r="AOZ33" s="127"/>
      <c r="APA33" s="127"/>
      <c r="APB33" s="127"/>
      <c r="APC33" s="127"/>
      <c r="APD33" s="127"/>
      <c r="APE33" s="127"/>
      <c r="APF33" s="127"/>
      <c r="APG33" s="127"/>
      <c r="APH33" s="127"/>
      <c r="API33" s="127"/>
      <c r="APJ33" s="127"/>
      <c r="APK33" s="127"/>
      <c r="APL33" s="127"/>
      <c r="APM33" s="127"/>
      <c r="APN33" s="127"/>
      <c r="APO33" s="127"/>
      <c r="APP33" s="127"/>
      <c r="APQ33" s="127"/>
      <c r="APR33" s="127"/>
      <c r="APS33" s="127"/>
      <c r="APT33" s="127"/>
      <c r="APU33" s="127"/>
      <c r="APV33" s="127"/>
      <c r="APW33" s="127"/>
      <c r="APX33" s="127"/>
      <c r="APY33" s="127"/>
      <c r="APZ33" s="127"/>
      <c r="AQA33" s="127"/>
      <c r="AQB33" s="127"/>
      <c r="AQC33" s="127"/>
      <c r="AQD33" s="127"/>
      <c r="AQE33" s="127"/>
      <c r="AQF33" s="127"/>
      <c r="AQG33" s="127"/>
      <c r="AQH33" s="127"/>
      <c r="AQI33" s="127"/>
      <c r="AQJ33" s="127"/>
      <c r="AQK33" s="127"/>
      <c r="AQL33" s="127"/>
      <c r="AQM33" s="127"/>
      <c r="AQN33" s="127"/>
      <c r="AQO33" s="127"/>
      <c r="AQP33" s="127"/>
      <c r="AQQ33" s="127"/>
      <c r="AQR33" s="127"/>
      <c r="AQS33" s="127"/>
      <c r="AQT33" s="127"/>
      <c r="AQU33" s="127"/>
      <c r="AQV33" s="127"/>
      <c r="AQW33" s="127"/>
      <c r="AQX33" s="127"/>
      <c r="AQY33" s="127"/>
      <c r="AQZ33" s="127"/>
      <c r="ARA33" s="127"/>
      <c r="ARB33" s="127"/>
      <c r="ARC33" s="127"/>
      <c r="ARD33" s="127"/>
      <c r="ARE33" s="127"/>
      <c r="ARF33" s="127"/>
      <c r="ARG33" s="127"/>
      <c r="ARH33" s="127"/>
      <c r="ARI33" s="127"/>
      <c r="ARJ33" s="127"/>
      <c r="ARK33" s="127"/>
      <c r="ARL33" s="127"/>
      <c r="ARM33" s="127"/>
      <c r="ARN33" s="127"/>
      <c r="ARO33" s="127"/>
      <c r="ARP33" s="127"/>
      <c r="ARQ33" s="127"/>
      <c r="ARR33" s="127"/>
      <c r="ARS33" s="127"/>
      <c r="ART33" s="127"/>
      <c r="ARU33" s="127"/>
      <c r="ARV33" s="127"/>
      <c r="ARW33" s="127"/>
      <c r="ARX33" s="127"/>
      <c r="ARY33" s="127"/>
      <c r="ARZ33" s="127"/>
      <c r="ASA33" s="127"/>
      <c r="ASB33" s="127"/>
      <c r="ASC33" s="127"/>
      <c r="ASD33" s="127"/>
      <c r="ASE33" s="127"/>
      <c r="ASF33" s="127"/>
      <c r="ASG33" s="127"/>
      <c r="ASH33" s="127"/>
      <c r="ASI33" s="127"/>
      <c r="ASJ33" s="127"/>
      <c r="ASK33" s="127"/>
      <c r="ASL33" s="127"/>
      <c r="ASM33" s="127"/>
      <c r="ASN33" s="127"/>
      <c r="ASO33" s="127"/>
      <c r="ASP33" s="127"/>
      <c r="ASQ33" s="127"/>
      <c r="ASR33" s="127"/>
      <c r="ASS33" s="127"/>
      <c r="AST33" s="127"/>
      <c r="ASU33" s="127"/>
      <c r="ASV33" s="127"/>
      <c r="ASW33" s="127"/>
      <c r="ASX33" s="127"/>
      <c r="ASY33" s="127"/>
      <c r="ASZ33" s="127"/>
      <c r="ATA33" s="127"/>
      <c r="ATB33" s="127"/>
      <c r="ATC33" s="127"/>
      <c r="ATD33" s="127"/>
      <c r="ATE33" s="127"/>
      <c r="ATF33" s="127"/>
      <c r="ATG33" s="127"/>
      <c r="ATH33" s="127"/>
      <c r="ATI33" s="127"/>
      <c r="ATJ33" s="127"/>
      <c r="ATK33" s="127"/>
      <c r="ATL33" s="127"/>
      <c r="ATM33" s="127"/>
      <c r="ATN33" s="127"/>
      <c r="ATO33" s="127"/>
      <c r="ATP33" s="127"/>
      <c r="ATQ33" s="127"/>
      <c r="ATR33" s="127"/>
      <c r="ATS33" s="127"/>
      <c r="ATT33" s="127"/>
      <c r="ATU33" s="127"/>
      <c r="ATV33" s="127"/>
      <c r="ATW33" s="127"/>
      <c r="ATX33" s="127"/>
      <c r="ATY33" s="127"/>
      <c r="ATZ33" s="127"/>
      <c r="AUA33" s="127"/>
      <c r="AUB33" s="127"/>
      <c r="AUC33" s="127"/>
      <c r="AUD33" s="127"/>
      <c r="AUE33" s="127"/>
      <c r="AUF33" s="127"/>
      <c r="AUG33" s="127"/>
      <c r="AUH33" s="127"/>
      <c r="AUI33" s="127"/>
      <c r="AUJ33" s="127"/>
      <c r="AUK33" s="127"/>
      <c r="AUL33" s="127"/>
      <c r="AUM33" s="127"/>
      <c r="AUN33" s="127"/>
      <c r="AUO33" s="127"/>
      <c r="AUP33" s="127"/>
      <c r="AUQ33" s="127"/>
      <c r="AUR33" s="127"/>
      <c r="AUS33" s="127"/>
      <c r="AUT33" s="127"/>
      <c r="AUU33" s="127"/>
      <c r="AUV33" s="127"/>
      <c r="AUW33" s="127"/>
      <c r="AUX33" s="127"/>
      <c r="AUY33" s="127"/>
      <c r="AUZ33" s="127"/>
      <c r="AVA33" s="127"/>
      <c r="AVB33" s="127"/>
      <c r="AVC33" s="127"/>
      <c r="AVD33" s="127"/>
      <c r="AVE33" s="127"/>
      <c r="AVF33" s="127"/>
      <c r="AVG33" s="127"/>
      <c r="AVH33" s="127"/>
      <c r="AVI33" s="127"/>
      <c r="AVJ33" s="127"/>
      <c r="AVK33" s="127"/>
      <c r="AVL33" s="127"/>
      <c r="AVM33" s="127"/>
      <c r="AVN33" s="127"/>
      <c r="AVO33" s="127"/>
      <c r="AVP33" s="127"/>
      <c r="AVQ33" s="127"/>
      <c r="AVR33" s="127"/>
      <c r="AVS33" s="127"/>
      <c r="AVT33" s="127"/>
      <c r="AVU33" s="127"/>
      <c r="AVV33" s="127"/>
      <c r="AVW33" s="127"/>
      <c r="AVX33" s="127"/>
      <c r="AVY33" s="127"/>
      <c r="AVZ33" s="127"/>
      <c r="AWA33" s="127"/>
      <c r="AWB33" s="127"/>
      <c r="AWC33" s="127"/>
      <c r="AWD33" s="127"/>
      <c r="AWE33" s="127"/>
      <c r="AWF33" s="127"/>
      <c r="AWG33" s="127"/>
      <c r="AWH33" s="127"/>
      <c r="AWI33" s="127"/>
      <c r="AWJ33" s="127"/>
      <c r="AWK33" s="127"/>
      <c r="AWL33" s="127"/>
      <c r="AWM33" s="127"/>
      <c r="AWN33" s="127"/>
      <c r="AWO33" s="127"/>
      <c r="AWP33" s="127"/>
      <c r="AWQ33" s="127"/>
      <c r="AWR33" s="127"/>
      <c r="AWS33" s="127"/>
      <c r="AWT33" s="127"/>
      <c r="AWU33" s="127"/>
      <c r="AWV33" s="127"/>
      <c r="AWW33" s="127"/>
      <c r="AWX33" s="127"/>
      <c r="AWY33" s="127"/>
      <c r="AWZ33" s="127"/>
      <c r="AXA33" s="127"/>
      <c r="AXB33" s="127"/>
      <c r="AXC33" s="127"/>
      <c r="AXD33" s="127"/>
      <c r="AXE33" s="127"/>
      <c r="AXF33" s="127"/>
      <c r="AXG33" s="127"/>
      <c r="AXH33" s="127"/>
      <c r="AXI33" s="127"/>
      <c r="AXJ33" s="127"/>
      <c r="AXK33" s="127"/>
      <c r="AXL33" s="127"/>
      <c r="AXM33" s="127"/>
      <c r="AXN33" s="127"/>
      <c r="AXO33" s="127"/>
      <c r="AXP33" s="127"/>
      <c r="AXQ33" s="127"/>
      <c r="AXR33" s="127"/>
      <c r="AXS33" s="127"/>
      <c r="AXT33" s="127"/>
      <c r="AXU33" s="127"/>
      <c r="AXV33" s="127"/>
      <c r="AXW33" s="127"/>
      <c r="AXX33" s="127"/>
      <c r="AXY33" s="127"/>
      <c r="AXZ33" s="127"/>
      <c r="AYA33" s="127"/>
      <c r="AYB33" s="127"/>
      <c r="AYC33" s="127"/>
      <c r="AYD33" s="127"/>
      <c r="AYE33" s="127"/>
      <c r="AYF33" s="127"/>
      <c r="AYG33" s="127"/>
      <c r="AYH33" s="127"/>
      <c r="AYI33" s="127"/>
      <c r="AYJ33" s="127"/>
      <c r="AYK33" s="127"/>
      <c r="AYL33" s="127"/>
      <c r="AYM33" s="127"/>
      <c r="AYN33" s="127"/>
      <c r="AYO33" s="127"/>
      <c r="AYP33" s="127"/>
      <c r="AYQ33" s="127"/>
      <c r="AYR33" s="127"/>
      <c r="AYS33" s="127"/>
      <c r="AYT33" s="127"/>
      <c r="AYU33" s="127"/>
      <c r="AYV33" s="127"/>
      <c r="AYW33" s="127"/>
      <c r="AYX33" s="127"/>
      <c r="AYY33" s="127"/>
      <c r="AYZ33" s="127"/>
      <c r="AZA33" s="127"/>
      <c r="AZB33" s="127"/>
      <c r="AZC33" s="127"/>
      <c r="AZD33" s="127"/>
      <c r="AZE33" s="127"/>
      <c r="AZF33" s="127"/>
      <c r="AZG33" s="127"/>
      <c r="AZH33" s="127"/>
      <c r="AZI33" s="127"/>
      <c r="AZJ33" s="127"/>
      <c r="AZK33" s="127"/>
      <c r="AZL33" s="127"/>
      <c r="AZM33" s="127"/>
      <c r="AZN33" s="127"/>
      <c r="AZO33" s="127"/>
      <c r="AZP33" s="127"/>
      <c r="AZQ33" s="127"/>
      <c r="AZR33" s="127"/>
      <c r="AZS33" s="127"/>
      <c r="AZT33" s="127"/>
      <c r="AZU33" s="127"/>
      <c r="AZV33" s="127"/>
      <c r="AZW33" s="127"/>
      <c r="AZX33" s="127"/>
      <c r="AZY33" s="127"/>
      <c r="AZZ33" s="127"/>
      <c r="BAA33" s="127"/>
      <c r="BAB33" s="127"/>
      <c r="BAC33" s="127"/>
      <c r="BAD33" s="127"/>
      <c r="BAE33" s="127"/>
      <c r="BAF33" s="127"/>
      <c r="BAG33" s="127"/>
      <c r="BAH33" s="127"/>
      <c r="BAI33" s="127"/>
      <c r="BAJ33" s="127"/>
      <c r="BAK33" s="127"/>
      <c r="BAL33" s="127"/>
      <c r="BAM33" s="127"/>
      <c r="BAN33" s="127"/>
      <c r="BAO33" s="127"/>
      <c r="BAP33" s="127"/>
      <c r="BAQ33" s="127"/>
      <c r="BAR33" s="127"/>
      <c r="BAS33" s="127"/>
      <c r="BAT33" s="127"/>
      <c r="BAU33" s="127"/>
      <c r="BAV33" s="127"/>
      <c r="BAW33" s="127"/>
      <c r="BAX33" s="127"/>
      <c r="BAY33" s="127"/>
      <c r="BAZ33" s="127"/>
      <c r="BBA33" s="127"/>
      <c r="BBB33" s="127"/>
      <c r="BBC33" s="127"/>
      <c r="BBD33" s="127"/>
      <c r="BBE33" s="127"/>
      <c r="BBF33" s="127"/>
      <c r="BBG33" s="127"/>
      <c r="BBH33" s="127"/>
      <c r="BBI33" s="127"/>
      <c r="BBJ33" s="127"/>
      <c r="BBK33" s="127"/>
      <c r="BBL33" s="127"/>
      <c r="BBM33" s="127"/>
      <c r="BBN33" s="127"/>
      <c r="BBO33" s="127"/>
      <c r="BBP33" s="127"/>
      <c r="BBQ33" s="127"/>
      <c r="BBR33" s="127"/>
      <c r="BBS33" s="127"/>
      <c r="BBT33" s="127"/>
      <c r="BBU33" s="127"/>
      <c r="BBV33" s="127"/>
      <c r="BBW33" s="127"/>
      <c r="BBX33" s="127"/>
      <c r="BBY33" s="127"/>
      <c r="BBZ33" s="127"/>
      <c r="BCA33" s="127"/>
      <c r="BCB33" s="127"/>
      <c r="BCC33" s="127"/>
      <c r="BCD33" s="127"/>
      <c r="BCE33" s="127"/>
      <c r="BCF33" s="127"/>
      <c r="BCG33" s="127"/>
      <c r="BCH33" s="127"/>
      <c r="BCI33" s="127"/>
      <c r="BCJ33" s="127"/>
      <c r="BCK33" s="127"/>
      <c r="BCL33" s="127"/>
      <c r="BCM33" s="127"/>
      <c r="BCN33" s="127"/>
      <c r="BCO33" s="127"/>
      <c r="BCP33" s="127"/>
      <c r="BCQ33" s="127"/>
      <c r="BCR33" s="127"/>
      <c r="BCS33" s="127"/>
      <c r="BCT33" s="127"/>
      <c r="BCU33" s="127"/>
      <c r="BCV33" s="127"/>
      <c r="BCW33" s="127"/>
      <c r="BCX33" s="127"/>
      <c r="BCY33" s="127"/>
      <c r="BCZ33" s="127"/>
      <c r="BDA33" s="127"/>
      <c r="BDB33" s="127"/>
      <c r="BDC33" s="127"/>
      <c r="BDD33" s="127"/>
      <c r="BDE33" s="127"/>
      <c r="BDF33" s="127"/>
      <c r="BDG33" s="127"/>
      <c r="BDH33" s="127"/>
      <c r="BDI33" s="127"/>
      <c r="BDJ33" s="127"/>
      <c r="BDK33" s="127"/>
      <c r="BDL33" s="127"/>
      <c r="BDM33" s="127"/>
      <c r="BDN33" s="127"/>
      <c r="BDO33" s="127"/>
      <c r="BDP33" s="127"/>
      <c r="BDQ33" s="127"/>
      <c r="BDR33" s="127"/>
      <c r="BDS33" s="127"/>
      <c r="BDT33" s="127"/>
      <c r="BDU33" s="127"/>
      <c r="BDV33" s="127"/>
      <c r="BDW33" s="127"/>
      <c r="BDX33" s="127"/>
      <c r="BDY33" s="127"/>
      <c r="BDZ33" s="127"/>
      <c r="BEA33" s="127"/>
      <c r="BEB33" s="127"/>
      <c r="BEC33" s="127"/>
      <c r="BED33" s="127"/>
      <c r="BEE33" s="127"/>
      <c r="BEF33" s="127"/>
      <c r="BEG33" s="127"/>
      <c r="BEH33" s="127"/>
      <c r="BEI33" s="127"/>
      <c r="BEJ33" s="127"/>
      <c r="BEK33" s="127"/>
      <c r="BEL33" s="127"/>
      <c r="BEM33" s="127"/>
      <c r="BEN33" s="127"/>
      <c r="BEO33" s="127"/>
      <c r="BEP33" s="127"/>
      <c r="BEQ33" s="127"/>
      <c r="BER33" s="127"/>
      <c r="BES33" s="127"/>
      <c r="BET33" s="127"/>
      <c r="BEU33" s="127"/>
      <c r="BEV33" s="127"/>
      <c r="BEW33" s="127"/>
      <c r="BEX33" s="127"/>
      <c r="BEY33" s="127"/>
      <c r="BEZ33" s="127"/>
      <c r="BFA33" s="127"/>
      <c r="BFB33" s="127"/>
      <c r="BFC33" s="127"/>
      <c r="BFD33" s="127"/>
      <c r="BFE33" s="127"/>
      <c r="BFF33" s="127"/>
      <c r="BFG33" s="127"/>
      <c r="BFH33" s="127"/>
      <c r="BFI33" s="127"/>
      <c r="BFJ33" s="127"/>
      <c r="BFK33" s="127"/>
      <c r="BFL33" s="127"/>
      <c r="BFM33" s="127"/>
      <c r="BFN33" s="127"/>
      <c r="BFO33" s="127"/>
      <c r="BFP33" s="127"/>
      <c r="BFQ33" s="127"/>
      <c r="BFR33" s="127"/>
      <c r="BFS33" s="127"/>
      <c r="BFT33" s="127"/>
      <c r="BFU33" s="127"/>
      <c r="BFV33" s="127"/>
      <c r="BFW33" s="127"/>
      <c r="BFX33" s="127"/>
      <c r="BFY33" s="127"/>
      <c r="BFZ33" s="127"/>
      <c r="BGA33" s="127"/>
      <c r="BGB33" s="127"/>
      <c r="BGC33" s="127"/>
      <c r="BGD33" s="127"/>
      <c r="BGE33" s="127"/>
      <c r="BGF33" s="127"/>
      <c r="BGG33" s="127"/>
      <c r="BGH33" s="127"/>
      <c r="BGI33" s="127"/>
      <c r="BGJ33" s="127"/>
      <c r="BGK33" s="127"/>
      <c r="BGL33" s="127"/>
      <c r="BGM33" s="127"/>
      <c r="BGN33" s="127"/>
      <c r="BGO33" s="127"/>
      <c r="BGP33" s="127"/>
      <c r="BGQ33" s="127"/>
      <c r="BGR33" s="127"/>
      <c r="BGS33" s="127"/>
      <c r="BGT33" s="127"/>
      <c r="BGU33" s="127"/>
      <c r="BGV33" s="127"/>
      <c r="BGW33" s="127"/>
      <c r="BGX33" s="127"/>
      <c r="BGY33" s="127"/>
      <c r="BGZ33" s="127"/>
      <c r="BHA33" s="127"/>
      <c r="BHB33" s="127"/>
      <c r="BHC33" s="127"/>
      <c r="BHD33" s="127"/>
      <c r="BHE33" s="127"/>
      <c r="BHF33" s="127"/>
      <c r="BHG33" s="127"/>
      <c r="BHH33" s="127"/>
      <c r="BHI33" s="127"/>
      <c r="BHJ33" s="127"/>
      <c r="BHK33" s="127"/>
      <c r="BHL33" s="127"/>
      <c r="BHM33" s="127"/>
      <c r="BHN33" s="127"/>
      <c r="BHO33" s="127"/>
      <c r="BHP33" s="127"/>
      <c r="BHQ33" s="127"/>
      <c r="BHR33" s="127"/>
      <c r="BHS33" s="127"/>
      <c r="BHT33" s="127"/>
      <c r="BHU33" s="127"/>
      <c r="BHV33" s="127"/>
      <c r="BHW33" s="127"/>
      <c r="BHX33" s="127"/>
      <c r="BHY33" s="127"/>
      <c r="BHZ33" s="127"/>
      <c r="BIA33" s="127"/>
      <c r="BIB33" s="127"/>
      <c r="BIC33" s="127"/>
      <c r="BID33" s="127"/>
      <c r="BIE33" s="127"/>
      <c r="BIF33" s="127"/>
      <c r="BIG33" s="127"/>
      <c r="BIH33" s="127"/>
      <c r="BII33" s="127"/>
      <c r="BIJ33" s="127"/>
      <c r="BIK33" s="127"/>
      <c r="BIL33" s="127"/>
      <c r="BIM33" s="127"/>
      <c r="BIN33" s="127"/>
      <c r="BIO33" s="127"/>
      <c r="BIP33" s="127"/>
      <c r="BIQ33" s="127"/>
      <c r="BIR33" s="127"/>
      <c r="BIS33" s="127"/>
      <c r="BIT33" s="127"/>
      <c r="BIU33" s="127"/>
      <c r="BIV33" s="127"/>
      <c r="BIW33" s="127"/>
      <c r="BIX33" s="127"/>
      <c r="BIY33" s="127"/>
      <c r="BIZ33" s="127"/>
      <c r="BJA33" s="127"/>
      <c r="BJB33" s="127"/>
      <c r="BJC33" s="127"/>
      <c r="BJD33" s="127"/>
      <c r="BJE33" s="127"/>
      <c r="BJF33" s="127"/>
      <c r="BJG33" s="127"/>
      <c r="BJH33" s="127"/>
      <c r="BJI33" s="127"/>
      <c r="BJJ33" s="127"/>
      <c r="BJK33" s="127"/>
      <c r="BJL33" s="127"/>
      <c r="BJM33" s="127"/>
      <c r="BJN33" s="127"/>
      <c r="BJO33" s="127"/>
      <c r="BJP33" s="127"/>
      <c r="BJQ33" s="127"/>
      <c r="BJR33" s="127"/>
      <c r="BJS33" s="127"/>
      <c r="BJT33" s="127"/>
      <c r="BJU33" s="127"/>
      <c r="BJV33" s="127"/>
      <c r="BJW33" s="127"/>
      <c r="BJX33" s="127"/>
      <c r="BJY33" s="127"/>
      <c r="BJZ33" s="127"/>
      <c r="BKA33" s="127"/>
      <c r="BKB33" s="127"/>
      <c r="BKC33" s="127"/>
      <c r="BKD33" s="127"/>
      <c r="BKE33" s="127"/>
      <c r="BKF33" s="127"/>
      <c r="BKG33" s="127"/>
      <c r="BKH33" s="127"/>
      <c r="BKI33" s="127"/>
      <c r="BKJ33" s="127"/>
      <c r="BKK33" s="127"/>
      <c r="BKL33" s="127"/>
      <c r="BKM33" s="127"/>
      <c r="BKN33" s="127"/>
      <c r="BKO33" s="127"/>
      <c r="BKP33" s="127"/>
      <c r="BKQ33" s="127"/>
      <c r="BKR33" s="127"/>
      <c r="BKS33" s="127"/>
      <c r="BKT33" s="127"/>
      <c r="BKU33" s="127"/>
      <c r="BKV33" s="127"/>
      <c r="BKW33" s="127"/>
      <c r="BKX33" s="127"/>
      <c r="BKY33" s="127"/>
      <c r="BKZ33" s="127"/>
      <c r="BLA33" s="127"/>
      <c r="BLB33" s="127"/>
      <c r="BLC33" s="127"/>
      <c r="BLD33" s="127"/>
      <c r="BLE33" s="127"/>
      <c r="BLF33" s="127"/>
      <c r="BLG33" s="127"/>
      <c r="BLH33" s="127"/>
      <c r="BLI33" s="127"/>
      <c r="BLJ33" s="127"/>
      <c r="BLK33" s="127"/>
      <c r="BLL33" s="127"/>
      <c r="BLM33" s="127"/>
      <c r="BLN33" s="127"/>
      <c r="BLO33" s="127"/>
      <c r="BLP33" s="127"/>
      <c r="BLQ33" s="127"/>
      <c r="BLR33" s="127"/>
      <c r="BLS33" s="127"/>
      <c r="BLT33" s="127"/>
      <c r="BLU33" s="127"/>
      <c r="BLV33" s="127"/>
      <c r="BLW33" s="127"/>
      <c r="BLX33" s="127"/>
      <c r="BLY33" s="127"/>
      <c r="BLZ33" s="127"/>
      <c r="BMA33" s="127"/>
      <c r="BMB33" s="127"/>
      <c r="BMC33" s="127"/>
      <c r="BMD33" s="127"/>
      <c r="BME33" s="127"/>
      <c r="BMF33" s="127"/>
      <c r="BMG33" s="127"/>
      <c r="BMH33" s="127"/>
      <c r="BMI33" s="127"/>
      <c r="BMJ33" s="127"/>
      <c r="BMK33" s="127"/>
      <c r="BML33" s="127"/>
      <c r="BMM33" s="127"/>
      <c r="BMN33" s="127"/>
      <c r="BMO33" s="127"/>
      <c r="BMP33" s="127"/>
      <c r="BMQ33" s="127"/>
      <c r="BMR33" s="127"/>
      <c r="BMS33" s="127"/>
      <c r="BMT33" s="127"/>
      <c r="BMU33" s="127"/>
      <c r="BMV33" s="127"/>
      <c r="BMW33" s="127"/>
      <c r="BMX33" s="127"/>
      <c r="BMY33" s="127"/>
      <c r="BMZ33" s="127"/>
      <c r="BNA33" s="127"/>
      <c r="BNB33" s="127"/>
      <c r="BNC33" s="127"/>
      <c r="BND33" s="127"/>
      <c r="BNE33" s="127"/>
      <c r="BNF33" s="127"/>
      <c r="BNG33" s="127"/>
      <c r="BNH33" s="127"/>
      <c r="BNI33" s="127"/>
      <c r="BNJ33" s="127"/>
      <c r="BNK33" s="127"/>
      <c r="BNL33" s="127"/>
      <c r="BNM33" s="127"/>
      <c r="BNN33" s="127"/>
      <c r="BNO33" s="127"/>
      <c r="BNP33" s="127"/>
      <c r="BNQ33" s="127"/>
      <c r="BNR33" s="127"/>
      <c r="BNS33" s="127"/>
      <c r="BNT33" s="127"/>
      <c r="BNU33" s="127"/>
      <c r="BNV33" s="127"/>
      <c r="BNW33" s="127"/>
      <c r="BNX33" s="127"/>
      <c r="BNY33" s="127"/>
      <c r="BNZ33" s="127"/>
      <c r="BOA33" s="127"/>
      <c r="BOB33" s="127"/>
      <c r="BOC33" s="127"/>
      <c r="BOD33" s="127"/>
      <c r="BOE33" s="127"/>
      <c r="BOF33" s="127"/>
      <c r="BOG33" s="127"/>
      <c r="BOH33" s="127"/>
      <c r="BOI33" s="127"/>
      <c r="BOJ33" s="127"/>
      <c r="BOK33" s="127"/>
      <c r="BOL33" s="127"/>
      <c r="BOM33" s="127"/>
      <c r="BON33" s="127"/>
      <c r="BOO33" s="127"/>
      <c r="BOP33" s="127"/>
      <c r="BOQ33" s="127"/>
      <c r="BOR33" s="127"/>
      <c r="BOS33" s="127"/>
      <c r="BOT33" s="127"/>
      <c r="BOU33" s="127"/>
      <c r="BOV33" s="127"/>
      <c r="BOW33" s="127"/>
      <c r="BOX33" s="127"/>
      <c r="BOY33" s="127"/>
      <c r="BOZ33" s="127"/>
      <c r="BPA33" s="127"/>
      <c r="BPB33" s="127"/>
      <c r="BPC33" s="127"/>
      <c r="BPD33" s="127"/>
      <c r="BPE33" s="127"/>
      <c r="BPF33" s="127"/>
      <c r="BPG33" s="127"/>
      <c r="BPH33" s="127"/>
      <c r="BPI33" s="127"/>
      <c r="BPJ33" s="127"/>
      <c r="BPK33" s="127"/>
      <c r="BPL33" s="127"/>
      <c r="BPM33" s="127"/>
      <c r="BPN33" s="127"/>
      <c r="BPO33" s="127"/>
      <c r="BPP33" s="127"/>
      <c r="BPQ33" s="127"/>
      <c r="BPR33" s="127"/>
      <c r="BPS33" s="127"/>
      <c r="BPT33" s="127"/>
      <c r="BPU33" s="127"/>
      <c r="BPV33" s="127"/>
      <c r="BPW33" s="127"/>
      <c r="BPX33" s="127"/>
      <c r="BPY33" s="127"/>
      <c r="BPZ33" s="127"/>
      <c r="BQA33" s="127"/>
      <c r="BQB33" s="127"/>
      <c r="BQC33" s="127"/>
      <c r="BQD33" s="127"/>
      <c r="BQE33" s="127"/>
      <c r="BQF33" s="127"/>
      <c r="BQG33" s="127"/>
      <c r="BQH33" s="127"/>
      <c r="BQI33" s="127"/>
      <c r="BQJ33" s="127"/>
      <c r="BQK33" s="127"/>
      <c r="BQL33" s="127"/>
      <c r="BQM33" s="127"/>
      <c r="BQN33" s="127"/>
      <c r="BQO33" s="127"/>
      <c r="BQP33" s="127"/>
      <c r="BQQ33" s="127"/>
      <c r="BQR33" s="127"/>
      <c r="BQS33" s="127"/>
      <c r="BQT33" s="127"/>
      <c r="BQU33" s="127"/>
      <c r="BQV33" s="127"/>
      <c r="BQW33" s="127"/>
      <c r="BQX33" s="127"/>
      <c r="BQY33" s="127"/>
      <c r="BQZ33" s="127"/>
      <c r="BRA33" s="127"/>
      <c r="BRB33" s="127"/>
      <c r="BRC33" s="127"/>
      <c r="BRD33" s="127"/>
      <c r="BRE33" s="127"/>
      <c r="BRF33" s="127"/>
      <c r="BRG33" s="127"/>
      <c r="BRH33" s="127"/>
      <c r="BRI33" s="127"/>
      <c r="BRJ33" s="127"/>
      <c r="BRK33" s="127"/>
      <c r="BRL33" s="127"/>
      <c r="BRM33" s="127"/>
      <c r="BRN33" s="127"/>
      <c r="BRO33" s="127"/>
      <c r="BRP33" s="127"/>
      <c r="BRQ33" s="127"/>
      <c r="BRR33" s="127"/>
      <c r="BRS33" s="127"/>
      <c r="BRT33" s="127"/>
      <c r="BRU33" s="127"/>
      <c r="BRV33" s="127"/>
      <c r="BRW33" s="127"/>
      <c r="BRX33" s="127"/>
      <c r="BRY33" s="127"/>
      <c r="BRZ33" s="127"/>
      <c r="BSA33" s="127"/>
      <c r="BSB33" s="127"/>
      <c r="BSC33" s="127"/>
      <c r="BSD33" s="127"/>
      <c r="BSE33" s="127"/>
      <c r="BSF33" s="127"/>
      <c r="BSG33" s="127"/>
      <c r="BSH33" s="127"/>
      <c r="BSI33" s="127"/>
      <c r="BSJ33" s="127"/>
      <c r="BSK33" s="127"/>
      <c r="BSL33" s="127"/>
      <c r="BSM33" s="127"/>
      <c r="BSN33" s="127"/>
      <c r="BSO33" s="127"/>
      <c r="BSP33" s="127"/>
      <c r="BSQ33" s="127"/>
      <c r="BSR33" s="127"/>
      <c r="BSS33" s="127"/>
      <c r="BST33" s="127"/>
      <c r="BSU33" s="127"/>
      <c r="BSV33" s="127"/>
      <c r="BSW33" s="127"/>
      <c r="BSX33" s="127"/>
      <c r="BSY33" s="127"/>
      <c r="BSZ33" s="127"/>
      <c r="BTA33" s="127"/>
      <c r="BTB33" s="127"/>
      <c r="BTC33" s="127"/>
      <c r="BTD33" s="127"/>
      <c r="BTE33" s="127"/>
      <c r="BTF33" s="127"/>
      <c r="BTG33" s="127"/>
      <c r="BTH33" s="127"/>
      <c r="BTI33" s="127"/>
      <c r="BTJ33" s="127"/>
      <c r="BTK33" s="127"/>
      <c r="BTL33" s="127"/>
      <c r="BTM33" s="127"/>
      <c r="BTN33" s="127"/>
      <c r="BTO33" s="127"/>
      <c r="BTP33" s="127"/>
      <c r="BTQ33" s="127"/>
      <c r="BTR33" s="127"/>
      <c r="BTS33" s="127"/>
      <c r="BTT33" s="127"/>
      <c r="BTU33" s="127"/>
      <c r="BTV33" s="127"/>
      <c r="BTW33" s="127"/>
      <c r="BTX33" s="127"/>
      <c r="BTY33" s="127"/>
      <c r="BTZ33" s="127"/>
      <c r="BUA33" s="127"/>
      <c r="BUB33" s="127"/>
      <c r="BUC33" s="127"/>
      <c r="BUD33" s="127"/>
      <c r="BUE33" s="127"/>
      <c r="BUF33" s="127"/>
      <c r="BUG33" s="127"/>
      <c r="BUH33" s="127"/>
      <c r="BUI33" s="127"/>
      <c r="BUJ33" s="127"/>
      <c r="BUK33" s="127"/>
      <c r="BUL33" s="127"/>
      <c r="BUM33" s="127"/>
      <c r="BUN33" s="127"/>
      <c r="BUO33" s="127"/>
      <c r="BUP33" s="127"/>
      <c r="BUQ33" s="127"/>
      <c r="BUR33" s="127"/>
      <c r="BUS33" s="127"/>
      <c r="BUT33" s="127"/>
      <c r="BUU33" s="127"/>
      <c r="BUV33" s="127"/>
      <c r="BUW33" s="127"/>
      <c r="BUX33" s="127"/>
      <c r="BUY33" s="127"/>
      <c r="BUZ33" s="127"/>
      <c r="BVA33" s="127"/>
      <c r="BVB33" s="127"/>
      <c r="BVC33" s="127"/>
      <c r="BVD33" s="127"/>
      <c r="BVE33" s="127"/>
      <c r="BVF33" s="127"/>
      <c r="BVG33" s="127"/>
      <c r="BVH33" s="127"/>
      <c r="BVI33" s="127"/>
      <c r="BVJ33" s="127"/>
      <c r="BVK33" s="127"/>
      <c r="BVL33" s="127"/>
      <c r="BVM33" s="127"/>
      <c r="BVN33" s="127"/>
      <c r="BVO33" s="127"/>
      <c r="BVP33" s="127"/>
      <c r="BVQ33" s="127"/>
      <c r="BVR33" s="127"/>
      <c r="BVS33" s="127"/>
      <c r="BVT33" s="127"/>
      <c r="BVU33" s="127"/>
      <c r="BVV33" s="127"/>
      <c r="BVW33" s="127"/>
      <c r="BVX33" s="127"/>
      <c r="BVY33" s="127"/>
      <c r="BVZ33" s="127"/>
      <c r="BWA33" s="127"/>
      <c r="BWB33" s="127"/>
      <c r="BWC33" s="127"/>
      <c r="BWD33" s="127"/>
      <c r="BWE33" s="127"/>
      <c r="BWF33" s="127"/>
      <c r="BWG33" s="127"/>
      <c r="BWH33" s="127"/>
      <c r="BWI33" s="127"/>
      <c r="BWJ33" s="127"/>
      <c r="BWK33" s="127"/>
      <c r="BWL33" s="127"/>
      <c r="BWM33" s="127"/>
      <c r="BWN33" s="127"/>
      <c r="BWO33" s="127"/>
      <c r="BWP33" s="127"/>
      <c r="BWQ33" s="127"/>
      <c r="BWR33" s="127"/>
      <c r="BWS33" s="127"/>
      <c r="BWT33" s="127"/>
      <c r="BWU33" s="127"/>
      <c r="BWV33" s="127"/>
      <c r="BWW33" s="127"/>
      <c r="BWX33" s="127"/>
      <c r="BWY33" s="127"/>
      <c r="BWZ33" s="127"/>
      <c r="BXA33" s="127"/>
      <c r="BXB33" s="127"/>
      <c r="BXC33" s="127"/>
      <c r="BXD33" s="127"/>
      <c r="BXE33" s="127"/>
      <c r="BXF33" s="127"/>
      <c r="BXG33" s="127"/>
      <c r="BXH33" s="127"/>
      <c r="BXI33" s="127"/>
      <c r="BXJ33" s="127"/>
      <c r="BXK33" s="127"/>
      <c r="BXL33" s="127"/>
      <c r="BXM33" s="127"/>
      <c r="BXN33" s="127"/>
      <c r="BXO33" s="127"/>
      <c r="BXP33" s="127"/>
      <c r="BXQ33" s="127"/>
      <c r="BXR33" s="127"/>
      <c r="BXS33" s="127"/>
      <c r="BXT33" s="127"/>
      <c r="BXU33" s="127"/>
      <c r="BXV33" s="127"/>
      <c r="BXW33" s="127"/>
      <c r="BXX33" s="127"/>
      <c r="BXY33" s="127"/>
      <c r="BXZ33" s="127"/>
      <c r="BYA33" s="127"/>
      <c r="BYB33" s="127"/>
      <c r="BYC33" s="127"/>
      <c r="BYD33" s="127"/>
      <c r="BYE33" s="127"/>
      <c r="BYF33" s="127"/>
      <c r="BYG33" s="127"/>
      <c r="BYH33" s="127"/>
      <c r="BYI33" s="127"/>
      <c r="BYJ33" s="127"/>
      <c r="BYK33" s="127"/>
      <c r="BYL33" s="127"/>
      <c r="BYM33" s="127"/>
      <c r="BYN33" s="127"/>
      <c r="BYO33" s="127"/>
      <c r="BYP33" s="127"/>
      <c r="BYQ33" s="127"/>
      <c r="BYR33" s="127"/>
      <c r="BYS33" s="127"/>
      <c r="BYT33" s="127"/>
      <c r="BYU33" s="127"/>
      <c r="BYV33" s="127"/>
      <c r="BYW33" s="127"/>
      <c r="BYX33" s="127"/>
      <c r="BYY33" s="127"/>
      <c r="BYZ33" s="127"/>
      <c r="BZA33" s="127"/>
      <c r="BZB33" s="127"/>
      <c r="BZC33" s="127"/>
      <c r="BZD33" s="127"/>
      <c r="BZE33" s="127"/>
      <c r="BZF33" s="127"/>
      <c r="BZG33" s="127"/>
      <c r="BZH33" s="127"/>
      <c r="BZI33" s="127"/>
      <c r="BZJ33" s="127"/>
      <c r="BZK33" s="127"/>
      <c r="BZL33" s="127"/>
      <c r="BZM33" s="127"/>
      <c r="BZN33" s="127"/>
      <c r="BZO33" s="127"/>
      <c r="BZP33" s="127"/>
      <c r="BZQ33" s="127"/>
      <c r="BZR33" s="127"/>
      <c r="BZS33" s="127"/>
      <c r="BZT33" s="127"/>
      <c r="BZU33" s="127"/>
      <c r="BZV33" s="127"/>
      <c r="BZW33" s="127"/>
      <c r="BZX33" s="127"/>
      <c r="BZY33" s="127"/>
      <c r="BZZ33" s="127"/>
      <c r="CAA33" s="127"/>
      <c r="CAB33" s="127"/>
      <c r="CAC33" s="127"/>
      <c r="CAD33" s="127"/>
      <c r="CAE33" s="127"/>
      <c r="CAF33" s="127"/>
      <c r="CAG33" s="127"/>
      <c r="CAH33" s="127"/>
      <c r="CAI33" s="127"/>
      <c r="CAJ33" s="127"/>
      <c r="CAK33" s="127"/>
      <c r="CAL33" s="127"/>
      <c r="CAM33" s="127"/>
      <c r="CAN33" s="127"/>
      <c r="CAO33" s="127"/>
      <c r="CAP33" s="127"/>
      <c r="CAQ33" s="127"/>
      <c r="CAR33" s="127"/>
      <c r="CAS33" s="127"/>
      <c r="CAT33" s="127"/>
      <c r="CAU33" s="127"/>
      <c r="CAV33" s="127"/>
      <c r="CAW33" s="127"/>
      <c r="CAX33" s="127"/>
      <c r="CAY33" s="127"/>
      <c r="CAZ33" s="127"/>
      <c r="CBA33" s="127"/>
      <c r="CBB33" s="127"/>
      <c r="CBC33" s="127"/>
      <c r="CBD33" s="127"/>
      <c r="CBE33" s="127"/>
      <c r="CBF33" s="127"/>
      <c r="CBG33" s="127"/>
      <c r="CBH33" s="127"/>
      <c r="CBI33" s="127"/>
      <c r="CBJ33" s="127"/>
      <c r="CBK33" s="127"/>
      <c r="CBL33" s="127"/>
      <c r="CBM33" s="127"/>
      <c r="CBN33" s="127"/>
      <c r="CBO33" s="127"/>
      <c r="CBP33" s="127"/>
      <c r="CBQ33" s="127"/>
      <c r="CBR33" s="127"/>
      <c r="CBS33" s="127"/>
      <c r="CBT33" s="127"/>
      <c r="CBU33" s="127"/>
      <c r="CBV33" s="127"/>
      <c r="CBW33" s="127"/>
      <c r="CBX33" s="127"/>
      <c r="CBY33" s="127"/>
      <c r="CBZ33" s="127"/>
      <c r="CCA33" s="127"/>
      <c r="CCB33" s="127"/>
      <c r="CCC33" s="127"/>
      <c r="CCD33" s="127"/>
      <c r="CCE33" s="127"/>
      <c r="CCF33" s="127"/>
      <c r="CCG33" s="127"/>
      <c r="CCH33" s="127"/>
      <c r="CCI33" s="127"/>
      <c r="CCJ33" s="127"/>
      <c r="CCK33" s="127"/>
      <c r="CCL33" s="127"/>
      <c r="CCM33" s="127"/>
      <c r="CCN33" s="127"/>
      <c r="CCO33" s="127"/>
      <c r="CCP33" s="127"/>
      <c r="CCQ33" s="127"/>
      <c r="CCR33" s="127"/>
      <c r="CCS33" s="127"/>
      <c r="CCT33" s="127"/>
      <c r="CCU33" s="127"/>
      <c r="CCV33" s="127"/>
      <c r="CCW33" s="127"/>
      <c r="CCX33" s="127"/>
      <c r="CCY33" s="127"/>
      <c r="CCZ33" s="127"/>
      <c r="CDA33" s="127"/>
      <c r="CDB33" s="127"/>
      <c r="CDC33" s="127"/>
      <c r="CDD33" s="127"/>
      <c r="CDE33" s="127"/>
      <c r="CDF33" s="127"/>
      <c r="CDG33" s="127"/>
      <c r="CDH33" s="127"/>
      <c r="CDI33" s="127"/>
      <c r="CDJ33" s="127"/>
      <c r="CDK33" s="127"/>
      <c r="CDL33" s="127"/>
      <c r="CDM33" s="127"/>
      <c r="CDN33" s="127"/>
      <c r="CDO33" s="127"/>
      <c r="CDP33" s="127"/>
      <c r="CDQ33" s="127"/>
      <c r="CDR33" s="127"/>
      <c r="CDS33" s="127"/>
      <c r="CDT33" s="127"/>
      <c r="CDU33" s="127"/>
      <c r="CDV33" s="127"/>
      <c r="CDW33" s="127"/>
      <c r="CDX33" s="127"/>
      <c r="CDY33" s="127"/>
      <c r="CDZ33" s="127"/>
      <c r="CEA33" s="127"/>
      <c r="CEB33" s="127"/>
      <c r="CEC33" s="127"/>
      <c r="CED33" s="127"/>
      <c r="CEE33" s="127"/>
      <c r="CEF33" s="127"/>
      <c r="CEG33" s="127"/>
      <c r="CEH33" s="127"/>
      <c r="CEI33" s="127"/>
      <c r="CEJ33" s="127"/>
      <c r="CEK33" s="127"/>
      <c r="CEL33" s="127"/>
      <c r="CEM33" s="127"/>
      <c r="CEN33" s="127"/>
      <c r="CEO33" s="127"/>
      <c r="CEP33" s="127"/>
      <c r="CEQ33" s="127"/>
      <c r="CER33" s="127"/>
      <c r="CES33" s="127"/>
      <c r="CET33" s="127"/>
      <c r="CEU33" s="127"/>
      <c r="CEV33" s="127"/>
      <c r="CEW33" s="127"/>
      <c r="CEX33" s="127"/>
      <c r="CEY33" s="127"/>
      <c r="CEZ33" s="127"/>
      <c r="CFA33" s="127"/>
      <c r="CFB33" s="127"/>
      <c r="CFC33" s="127"/>
      <c r="CFD33" s="127"/>
      <c r="CFE33" s="127"/>
      <c r="CFF33" s="127"/>
      <c r="CFG33" s="127"/>
      <c r="CFH33" s="127"/>
      <c r="CFI33" s="127"/>
      <c r="CFJ33" s="127"/>
      <c r="CFK33" s="127"/>
      <c r="CFL33" s="127"/>
      <c r="CFM33" s="127"/>
      <c r="CFN33" s="127"/>
      <c r="CFO33" s="127"/>
      <c r="CFP33" s="127"/>
      <c r="CFQ33" s="127"/>
      <c r="CFR33" s="127"/>
      <c r="CFS33" s="127"/>
      <c r="CFT33" s="127"/>
      <c r="CFU33" s="127"/>
      <c r="CFV33" s="127"/>
      <c r="CFW33" s="127"/>
      <c r="CFX33" s="127"/>
      <c r="CFY33" s="127"/>
      <c r="CFZ33" s="127"/>
      <c r="CGA33" s="127"/>
      <c r="CGB33" s="127"/>
      <c r="CGC33" s="127"/>
      <c r="CGD33" s="127"/>
      <c r="CGE33" s="127"/>
      <c r="CGF33" s="127"/>
      <c r="CGG33" s="127"/>
      <c r="CGH33" s="127"/>
      <c r="CGI33" s="127"/>
      <c r="CGJ33" s="127"/>
      <c r="CGK33" s="127"/>
      <c r="CGL33" s="127"/>
      <c r="CGM33" s="127"/>
      <c r="CGN33" s="127"/>
      <c r="CGO33" s="127"/>
      <c r="CGP33" s="127"/>
      <c r="CGQ33" s="127"/>
      <c r="CGR33" s="127"/>
      <c r="CGS33" s="127"/>
      <c r="CGT33" s="127"/>
      <c r="CGU33" s="127"/>
      <c r="CGV33" s="127"/>
      <c r="CGW33" s="127"/>
      <c r="CGX33" s="127"/>
      <c r="CGY33" s="127"/>
      <c r="CGZ33" s="127"/>
      <c r="CHA33" s="127"/>
      <c r="CHB33" s="127"/>
      <c r="CHC33" s="127"/>
      <c r="CHD33" s="127"/>
      <c r="CHE33" s="127"/>
      <c r="CHF33" s="127"/>
      <c r="CHG33" s="127"/>
      <c r="CHH33" s="127"/>
      <c r="CHI33" s="127"/>
      <c r="CHJ33" s="127"/>
      <c r="CHK33" s="127"/>
      <c r="CHL33" s="127"/>
      <c r="CHM33" s="127"/>
      <c r="CHN33" s="127"/>
      <c r="CHO33" s="127"/>
      <c r="CHP33" s="127"/>
      <c r="CHQ33" s="127"/>
      <c r="CHR33" s="127"/>
      <c r="CHS33" s="127"/>
      <c r="CHT33" s="127"/>
      <c r="CHU33" s="127"/>
      <c r="CHV33" s="127"/>
      <c r="CHW33" s="127"/>
      <c r="CHX33" s="127"/>
      <c r="CHY33" s="127"/>
      <c r="CHZ33" s="127"/>
      <c r="CIA33" s="127"/>
      <c r="CIB33" s="127"/>
      <c r="CIC33" s="127"/>
      <c r="CID33" s="127"/>
      <c r="CIE33" s="127"/>
      <c r="CIF33" s="127"/>
      <c r="CIG33" s="127"/>
      <c r="CIH33" s="127"/>
      <c r="CII33" s="127"/>
      <c r="CIJ33" s="127"/>
      <c r="CIK33" s="127"/>
      <c r="CIL33" s="127"/>
      <c r="CIM33" s="127"/>
      <c r="CIN33" s="127"/>
      <c r="CIO33" s="127"/>
      <c r="CIP33" s="127"/>
      <c r="CIQ33" s="127"/>
      <c r="CIR33" s="127"/>
      <c r="CIS33" s="127"/>
      <c r="CIT33" s="127"/>
      <c r="CIU33" s="127"/>
      <c r="CIV33" s="127"/>
      <c r="CIW33" s="127"/>
      <c r="CIX33" s="127"/>
      <c r="CIY33" s="127"/>
      <c r="CIZ33" s="127"/>
      <c r="CJA33" s="127"/>
      <c r="CJB33" s="127"/>
      <c r="CJC33" s="127"/>
      <c r="CJD33" s="127"/>
      <c r="CJE33" s="127"/>
      <c r="CJF33" s="127"/>
      <c r="CJG33" s="127"/>
      <c r="CJH33" s="127"/>
      <c r="CJI33" s="127"/>
      <c r="CJJ33" s="127"/>
      <c r="CJK33" s="127"/>
      <c r="CJL33" s="127"/>
      <c r="CJM33" s="127"/>
      <c r="CJN33" s="127"/>
      <c r="CJO33" s="127"/>
      <c r="CJP33" s="127"/>
      <c r="CJQ33" s="127"/>
      <c r="CJR33" s="127"/>
      <c r="CJS33" s="127"/>
      <c r="CJT33" s="127"/>
      <c r="CJU33" s="127"/>
      <c r="CJV33" s="127"/>
      <c r="CJW33" s="127"/>
      <c r="CJX33" s="127"/>
      <c r="CJY33" s="127"/>
      <c r="CJZ33" s="127"/>
      <c r="CKA33" s="127"/>
      <c r="CKB33" s="127"/>
      <c r="CKC33" s="127"/>
      <c r="CKD33" s="127"/>
      <c r="CKE33" s="127"/>
      <c r="CKF33" s="127"/>
      <c r="CKG33" s="127"/>
      <c r="CKH33" s="127"/>
      <c r="CKI33" s="127"/>
      <c r="CKJ33" s="127"/>
      <c r="CKK33" s="127"/>
      <c r="CKL33" s="127"/>
      <c r="CKM33" s="127"/>
      <c r="CKN33" s="127"/>
      <c r="CKO33" s="127"/>
      <c r="CKP33" s="127"/>
      <c r="CKQ33" s="127"/>
      <c r="CKR33" s="127"/>
      <c r="CKS33" s="127"/>
      <c r="CKT33" s="127"/>
      <c r="CKU33" s="127"/>
      <c r="CKV33" s="127"/>
      <c r="CKW33" s="127"/>
      <c r="CKX33" s="127"/>
      <c r="CKY33" s="127"/>
      <c r="CKZ33" s="127"/>
      <c r="CLA33" s="127"/>
      <c r="CLB33" s="127"/>
      <c r="CLC33" s="127"/>
      <c r="CLD33" s="127"/>
      <c r="CLE33" s="127"/>
      <c r="CLF33" s="127"/>
      <c r="CLG33" s="127"/>
      <c r="CLH33" s="127"/>
      <c r="CLI33" s="127"/>
      <c r="CLJ33" s="127"/>
      <c r="CLK33" s="127"/>
      <c r="CLL33" s="127"/>
      <c r="CLM33" s="127"/>
      <c r="CLN33" s="127"/>
      <c r="CLO33" s="127"/>
      <c r="CLP33" s="127"/>
      <c r="CLQ33" s="127"/>
      <c r="CLR33" s="127"/>
      <c r="CLS33" s="127"/>
      <c r="CLT33" s="127"/>
      <c r="CLU33" s="127"/>
      <c r="CLV33" s="127"/>
      <c r="CLW33" s="127"/>
      <c r="CLX33" s="127"/>
      <c r="CLY33" s="127"/>
      <c r="CLZ33" s="127"/>
      <c r="CMA33" s="127"/>
      <c r="CMB33" s="127"/>
      <c r="CMC33" s="127"/>
      <c r="CMD33" s="127"/>
      <c r="CME33" s="127"/>
      <c r="CMF33" s="127"/>
      <c r="CMG33" s="127"/>
      <c r="CMH33" s="127"/>
      <c r="CMI33" s="127"/>
      <c r="CMJ33" s="127"/>
      <c r="CMK33" s="127"/>
      <c r="CML33" s="127"/>
      <c r="CMM33" s="127"/>
      <c r="CMN33" s="127"/>
      <c r="CMO33" s="127"/>
      <c r="CMP33" s="127"/>
      <c r="CMQ33" s="127"/>
      <c r="CMR33" s="127"/>
      <c r="CMS33" s="127"/>
      <c r="CMT33" s="127"/>
      <c r="CMU33" s="127"/>
      <c r="CMV33" s="127"/>
      <c r="CMW33" s="127"/>
      <c r="CMX33" s="127"/>
      <c r="CMY33" s="127"/>
      <c r="CMZ33" s="127"/>
      <c r="CNA33" s="127"/>
      <c r="CNB33" s="127"/>
      <c r="CNC33" s="127"/>
      <c r="CND33" s="127"/>
      <c r="CNE33" s="127"/>
      <c r="CNF33" s="127"/>
      <c r="CNG33" s="127"/>
      <c r="CNH33" s="127"/>
      <c r="CNI33" s="127"/>
      <c r="CNJ33" s="127"/>
      <c r="CNK33" s="127"/>
      <c r="CNL33" s="127"/>
      <c r="CNM33" s="127"/>
      <c r="CNN33" s="127"/>
      <c r="CNO33" s="127"/>
      <c r="CNP33" s="127"/>
      <c r="CNQ33" s="127"/>
      <c r="CNR33" s="127"/>
      <c r="CNS33" s="127"/>
      <c r="CNT33" s="127"/>
      <c r="CNU33" s="127"/>
      <c r="CNV33" s="127"/>
      <c r="CNW33" s="127"/>
      <c r="CNX33" s="127"/>
      <c r="CNY33" s="127"/>
      <c r="CNZ33" s="127"/>
      <c r="COA33" s="127"/>
      <c r="COB33" s="127"/>
      <c r="COC33" s="127"/>
      <c r="COD33" s="127"/>
      <c r="COE33" s="127"/>
      <c r="COF33" s="127"/>
      <c r="COG33" s="127"/>
      <c r="COH33" s="127"/>
      <c r="COI33" s="127"/>
      <c r="COJ33" s="127"/>
      <c r="COK33" s="127"/>
      <c r="COL33" s="127"/>
      <c r="COM33" s="127"/>
      <c r="CON33" s="127"/>
      <c r="COO33" s="127"/>
      <c r="COP33" s="127"/>
      <c r="COQ33" s="127"/>
      <c r="COR33" s="127"/>
      <c r="COS33" s="127"/>
      <c r="COT33" s="127"/>
      <c r="COU33" s="127"/>
      <c r="COV33" s="127"/>
      <c r="COW33" s="127"/>
      <c r="COX33" s="127"/>
      <c r="COY33" s="127"/>
      <c r="COZ33" s="127"/>
      <c r="CPA33" s="127"/>
      <c r="CPB33" s="127"/>
      <c r="CPC33" s="127"/>
      <c r="CPD33" s="127"/>
      <c r="CPE33" s="127"/>
      <c r="CPF33" s="127"/>
      <c r="CPG33" s="127"/>
      <c r="CPH33" s="127"/>
      <c r="CPI33" s="127"/>
      <c r="CPJ33" s="127"/>
      <c r="CPK33" s="127"/>
      <c r="CPL33" s="127"/>
      <c r="CPM33" s="127"/>
      <c r="CPN33" s="127"/>
      <c r="CPO33" s="127"/>
      <c r="CPP33" s="127"/>
      <c r="CPQ33" s="127"/>
      <c r="CPR33" s="127"/>
      <c r="CPS33" s="127"/>
      <c r="CPT33" s="127"/>
      <c r="CPU33" s="127"/>
      <c r="CPV33" s="127"/>
      <c r="CPW33" s="127"/>
      <c r="CPX33" s="127"/>
      <c r="CPY33" s="127"/>
      <c r="CPZ33" s="127"/>
      <c r="CQA33" s="127"/>
      <c r="CQB33" s="127"/>
      <c r="CQC33" s="127"/>
      <c r="CQD33" s="127"/>
      <c r="CQE33" s="127"/>
      <c r="CQF33" s="127"/>
      <c r="CQG33" s="127"/>
      <c r="CQH33" s="127"/>
      <c r="CQI33" s="127"/>
      <c r="CQJ33" s="127"/>
      <c r="CQK33" s="127"/>
      <c r="CQL33" s="127"/>
      <c r="CQM33" s="127"/>
      <c r="CQN33" s="127"/>
      <c r="CQO33" s="127"/>
      <c r="CQP33" s="127"/>
      <c r="CQQ33" s="127"/>
      <c r="CQR33" s="127"/>
      <c r="CQS33" s="127"/>
      <c r="CQT33" s="127"/>
      <c r="CQU33" s="127"/>
      <c r="CQV33" s="127"/>
      <c r="CQW33" s="127"/>
      <c r="CQX33" s="127"/>
      <c r="CQY33" s="127"/>
      <c r="CQZ33" s="127"/>
      <c r="CRA33" s="127"/>
      <c r="CRB33" s="127"/>
      <c r="CRC33" s="127"/>
      <c r="CRD33" s="127"/>
      <c r="CRE33" s="127"/>
      <c r="CRF33" s="127"/>
      <c r="CRG33" s="127"/>
      <c r="CRH33" s="127"/>
      <c r="CRI33" s="127"/>
      <c r="CRJ33" s="127"/>
      <c r="CRK33" s="127"/>
      <c r="CRL33" s="127"/>
      <c r="CRM33" s="127"/>
      <c r="CRN33" s="127"/>
      <c r="CRO33" s="127"/>
      <c r="CRP33" s="127"/>
      <c r="CRQ33" s="127"/>
      <c r="CRR33" s="127"/>
      <c r="CRS33" s="127"/>
      <c r="CRT33" s="127"/>
      <c r="CRU33" s="127"/>
      <c r="CRV33" s="127"/>
      <c r="CRW33" s="127"/>
      <c r="CRX33" s="127"/>
      <c r="CRY33" s="127"/>
      <c r="CRZ33" s="127"/>
      <c r="CSA33" s="127"/>
      <c r="CSB33" s="127"/>
      <c r="CSC33" s="127"/>
      <c r="CSD33" s="127"/>
      <c r="CSE33" s="127"/>
      <c r="CSF33" s="127"/>
      <c r="CSG33" s="127"/>
      <c r="CSH33" s="127"/>
      <c r="CSI33" s="127"/>
      <c r="CSJ33" s="127"/>
      <c r="CSK33" s="127"/>
      <c r="CSL33" s="127"/>
      <c r="CSM33" s="127"/>
      <c r="CSN33" s="127"/>
      <c r="CSO33" s="127"/>
      <c r="CSP33" s="127"/>
      <c r="CSQ33" s="127"/>
      <c r="CSR33" s="127"/>
      <c r="CSS33" s="127"/>
      <c r="CST33" s="127"/>
      <c r="CSU33" s="127"/>
      <c r="CSV33" s="127"/>
      <c r="CSW33" s="127"/>
      <c r="CSX33" s="127"/>
      <c r="CSY33" s="127"/>
      <c r="CSZ33" s="127"/>
      <c r="CTA33" s="127"/>
      <c r="CTB33" s="127"/>
      <c r="CTC33" s="127"/>
      <c r="CTD33" s="127"/>
      <c r="CTE33" s="127"/>
      <c r="CTF33" s="127"/>
      <c r="CTG33" s="127"/>
      <c r="CTH33" s="127"/>
      <c r="CTI33" s="127"/>
      <c r="CTJ33" s="127"/>
      <c r="CTK33" s="127"/>
      <c r="CTL33" s="127"/>
      <c r="CTM33" s="127"/>
      <c r="CTN33" s="127"/>
      <c r="CTO33" s="127"/>
      <c r="CTP33" s="127"/>
      <c r="CTQ33" s="127"/>
      <c r="CTR33" s="127"/>
      <c r="CTS33" s="127"/>
      <c r="CTT33" s="127"/>
      <c r="CTU33" s="127"/>
      <c r="CTV33" s="127"/>
      <c r="CTW33" s="127"/>
      <c r="CTX33" s="127"/>
      <c r="CTY33" s="127"/>
      <c r="CTZ33" s="127"/>
      <c r="CUA33" s="127"/>
      <c r="CUB33" s="127"/>
      <c r="CUC33" s="127"/>
      <c r="CUD33" s="127"/>
      <c r="CUE33" s="127"/>
      <c r="CUF33" s="127"/>
      <c r="CUG33" s="127"/>
      <c r="CUH33" s="127"/>
      <c r="CUI33" s="127"/>
      <c r="CUJ33" s="127"/>
      <c r="CUK33" s="127"/>
      <c r="CUL33" s="127"/>
      <c r="CUM33" s="127"/>
      <c r="CUN33" s="127"/>
      <c r="CUO33" s="127"/>
      <c r="CUP33" s="127"/>
      <c r="CUQ33" s="127"/>
      <c r="CUR33" s="127"/>
      <c r="CUS33" s="127"/>
      <c r="CUT33" s="127"/>
      <c r="CUU33" s="127"/>
      <c r="CUV33" s="127"/>
      <c r="CUW33" s="127"/>
      <c r="CUX33" s="127"/>
      <c r="CUY33" s="127"/>
      <c r="CUZ33" s="127"/>
      <c r="CVA33" s="127"/>
      <c r="CVB33" s="127"/>
      <c r="CVC33" s="127"/>
      <c r="CVD33" s="127"/>
      <c r="CVE33" s="127"/>
      <c r="CVF33" s="127"/>
      <c r="CVG33" s="127"/>
      <c r="CVH33" s="127"/>
      <c r="CVI33" s="127"/>
      <c r="CVJ33" s="127"/>
      <c r="CVK33" s="127"/>
      <c r="CVL33" s="127"/>
      <c r="CVM33" s="127"/>
      <c r="CVN33" s="127"/>
      <c r="CVO33" s="127"/>
      <c r="CVP33" s="127"/>
      <c r="CVQ33" s="127"/>
      <c r="CVR33" s="127"/>
      <c r="CVS33" s="127"/>
      <c r="CVT33" s="127"/>
      <c r="CVU33" s="127"/>
      <c r="CVV33" s="127"/>
      <c r="CVW33" s="127"/>
      <c r="CVX33" s="127"/>
      <c r="CVY33" s="127"/>
      <c r="CVZ33" s="127"/>
      <c r="CWA33" s="127"/>
      <c r="CWB33" s="127"/>
      <c r="CWC33" s="127"/>
      <c r="CWD33" s="127"/>
      <c r="CWE33" s="127"/>
      <c r="CWF33" s="127"/>
      <c r="CWG33" s="127"/>
      <c r="CWH33" s="127"/>
      <c r="CWI33" s="127"/>
      <c r="CWJ33" s="127"/>
      <c r="CWK33" s="127"/>
      <c r="CWL33" s="127"/>
      <c r="CWM33" s="127"/>
      <c r="CWN33" s="127"/>
      <c r="CWO33" s="127"/>
      <c r="CWP33" s="127"/>
      <c r="CWQ33" s="127"/>
      <c r="CWR33" s="127"/>
      <c r="CWS33" s="127"/>
      <c r="CWT33" s="127"/>
      <c r="CWU33" s="127"/>
      <c r="CWV33" s="127"/>
      <c r="CWW33" s="127"/>
      <c r="CWX33" s="127"/>
      <c r="CWY33" s="127"/>
      <c r="CWZ33" s="127"/>
      <c r="CXA33" s="127"/>
      <c r="CXB33" s="127"/>
      <c r="CXC33" s="127"/>
      <c r="CXD33" s="127"/>
      <c r="CXE33" s="127"/>
      <c r="CXF33" s="127"/>
      <c r="CXG33" s="127"/>
      <c r="CXH33" s="127"/>
      <c r="CXI33" s="127"/>
      <c r="CXJ33" s="127"/>
      <c r="CXK33" s="127"/>
      <c r="CXL33" s="127"/>
      <c r="CXM33" s="127"/>
      <c r="CXN33" s="127"/>
      <c r="CXO33" s="127"/>
      <c r="CXP33" s="127"/>
      <c r="CXQ33" s="127"/>
      <c r="CXR33" s="127"/>
      <c r="CXS33" s="127"/>
      <c r="CXT33" s="127"/>
      <c r="CXU33" s="127"/>
      <c r="CXV33" s="127"/>
      <c r="CXW33" s="127"/>
      <c r="CXX33" s="127"/>
      <c r="CXY33" s="127"/>
      <c r="CXZ33" s="127"/>
      <c r="CYA33" s="127"/>
      <c r="CYB33" s="127"/>
      <c r="CYC33" s="127"/>
      <c r="CYD33" s="127"/>
      <c r="CYE33" s="127"/>
      <c r="CYF33" s="127"/>
      <c r="CYG33" s="127"/>
      <c r="CYH33" s="127"/>
      <c r="CYI33" s="127"/>
      <c r="CYJ33" s="127"/>
      <c r="CYK33" s="127"/>
      <c r="CYL33" s="127"/>
      <c r="CYM33" s="127"/>
      <c r="CYN33" s="127"/>
      <c r="CYO33" s="127"/>
      <c r="CYP33" s="127"/>
      <c r="CYQ33" s="127"/>
      <c r="CYR33" s="127"/>
      <c r="CYS33" s="127"/>
      <c r="CYT33" s="127"/>
      <c r="CYU33" s="127"/>
      <c r="CYV33" s="127"/>
      <c r="CYW33" s="127"/>
      <c r="CYX33" s="127"/>
      <c r="CYY33" s="127"/>
      <c r="CYZ33" s="127"/>
      <c r="CZA33" s="127"/>
      <c r="CZB33" s="127"/>
      <c r="CZC33" s="127"/>
      <c r="CZD33" s="127"/>
      <c r="CZE33" s="127"/>
      <c r="CZF33" s="127"/>
      <c r="CZG33" s="127"/>
      <c r="CZH33" s="127"/>
      <c r="CZI33" s="127"/>
      <c r="CZJ33" s="127"/>
      <c r="CZK33" s="127"/>
      <c r="CZL33" s="127"/>
      <c r="CZM33" s="127"/>
      <c r="CZN33" s="127"/>
      <c r="CZO33" s="127"/>
      <c r="CZP33" s="127"/>
      <c r="CZQ33" s="127"/>
      <c r="CZR33" s="127"/>
      <c r="CZS33" s="127"/>
      <c r="CZT33" s="127"/>
      <c r="CZU33" s="127"/>
      <c r="CZV33" s="127"/>
      <c r="CZW33" s="127"/>
      <c r="CZX33" s="127"/>
      <c r="CZY33" s="127"/>
      <c r="CZZ33" s="127"/>
      <c r="DAA33" s="127"/>
      <c r="DAB33" s="127"/>
      <c r="DAC33" s="127"/>
      <c r="DAD33" s="127"/>
      <c r="DAE33" s="127"/>
      <c r="DAF33" s="127"/>
      <c r="DAG33" s="127"/>
      <c r="DAH33" s="127"/>
      <c r="DAI33" s="127"/>
      <c r="DAJ33" s="127"/>
      <c r="DAK33" s="127"/>
      <c r="DAL33" s="127"/>
      <c r="DAM33" s="127"/>
      <c r="DAN33" s="127"/>
      <c r="DAO33" s="127"/>
      <c r="DAP33" s="127"/>
      <c r="DAQ33" s="127"/>
      <c r="DAR33" s="127"/>
      <c r="DAS33" s="127"/>
      <c r="DAT33" s="127"/>
      <c r="DAU33" s="127"/>
      <c r="DAV33" s="127"/>
      <c r="DAW33" s="127"/>
      <c r="DAX33" s="127"/>
      <c r="DAY33" s="127"/>
      <c r="DAZ33" s="127"/>
      <c r="DBA33" s="127"/>
      <c r="DBB33" s="127"/>
      <c r="DBC33" s="127"/>
      <c r="DBD33" s="127"/>
      <c r="DBE33" s="127"/>
      <c r="DBF33" s="127"/>
      <c r="DBG33" s="127"/>
      <c r="DBH33" s="127"/>
      <c r="DBI33" s="127"/>
      <c r="DBJ33" s="127"/>
      <c r="DBK33" s="127"/>
      <c r="DBL33" s="127"/>
      <c r="DBM33" s="127"/>
      <c r="DBN33" s="127"/>
      <c r="DBO33" s="127"/>
      <c r="DBP33" s="127"/>
      <c r="DBQ33" s="127"/>
      <c r="DBR33" s="127"/>
      <c r="DBS33" s="127"/>
      <c r="DBT33" s="127"/>
      <c r="DBU33" s="127"/>
      <c r="DBV33" s="127"/>
      <c r="DBW33" s="127"/>
      <c r="DBX33" s="127"/>
      <c r="DBY33" s="127"/>
      <c r="DBZ33" s="127"/>
      <c r="DCA33" s="127"/>
      <c r="DCB33" s="127"/>
      <c r="DCC33" s="127"/>
      <c r="DCD33" s="127"/>
      <c r="DCE33" s="127"/>
      <c r="DCF33" s="127"/>
      <c r="DCG33" s="127"/>
      <c r="DCH33" s="127"/>
      <c r="DCI33" s="127"/>
      <c r="DCJ33" s="127"/>
      <c r="DCK33" s="127"/>
      <c r="DCL33" s="127"/>
      <c r="DCM33" s="127"/>
      <c r="DCN33" s="127"/>
      <c r="DCO33" s="127"/>
      <c r="DCP33" s="127"/>
      <c r="DCQ33" s="127"/>
      <c r="DCR33" s="127"/>
      <c r="DCS33" s="127"/>
      <c r="DCT33" s="127"/>
      <c r="DCU33" s="127"/>
      <c r="DCV33" s="127"/>
      <c r="DCW33" s="127"/>
      <c r="DCX33" s="127"/>
      <c r="DCY33" s="127"/>
      <c r="DCZ33" s="127"/>
      <c r="DDA33" s="127"/>
      <c r="DDB33" s="127"/>
      <c r="DDC33" s="127"/>
      <c r="DDD33" s="127"/>
      <c r="DDE33" s="127"/>
      <c r="DDF33" s="127"/>
      <c r="DDG33" s="127"/>
      <c r="DDH33" s="127"/>
      <c r="DDI33" s="127"/>
      <c r="DDJ33" s="127"/>
      <c r="DDK33" s="127"/>
      <c r="DDL33" s="127"/>
      <c r="DDM33" s="127"/>
      <c r="DDN33" s="127"/>
      <c r="DDO33" s="127"/>
      <c r="DDP33" s="127"/>
      <c r="DDQ33" s="127"/>
      <c r="DDR33" s="127"/>
      <c r="DDS33" s="127"/>
      <c r="DDT33" s="127"/>
      <c r="DDU33" s="127"/>
      <c r="DDV33" s="127"/>
      <c r="DDW33" s="127"/>
      <c r="DDX33" s="127"/>
      <c r="DDY33" s="127"/>
      <c r="DDZ33" s="127"/>
      <c r="DEA33" s="127"/>
      <c r="DEB33" s="127"/>
      <c r="DEC33" s="127"/>
      <c r="DED33" s="127"/>
      <c r="DEE33" s="127"/>
      <c r="DEF33" s="127"/>
      <c r="DEG33" s="127"/>
      <c r="DEH33" s="127"/>
      <c r="DEI33" s="127"/>
      <c r="DEJ33" s="127"/>
      <c r="DEK33" s="127"/>
      <c r="DEL33" s="127"/>
      <c r="DEM33" s="127"/>
      <c r="DEN33" s="127"/>
      <c r="DEO33" s="127"/>
      <c r="DEP33" s="127"/>
      <c r="DEQ33" s="127"/>
      <c r="DER33" s="127"/>
      <c r="DES33" s="127"/>
      <c r="DET33" s="127"/>
      <c r="DEU33" s="127"/>
      <c r="DEV33" s="127"/>
      <c r="DEW33" s="127"/>
      <c r="DEX33" s="127"/>
      <c r="DEY33" s="127"/>
      <c r="DEZ33" s="127"/>
      <c r="DFA33" s="127"/>
      <c r="DFB33" s="127"/>
      <c r="DFC33" s="127"/>
      <c r="DFD33" s="127"/>
      <c r="DFE33" s="127"/>
      <c r="DFF33" s="127"/>
      <c r="DFG33" s="127"/>
      <c r="DFH33" s="127"/>
      <c r="DFI33" s="127"/>
      <c r="DFJ33" s="127"/>
      <c r="DFK33" s="127"/>
      <c r="DFL33" s="127"/>
      <c r="DFM33" s="127"/>
      <c r="DFN33" s="127"/>
      <c r="DFO33" s="127"/>
      <c r="DFP33" s="127"/>
      <c r="DFQ33" s="127"/>
      <c r="DFR33" s="127"/>
      <c r="DFS33" s="127"/>
      <c r="DFT33" s="127"/>
      <c r="DFU33" s="127"/>
      <c r="DFV33" s="127"/>
      <c r="DFW33" s="127"/>
      <c r="DFX33" s="127"/>
      <c r="DFY33" s="127"/>
      <c r="DFZ33" s="127"/>
      <c r="DGA33" s="127"/>
      <c r="DGB33" s="127"/>
      <c r="DGC33" s="127"/>
      <c r="DGD33" s="127"/>
      <c r="DGE33" s="127"/>
      <c r="DGF33" s="127"/>
      <c r="DGG33" s="127"/>
      <c r="DGH33" s="127"/>
      <c r="DGI33" s="127"/>
      <c r="DGJ33" s="127"/>
      <c r="DGK33" s="127"/>
      <c r="DGL33" s="127"/>
      <c r="DGM33" s="127"/>
      <c r="DGN33" s="127"/>
      <c r="DGO33" s="127"/>
      <c r="DGP33" s="127"/>
      <c r="DGQ33" s="127"/>
      <c r="DGR33" s="127"/>
      <c r="DGS33" s="127"/>
      <c r="DGT33" s="127"/>
      <c r="DGU33" s="127"/>
      <c r="DGV33" s="127"/>
      <c r="DGW33" s="127"/>
      <c r="DGX33" s="127"/>
      <c r="DGY33" s="127"/>
      <c r="DGZ33" s="127"/>
      <c r="DHA33" s="127"/>
      <c r="DHB33" s="127"/>
      <c r="DHC33" s="127"/>
      <c r="DHD33" s="127"/>
      <c r="DHE33" s="127"/>
      <c r="DHF33" s="127"/>
      <c r="DHG33" s="127"/>
      <c r="DHH33" s="127"/>
      <c r="DHI33" s="127"/>
      <c r="DHJ33" s="127"/>
      <c r="DHK33" s="127"/>
      <c r="DHL33" s="127"/>
      <c r="DHM33" s="127"/>
      <c r="DHN33" s="127"/>
      <c r="DHO33" s="127"/>
      <c r="DHP33" s="127"/>
      <c r="DHQ33" s="127"/>
      <c r="DHR33" s="127"/>
      <c r="DHS33" s="127"/>
      <c r="DHT33" s="127"/>
      <c r="DHU33" s="127"/>
      <c r="DHV33" s="127"/>
      <c r="DHW33" s="127"/>
      <c r="DHX33" s="127"/>
      <c r="DHY33" s="127"/>
      <c r="DHZ33" s="127"/>
      <c r="DIA33" s="127"/>
      <c r="DIB33" s="127"/>
      <c r="DIC33" s="127"/>
      <c r="DID33" s="127"/>
      <c r="DIE33" s="127"/>
      <c r="DIF33" s="127"/>
      <c r="DIG33" s="127"/>
      <c r="DIH33" s="127"/>
      <c r="DII33" s="127"/>
      <c r="DIJ33" s="127"/>
      <c r="DIK33" s="127"/>
      <c r="DIL33" s="127"/>
      <c r="DIM33" s="127"/>
      <c r="DIN33" s="127"/>
      <c r="DIO33" s="127"/>
      <c r="DIP33" s="127"/>
      <c r="DIQ33" s="127"/>
      <c r="DIR33" s="127"/>
      <c r="DIS33" s="127"/>
      <c r="DIT33" s="127"/>
      <c r="DIU33" s="127"/>
      <c r="DIV33" s="127"/>
      <c r="DIW33" s="127"/>
      <c r="DIX33" s="127"/>
      <c r="DIY33" s="127"/>
      <c r="DIZ33" s="127"/>
      <c r="DJA33" s="127"/>
      <c r="DJB33" s="127"/>
      <c r="DJC33" s="127"/>
      <c r="DJD33" s="127"/>
      <c r="DJE33" s="127"/>
      <c r="DJF33" s="127"/>
      <c r="DJG33" s="127"/>
      <c r="DJH33" s="127"/>
      <c r="DJI33" s="127"/>
      <c r="DJJ33" s="127"/>
      <c r="DJK33" s="127"/>
      <c r="DJL33" s="127"/>
      <c r="DJM33" s="127"/>
      <c r="DJN33" s="127"/>
      <c r="DJO33" s="127"/>
      <c r="DJP33" s="127"/>
      <c r="DJQ33" s="127"/>
      <c r="DJR33" s="127"/>
      <c r="DJS33" s="127"/>
      <c r="DJT33" s="127"/>
      <c r="DJU33" s="127"/>
      <c r="DJV33" s="127"/>
      <c r="DJW33" s="127"/>
      <c r="DJX33" s="127"/>
      <c r="DJY33" s="127"/>
      <c r="DJZ33" s="127"/>
      <c r="DKA33" s="127"/>
      <c r="DKB33" s="127"/>
      <c r="DKC33" s="127"/>
      <c r="DKD33" s="127"/>
      <c r="DKE33" s="127"/>
      <c r="DKF33" s="127"/>
      <c r="DKG33" s="127"/>
      <c r="DKH33" s="127"/>
      <c r="DKI33" s="127"/>
      <c r="DKJ33" s="127"/>
      <c r="DKK33" s="127"/>
      <c r="DKL33" s="127"/>
      <c r="DKM33" s="127"/>
      <c r="DKN33" s="127"/>
      <c r="DKO33" s="127"/>
      <c r="DKP33" s="127"/>
      <c r="DKQ33" s="127"/>
      <c r="DKR33" s="127"/>
      <c r="DKS33" s="127"/>
      <c r="DKT33" s="127"/>
      <c r="DKU33" s="127"/>
      <c r="DKV33" s="127"/>
      <c r="DKW33" s="127"/>
      <c r="DKX33" s="127"/>
      <c r="DKY33" s="127"/>
      <c r="DKZ33" s="127"/>
      <c r="DLA33" s="127"/>
      <c r="DLB33" s="127"/>
      <c r="DLC33" s="127"/>
      <c r="DLD33" s="127"/>
      <c r="DLE33" s="127"/>
      <c r="DLF33" s="127"/>
      <c r="DLG33" s="127"/>
      <c r="DLH33" s="127"/>
      <c r="DLI33" s="127"/>
      <c r="DLJ33" s="127"/>
      <c r="DLK33" s="127"/>
      <c r="DLL33" s="127"/>
      <c r="DLM33" s="127"/>
      <c r="DLN33" s="127"/>
      <c r="DLO33" s="127"/>
      <c r="DLP33" s="127"/>
      <c r="DLQ33" s="127"/>
      <c r="DLR33" s="127"/>
      <c r="DLS33" s="127"/>
      <c r="DLT33" s="127"/>
      <c r="DLU33" s="127"/>
      <c r="DLV33" s="127"/>
      <c r="DLW33" s="127"/>
      <c r="DLX33" s="127"/>
      <c r="DLY33" s="127"/>
      <c r="DLZ33" s="127"/>
      <c r="DMA33" s="127"/>
      <c r="DMB33" s="127"/>
      <c r="DMC33" s="127"/>
      <c r="DMD33" s="127"/>
      <c r="DME33" s="127"/>
      <c r="DMF33" s="127"/>
      <c r="DMG33" s="127"/>
      <c r="DMH33" s="127"/>
      <c r="DMI33" s="127"/>
      <c r="DMJ33" s="127"/>
      <c r="DMK33" s="127"/>
      <c r="DML33" s="127"/>
      <c r="DMM33" s="127"/>
      <c r="DMN33" s="127"/>
      <c r="DMO33" s="127"/>
      <c r="DMP33" s="127"/>
      <c r="DMQ33" s="127"/>
      <c r="DMR33" s="127"/>
      <c r="DMS33" s="127"/>
      <c r="DMT33" s="127"/>
      <c r="DMU33" s="127"/>
      <c r="DMV33" s="127"/>
      <c r="DMW33" s="127"/>
      <c r="DMX33" s="127"/>
      <c r="DMY33" s="127"/>
      <c r="DMZ33" s="127"/>
      <c r="DNA33" s="127"/>
      <c r="DNB33" s="127"/>
      <c r="DNC33" s="127"/>
      <c r="DND33" s="127"/>
      <c r="DNE33" s="127"/>
      <c r="DNF33" s="127"/>
      <c r="DNG33" s="127"/>
      <c r="DNH33" s="127"/>
      <c r="DNI33" s="127"/>
      <c r="DNJ33" s="127"/>
      <c r="DNK33" s="127"/>
      <c r="DNL33" s="127"/>
      <c r="DNM33" s="127"/>
      <c r="DNN33" s="127"/>
      <c r="DNO33" s="127"/>
      <c r="DNP33" s="127"/>
      <c r="DNQ33" s="127"/>
      <c r="DNR33" s="127"/>
      <c r="DNS33" s="127"/>
      <c r="DNT33" s="127"/>
      <c r="DNU33" s="127"/>
      <c r="DNV33" s="127"/>
      <c r="DNW33" s="127"/>
      <c r="DNX33" s="127"/>
      <c r="DNY33" s="127"/>
      <c r="DNZ33" s="127"/>
      <c r="DOA33" s="127"/>
      <c r="DOB33" s="127"/>
      <c r="DOC33" s="127"/>
      <c r="DOD33" s="127"/>
      <c r="DOE33" s="127"/>
      <c r="DOF33" s="127"/>
      <c r="DOG33" s="127"/>
      <c r="DOH33" s="127"/>
      <c r="DOI33" s="127"/>
      <c r="DOJ33" s="127"/>
      <c r="DOK33" s="127"/>
      <c r="DOL33" s="127"/>
      <c r="DOM33" s="127"/>
      <c r="DON33" s="127"/>
      <c r="DOO33" s="127"/>
      <c r="DOP33" s="127"/>
      <c r="DOQ33" s="127"/>
      <c r="DOR33" s="127"/>
      <c r="DOS33" s="127"/>
      <c r="DOT33" s="127"/>
      <c r="DOU33" s="127"/>
      <c r="DOV33" s="127"/>
      <c r="DOW33" s="127"/>
      <c r="DOX33" s="127"/>
      <c r="DOY33" s="127"/>
      <c r="DOZ33" s="127"/>
      <c r="DPA33" s="127"/>
      <c r="DPB33" s="127"/>
      <c r="DPC33" s="127"/>
      <c r="DPD33" s="127"/>
      <c r="DPE33" s="127"/>
      <c r="DPF33" s="127"/>
      <c r="DPG33" s="127"/>
      <c r="DPH33" s="127"/>
      <c r="DPI33" s="127"/>
      <c r="DPJ33" s="127"/>
      <c r="DPK33" s="127"/>
      <c r="DPL33" s="127"/>
      <c r="DPM33" s="127"/>
      <c r="DPN33" s="127"/>
      <c r="DPO33" s="127"/>
      <c r="DPP33" s="127"/>
      <c r="DPQ33" s="127"/>
      <c r="DPR33" s="127"/>
      <c r="DPS33" s="127"/>
      <c r="DPT33" s="127"/>
      <c r="DPU33" s="127"/>
      <c r="DPV33" s="127"/>
      <c r="DPW33" s="127"/>
      <c r="DPX33" s="127"/>
      <c r="DPY33" s="127"/>
      <c r="DPZ33" s="127"/>
      <c r="DQA33" s="127"/>
      <c r="DQB33" s="127"/>
      <c r="DQC33" s="127"/>
      <c r="DQD33" s="127"/>
      <c r="DQE33" s="127"/>
      <c r="DQF33" s="127"/>
      <c r="DQG33" s="127"/>
      <c r="DQH33" s="127"/>
      <c r="DQI33" s="127"/>
      <c r="DQJ33" s="127"/>
      <c r="DQK33" s="127"/>
      <c r="DQL33" s="127"/>
      <c r="DQM33" s="127"/>
      <c r="DQN33" s="127"/>
      <c r="DQO33" s="127"/>
      <c r="DQP33" s="127"/>
      <c r="DQQ33" s="127"/>
      <c r="DQR33" s="127"/>
      <c r="DQS33" s="127"/>
      <c r="DQT33" s="127"/>
      <c r="DQU33" s="127"/>
      <c r="DQV33" s="127"/>
      <c r="DQW33" s="127"/>
      <c r="DQX33" s="127"/>
      <c r="DQY33" s="127"/>
      <c r="DQZ33" s="127"/>
      <c r="DRA33" s="127"/>
      <c r="DRB33" s="127"/>
      <c r="DRC33" s="127"/>
      <c r="DRD33" s="127"/>
      <c r="DRE33" s="127"/>
      <c r="DRF33" s="127"/>
      <c r="DRG33" s="127"/>
      <c r="DRH33" s="127"/>
      <c r="DRI33" s="127"/>
      <c r="DRJ33" s="127"/>
      <c r="DRK33" s="127"/>
      <c r="DRL33" s="127"/>
      <c r="DRM33" s="127"/>
      <c r="DRN33" s="127"/>
      <c r="DRO33" s="127"/>
      <c r="DRP33" s="127"/>
      <c r="DRQ33" s="127"/>
      <c r="DRR33" s="127"/>
      <c r="DRS33" s="127"/>
      <c r="DRT33" s="127"/>
      <c r="DRU33" s="127"/>
      <c r="DRV33" s="127"/>
      <c r="DRW33" s="127"/>
      <c r="DRX33" s="127"/>
      <c r="DRY33" s="127"/>
      <c r="DRZ33" s="127"/>
      <c r="DSA33" s="127"/>
      <c r="DSB33" s="127"/>
      <c r="DSC33" s="127"/>
      <c r="DSD33" s="127"/>
      <c r="DSE33" s="127"/>
      <c r="DSF33" s="127"/>
      <c r="DSG33" s="127"/>
      <c r="DSH33" s="127"/>
      <c r="DSI33" s="127"/>
      <c r="DSJ33" s="127"/>
      <c r="DSK33" s="127"/>
      <c r="DSL33" s="127"/>
      <c r="DSM33" s="127"/>
      <c r="DSN33" s="127"/>
      <c r="DSO33" s="127"/>
      <c r="DSP33" s="127"/>
      <c r="DSQ33" s="127"/>
      <c r="DSR33" s="127"/>
      <c r="DSS33" s="127"/>
      <c r="DST33" s="127"/>
      <c r="DSU33" s="127"/>
      <c r="DSV33" s="127"/>
      <c r="DSW33" s="127"/>
      <c r="DSX33" s="127"/>
      <c r="DSY33" s="127"/>
      <c r="DSZ33" s="127"/>
      <c r="DTA33" s="127"/>
      <c r="DTB33" s="127"/>
      <c r="DTC33" s="127"/>
      <c r="DTD33" s="127"/>
      <c r="DTE33" s="127"/>
      <c r="DTF33" s="127"/>
      <c r="DTG33" s="127"/>
      <c r="DTH33" s="127"/>
      <c r="DTI33" s="127"/>
      <c r="DTJ33" s="127"/>
      <c r="DTK33" s="127"/>
      <c r="DTL33" s="127"/>
      <c r="DTM33" s="127"/>
      <c r="DTN33" s="127"/>
      <c r="DTO33" s="127"/>
      <c r="DTP33" s="127"/>
      <c r="DTQ33" s="127"/>
      <c r="DTR33" s="127"/>
      <c r="DTS33" s="127"/>
      <c r="DTT33" s="127"/>
      <c r="DTU33" s="127"/>
      <c r="DTV33" s="127"/>
      <c r="DTW33" s="127"/>
      <c r="DTX33" s="127"/>
      <c r="DTY33" s="127"/>
      <c r="DTZ33" s="127"/>
      <c r="DUA33" s="127"/>
      <c r="DUB33" s="127"/>
      <c r="DUC33" s="127"/>
      <c r="DUD33" s="127"/>
      <c r="DUE33" s="127"/>
      <c r="DUF33" s="127"/>
      <c r="DUG33" s="127"/>
      <c r="DUH33" s="127"/>
      <c r="DUI33" s="127"/>
      <c r="DUJ33" s="127"/>
      <c r="DUK33" s="127"/>
      <c r="DUL33" s="127"/>
      <c r="DUM33" s="127"/>
      <c r="DUN33" s="127"/>
      <c r="DUO33" s="127"/>
      <c r="DUP33" s="127"/>
      <c r="DUQ33" s="127"/>
      <c r="DUR33" s="127"/>
      <c r="DUS33" s="127"/>
      <c r="DUT33" s="127"/>
      <c r="DUU33" s="127"/>
      <c r="DUV33" s="127"/>
      <c r="DUW33" s="127"/>
      <c r="DUX33" s="127"/>
      <c r="DUY33" s="127"/>
      <c r="DUZ33" s="127"/>
      <c r="DVA33" s="127"/>
      <c r="DVB33" s="127"/>
      <c r="DVC33" s="127"/>
      <c r="DVD33" s="127"/>
      <c r="DVE33" s="127"/>
      <c r="DVF33" s="127"/>
      <c r="DVG33" s="127"/>
      <c r="DVH33" s="127"/>
      <c r="DVI33" s="127"/>
      <c r="DVJ33" s="127"/>
      <c r="DVK33" s="127"/>
      <c r="DVL33" s="127"/>
      <c r="DVM33" s="127"/>
      <c r="DVN33" s="127"/>
      <c r="DVO33" s="127"/>
      <c r="DVP33" s="127"/>
      <c r="DVQ33" s="127"/>
      <c r="DVR33" s="127"/>
      <c r="DVS33" s="127"/>
      <c r="DVT33" s="127"/>
      <c r="DVU33" s="127"/>
      <c r="DVV33" s="127"/>
      <c r="DVW33" s="127"/>
      <c r="DVX33" s="127"/>
      <c r="DVY33" s="127"/>
      <c r="DVZ33" s="127"/>
      <c r="DWA33" s="127"/>
      <c r="DWB33" s="127"/>
      <c r="DWC33" s="127"/>
      <c r="DWD33" s="127"/>
      <c r="DWE33" s="127"/>
      <c r="DWF33" s="127"/>
      <c r="DWG33" s="127"/>
      <c r="DWH33" s="127"/>
      <c r="DWI33" s="127"/>
      <c r="DWJ33" s="127"/>
      <c r="DWK33" s="127"/>
      <c r="DWL33" s="127"/>
      <c r="DWM33" s="127"/>
      <c r="DWN33" s="127"/>
      <c r="DWO33" s="127"/>
      <c r="DWP33" s="127"/>
      <c r="DWQ33" s="127"/>
      <c r="DWR33" s="127"/>
      <c r="DWS33" s="127"/>
      <c r="DWT33" s="127"/>
      <c r="DWU33" s="127"/>
      <c r="DWV33" s="127"/>
      <c r="DWW33" s="127"/>
      <c r="DWX33" s="127"/>
      <c r="DWY33" s="127"/>
      <c r="DWZ33" s="127"/>
      <c r="DXA33" s="127"/>
      <c r="DXB33" s="127"/>
      <c r="DXC33" s="127"/>
      <c r="DXD33" s="127"/>
      <c r="DXE33" s="127"/>
      <c r="DXF33" s="127"/>
      <c r="DXG33" s="127"/>
      <c r="DXH33" s="127"/>
      <c r="DXI33" s="127"/>
      <c r="DXJ33" s="127"/>
      <c r="DXK33" s="127"/>
      <c r="DXL33" s="127"/>
      <c r="DXM33" s="127"/>
      <c r="DXN33" s="127"/>
      <c r="DXO33" s="127"/>
      <c r="DXP33" s="127"/>
      <c r="DXQ33" s="127"/>
      <c r="DXR33" s="127"/>
      <c r="DXS33" s="127"/>
      <c r="DXT33" s="127"/>
      <c r="DXU33" s="127"/>
      <c r="DXV33" s="127"/>
      <c r="DXW33" s="127"/>
      <c r="DXX33" s="127"/>
      <c r="DXY33" s="127"/>
      <c r="DXZ33" s="127"/>
      <c r="DYA33" s="127"/>
      <c r="DYB33" s="127"/>
      <c r="DYC33" s="127"/>
      <c r="DYD33" s="127"/>
      <c r="DYE33" s="127"/>
      <c r="DYF33" s="127"/>
      <c r="DYG33" s="127"/>
      <c r="DYH33" s="127"/>
      <c r="DYI33" s="127"/>
      <c r="DYJ33" s="127"/>
      <c r="DYK33" s="127"/>
      <c r="DYL33" s="127"/>
      <c r="DYM33" s="127"/>
      <c r="DYN33" s="127"/>
      <c r="DYO33" s="127"/>
      <c r="DYP33" s="127"/>
      <c r="DYQ33" s="127"/>
      <c r="DYR33" s="127"/>
      <c r="DYS33" s="127"/>
      <c r="DYT33" s="127"/>
      <c r="DYU33" s="127"/>
      <c r="DYV33" s="127"/>
      <c r="DYW33" s="127"/>
      <c r="DYX33" s="127"/>
      <c r="DYY33" s="127"/>
      <c r="DYZ33" s="127"/>
      <c r="DZA33" s="127"/>
      <c r="DZB33" s="127"/>
      <c r="DZC33" s="127"/>
      <c r="DZD33" s="127"/>
      <c r="DZE33" s="127"/>
      <c r="DZF33" s="127"/>
      <c r="DZG33" s="127"/>
      <c r="DZH33" s="127"/>
      <c r="DZI33" s="127"/>
      <c r="DZJ33" s="127"/>
      <c r="DZK33" s="127"/>
      <c r="DZL33" s="127"/>
      <c r="DZM33" s="127"/>
      <c r="DZN33" s="127"/>
      <c r="DZO33" s="127"/>
      <c r="DZP33" s="127"/>
      <c r="DZQ33" s="127"/>
      <c r="DZR33" s="127"/>
      <c r="DZS33" s="127"/>
      <c r="DZT33" s="127"/>
      <c r="DZU33" s="127"/>
      <c r="DZV33" s="127"/>
      <c r="DZW33" s="127"/>
      <c r="DZX33" s="127"/>
      <c r="DZY33" s="127"/>
      <c r="DZZ33" s="127"/>
      <c r="EAA33" s="127"/>
      <c r="EAB33" s="127"/>
      <c r="EAC33" s="127"/>
      <c r="EAD33" s="127"/>
      <c r="EAE33" s="127"/>
      <c r="EAF33" s="127"/>
      <c r="EAG33" s="127"/>
      <c r="EAH33" s="127"/>
      <c r="EAI33" s="127"/>
      <c r="EAJ33" s="127"/>
      <c r="EAK33" s="127"/>
      <c r="EAL33" s="127"/>
      <c r="EAM33" s="127"/>
      <c r="EAN33" s="127"/>
      <c r="EAO33" s="127"/>
      <c r="EAP33" s="127"/>
      <c r="EAQ33" s="127"/>
      <c r="EAR33" s="127"/>
      <c r="EAS33" s="127"/>
      <c r="EAT33" s="127"/>
      <c r="EAU33" s="127"/>
      <c r="EAV33" s="127"/>
      <c r="EAW33" s="127"/>
      <c r="EAX33" s="127"/>
      <c r="EAY33" s="127"/>
      <c r="EAZ33" s="127"/>
      <c r="EBA33" s="127"/>
      <c r="EBB33" s="127"/>
      <c r="EBC33" s="127"/>
      <c r="EBD33" s="127"/>
      <c r="EBE33" s="127"/>
      <c r="EBF33" s="127"/>
      <c r="EBG33" s="127"/>
      <c r="EBH33" s="127"/>
      <c r="EBI33" s="127"/>
      <c r="EBJ33" s="127"/>
      <c r="EBK33" s="127"/>
      <c r="EBL33" s="127"/>
      <c r="EBM33" s="127"/>
      <c r="EBN33" s="127"/>
      <c r="EBO33" s="127"/>
      <c r="EBP33" s="127"/>
      <c r="EBQ33" s="127"/>
      <c r="EBR33" s="127"/>
      <c r="EBS33" s="127"/>
      <c r="EBT33" s="127"/>
      <c r="EBU33" s="127"/>
      <c r="EBV33" s="127"/>
      <c r="EBW33" s="127"/>
      <c r="EBX33" s="127"/>
      <c r="EBY33" s="127"/>
      <c r="EBZ33" s="127"/>
      <c r="ECA33" s="127"/>
      <c r="ECB33" s="127"/>
      <c r="ECC33" s="127"/>
      <c r="ECD33" s="127"/>
      <c r="ECE33" s="127"/>
      <c r="ECF33" s="127"/>
      <c r="ECG33" s="127"/>
      <c r="ECH33" s="127"/>
      <c r="ECI33" s="127"/>
      <c r="ECJ33" s="127"/>
      <c r="ECK33" s="127"/>
      <c r="ECL33" s="127"/>
      <c r="ECM33" s="127"/>
      <c r="ECN33" s="127"/>
      <c r="ECO33" s="127"/>
      <c r="ECP33" s="127"/>
      <c r="ECQ33" s="127"/>
      <c r="ECR33" s="127"/>
      <c r="ECS33" s="127"/>
      <c r="ECT33" s="127"/>
      <c r="ECU33" s="127"/>
      <c r="ECV33" s="127"/>
      <c r="ECW33" s="127"/>
      <c r="ECX33" s="127"/>
      <c r="ECY33" s="127"/>
      <c r="ECZ33" s="127"/>
      <c r="EDA33" s="127"/>
      <c r="EDB33" s="127"/>
      <c r="EDC33" s="127"/>
      <c r="EDD33" s="127"/>
      <c r="EDE33" s="127"/>
      <c r="EDF33" s="127"/>
      <c r="EDG33" s="127"/>
      <c r="EDH33" s="127"/>
      <c r="EDI33" s="127"/>
      <c r="EDJ33" s="127"/>
      <c r="EDK33" s="127"/>
      <c r="EDL33" s="127"/>
      <c r="EDM33" s="127"/>
      <c r="EDN33" s="127"/>
      <c r="EDO33" s="127"/>
      <c r="EDP33" s="127"/>
      <c r="EDQ33" s="127"/>
      <c r="EDR33" s="127"/>
      <c r="EDS33" s="127"/>
      <c r="EDT33" s="127"/>
      <c r="EDU33" s="127"/>
      <c r="EDV33" s="127"/>
      <c r="EDW33" s="127"/>
      <c r="EDX33" s="127"/>
      <c r="EDY33" s="127"/>
      <c r="EDZ33" s="127"/>
      <c r="EEA33" s="127"/>
      <c r="EEB33" s="127"/>
      <c r="EEC33" s="127"/>
      <c r="EED33" s="127"/>
      <c r="EEE33" s="127"/>
      <c r="EEF33" s="127"/>
      <c r="EEG33" s="127"/>
      <c r="EEH33" s="127"/>
      <c r="EEI33" s="127"/>
      <c r="EEJ33" s="127"/>
      <c r="EEK33" s="127"/>
      <c r="EEL33" s="127"/>
      <c r="EEM33" s="127"/>
      <c r="EEN33" s="127"/>
      <c r="EEO33" s="127"/>
      <c r="EEP33" s="127"/>
      <c r="EEQ33" s="127"/>
      <c r="EER33" s="127"/>
      <c r="EES33" s="127"/>
      <c r="EET33" s="127"/>
      <c r="EEU33" s="127"/>
      <c r="EEV33" s="127"/>
      <c r="EEW33" s="127"/>
      <c r="EEX33" s="127"/>
      <c r="EEY33" s="127"/>
      <c r="EEZ33" s="127"/>
      <c r="EFA33" s="127"/>
      <c r="EFB33" s="127"/>
      <c r="EFC33" s="127"/>
      <c r="EFD33" s="127"/>
      <c r="EFE33" s="127"/>
      <c r="EFF33" s="127"/>
      <c r="EFG33" s="127"/>
      <c r="EFH33" s="127"/>
      <c r="EFI33" s="127"/>
      <c r="EFJ33" s="127"/>
      <c r="EFK33" s="127"/>
      <c r="EFL33" s="127"/>
      <c r="EFM33" s="127"/>
      <c r="EFN33" s="127"/>
      <c r="EFO33" s="127"/>
      <c r="EFP33" s="127"/>
      <c r="EFQ33" s="127"/>
      <c r="EFR33" s="127"/>
      <c r="EFS33" s="127"/>
      <c r="EFT33" s="127"/>
      <c r="EFU33" s="127"/>
      <c r="EFV33" s="127"/>
      <c r="EFW33" s="127"/>
      <c r="EFX33" s="127"/>
      <c r="EFY33" s="127"/>
      <c r="EFZ33" s="127"/>
      <c r="EGA33" s="127"/>
      <c r="EGB33" s="127"/>
      <c r="EGC33" s="127"/>
      <c r="EGD33" s="127"/>
      <c r="EGE33" s="127"/>
      <c r="EGF33" s="127"/>
      <c r="EGG33" s="127"/>
      <c r="EGH33" s="127"/>
      <c r="EGI33" s="127"/>
      <c r="EGJ33" s="127"/>
      <c r="EGK33" s="127"/>
      <c r="EGL33" s="127"/>
      <c r="EGM33" s="127"/>
      <c r="EGN33" s="127"/>
      <c r="EGO33" s="127"/>
      <c r="EGP33" s="127"/>
      <c r="EGQ33" s="127"/>
      <c r="EGR33" s="127"/>
      <c r="EGS33" s="127"/>
      <c r="EGT33" s="127"/>
      <c r="EGU33" s="127"/>
      <c r="EGV33" s="127"/>
      <c r="EGW33" s="127"/>
      <c r="EGX33" s="127"/>
      <c r="EGY33" s="127"/>
      <c r="EGZ33" s="127"/>
      <c r="EHA33" s="127"/>
      <c r="EHB33" s="127"/>
      <c r="EHC33" s="127"/>
      <c r="EHD33" s="127"/>
      <c r="EHE33" s="127"/>
      <c r="EHF33" s="127"/>
      <c r="EHG33" s="127"/>
      <c r="EHH33" s="127"/>
      <c r="EHI33" s="127"/>
      <c r="EHJ33" s="127"/>
      <c r="EHK33" s="127"/>
      <c r="EHL33" s="127"/>
      <c r="EHM33" s="127"/>
      <c r="EHN33" s="127"/>
      <c r="EHO33" s="127"/>
      <c r="EHP33" s="127"/>
      <c r="EHQ33" s="127"/>
      <c r="EHR33" s="127"/>
      <c r="EHS33" s="127"/>
      <c r="EHT33" s="127"/>
      <c r="EHU33" s="127"/>
      <c r="EHV33" s="127"/>
      <c r="EHW33" s="127"/>
      <c r="EHX33" s="127"/>
      <c r="EHY33" s="127"/>
      <c r="EHZ33" s="127"/>
      <c r="EIA33" s="127"/>
      <c r="EIB33" s="127"/>
      <c r="EIC33" s="127"/>
      <c r="EID33" s="127"/>
      <c r="EIE33" s="127"/>
      <c r="EIF33" s="127"/>
      <c r="EIG33" s="127"/>
      <c r="EIH33" s="127"/>
      <c r="EII33" s="127"/>
      <c r="EIJ33" s="127"/>
      <c r="EIK33" s="127"/>
      <c r="EIL33" s="127"/>
      <c r="EIM33" s="127"/>
      <c r="EIN33" s="127"/>
      <c r="EIO33" s="127"/>
      <c r="EIP33" s="127"/>
      <c r="EIQ33" s="127"/>
      <c r="EIR33" s="127"/>
      <c r="EIS33" s="127"/>
      <c r="EIT33" s="127"/>
      <c r="EIU33" s="127"/>
      <c r="EIV33" s="127"/>
      <c r="EIW33" s="127"/>
      <c r="EIX33" s="127"/>
      <c r="EIY33" s="127"/>
      <c r="EIZ33" s="127"/>
      <c r="EJA33" s="127"/>
      <c r="EJB33" s="127"/>
      <c r="EJC33" s="127"/>
      <c r="EJD33" s="127"/>
      <c r="EJE33" s="127"/>
      <c r="EJF33" s="127"/>
      <c r="EJG33" s="127"/>
      <c r="EJH33" s="127"/>
      <c r="EJI33" s="127"/>
      <c r="EJJ33" s="127"/>
      <c r="EJK33" s="127"/>
      <c r="EJL33" s="127"/>
      <c r="EJM33" s="127"/>
      <c r="EJN33" s="127"/>
      <c r="EJO33" s="127"/>
      <c r="EJP33" s="127"/>
      <c r="EJQ33" s="127"/>
      <c r="EJR33" s="127"/>
      <c r="EJS33" s="127"/>
      <c r="EJT33" s="127"/>
      <c r="EJU33" s="127"/>
      <c r="EJV33" s="127"/>
      <c r="EJW33" s="127"/>
      <c r="EJX33" s="127"/>
      <c r="EJY33" s="127"/>
      <c r="EJZ33" s="127"/>
      <c r="EKA33" s="127"/>
      <c r="EKB33" s="127"/>
      <c r="EKC33" s="127"/>
      <c r="EKD33" s="127"/>
      <c r="EKE33" s="127"/>
      <c r="EKF33" s="127"/>
      <c r="EKG33" s="127"/>
      <c r="EKH33" s="127"/>
      <c r="EKI33" s="127"/>
      <c r="EKJ33" s="127"/>
      <c r="EKK33" s="127"/>
      <c r="EKL33" s="127"/>
      <c r="EKM33" s="127"/>
      <c r="EKN33" s="127"/>
      <c r="EKO33" s="127"/>
      <c r="EKP33" s="127"/>
      <c r="EKQ33" s="127"/>
      <c r="EKR33" s="127"/>
      <c r="EKS33" s="127"/>
      <c r="EKT33" s="127"/>
      <c r="EKU33" s="127"/>
      <c r="EKV33" s="127"/>
      <c r="EKW33" s="127"/>
      <c r="EKX33" s="127"/>
      <c r="EKY33" s="127"/>
      <c r="EKZ33" s="127"/>
      <c r="ELA33" s="127"/>
      <c r="ELB33" s="127"/>
      <c r="ELC33" s="127"/>
      <c r="ELD33" s="127"/>
      <c r="ELE33" s="127"/>
      <c r="ELF33" s="127"/>
      <c r="ELG33" s="127"/>
      <c r="ELH33" s="127"/>
      <c r="ELI33" s="127"/>
      <c r="ELJ33" s="127"/>
      <c r="ELK33" s="127"/>
      <c r="ELL33" s="127"/>
      <c r="ELM33" s="127"/>
      <c r="ELN33" s="127"/>
      <c r="ELO33" s="127"/>
      <c r="ELP33" s="127"/>
      <c r="ELQ33" s="127"/>
      <c r="ELR33" s="127"/>
      <c r="ELS33" s="127"/>
      <c r="ELT33" s="127"/>
      <c r="ELU33" s="127"/>
      <c r="ELV33" s="127"/>
      <c r="ELW33" s="127"/>
      <c r="ELX33" s="127"/>
      <c r="ELY33" s="127"/>
      <c r="ELZ33" s="127"/>
      <c r="EMA33" s="127"/>
      <c r="EMB33" s="127"/>
      <c r="EMC33" s="127"/>
      <c r="EMD33" s="127"/>
      <c r="EME33" s="127"/>
      <c r="EMF33" s="127"/>
      <c r="EMG33" s="127"/>
      <c r="EMH33" s="127"/>
      <c r="EMI33" s="127"/>
      <c r="EMJ33" s="127"/>
      <c r="EMK33" s="127"/>
      <c r="EML33" s="127"/>
      <c r="EMM33" s="127"/>
      <c r="EMN33" s="127"/>
      <c r="EMO33" s="127"/>
      <c r="EMP33" s="127"/>
      <c r="EMQ33" s="127"/>
      <c r="EMR33" s="127"/>
      <c r="EMS33" s="127"/>
      <c r="EMT33" s="127"/>
      <c r="EMU33" s="127"/>
      <c r="EMV33" s="127"/>
      <c r="EMW33" s="127"/>
      <c r="EMX33" s="127"/>
      <c r="EMY33" s="127"/>
      <c r="EMZ33" s="127"/>
      <c r="ENA33" s="127"/>
      <c r="ENB33" s="127"/>
      <c r="ENC33" s="127"/>
      <c r="END33" s="127"/>
      <c r="ENE33" s="127"/>
      <c r="ENF33" s="127"/>
      <c r="ENG33" s="127"/>
      <c r="ENH33" s="127"/>
      <c r="ENI33" s="127"/>
      <c r="ENJ33" s="127"/>
      <c r="ENK33" s="127"/>
      <c r="ENL33" s="127"/>
      <c r="ENM33" s="127"/>
      <c r="ENN33" s="127"/>
      <c r="ENO33" s="127"/>
      <c r="ENP33" s="127"/>
      <c r="ENQ33" s="127"/>
      <c r="ENR33" s="127"/>
      <c r="ENS33" s="127"/>
      <c r="ENT33" s="127"/>
      <c r="ENU33" s="127"/>
      <c r="ENV33" s="127"/>
      <c r="ENW33" s="127"/>
      <c r="ENX33" s="127"/>
      <c r="ENY33" s="127"/>
      <c r="ENZ33" s="127"/>
      <c r="EOA33" s="127"/>
      <c r="EOB33" s="127"/>
      <c r="EOC33" s="127"/>
      <c r="EOD33" s="127"/>
      <c r="EOE33" s="127"/>
      <c r="EOF33" s="127"/>
      <c r="EOG33" s="127"/>
      <c r="EOH33" s="127"/>
      <c r="EOI33" s="127"/>
      <c r="EOJ33" s="127"/>
      <c r="EOK33" s="127"/>
      <c r="EOL33" s="127"/>
      <c r="EOM33" s="127"/>
      <c r="EON33" s="127"/>
      <c r="EOO33" s="127"/>
      <c r="EOP33" s="127"/>
      <c r="EOQ33" s="127"/>
      <c r="EOR33" s="127"/>
      <c r="EOS33" s="127"/>
      <c r="EOT33" s="127"/>
      <c r="EOU33" s="127"/>
      <c r="EOV33" s="127"/>
      <c r="EOW33" s="127"/>
      <c r="EOX33" s="127"/>
      <c r="EOY33" s="127"/>
      <c r="EOZ33" s="127"/>
      <c r="EPA33" s="127"/>
      <c r="EPB33" s="127"/>
      <c r="EPC33" s="127"/>
      <c r="EPD33" s="127"/>
      <c r="EPE33" s="127"/>
      <c r="EPF33" s="127"/>
      <c r="EPG33" s="127"/>
      <c r="EPH33" s="127"/>
      <c r="EPI33" s="127"/>
      <c r="EPJ33" s="127"/>
      <c r="EPK33" s="127"/>
      <c r="EPL33" s="127"/>
      <c r="EPM33" s="127"/>
      <c r="EPN33" s="127"/>
      <c r="EPO33" s="127"/>
      <c r="EPP33" s="127"/>
      <c r="EPQ33" s="127"/>
      <c r="EPR33" s="127"/>
      <c r="EPS33" s="127"/>
      <c r="EPT33" s="127"/>
      <c r="EPU33" s="127"/>
      <c r="EPV33" s="127"/>
      <c r="EPW33" s="127"/>
      <c r="EPX33" s="127"/>
      <c r="EPY33" s="127"/>
      <c r="EPZ33" s="127"/>
      <c r="EQA33" s="127"/>
      <c r="EQB33" s="127"/>
      <c r="EQC33" s="127"/>
      <c r="EQD33" s="127"/>
      <c r="EQE33" s="127"/>
      <c r="EQF33" s="127"/>
      <c r="EQG33" s="127"/>
      <c r="EQH33" s="127"/>
      <c r="EQI33" s="127"/>
      <c r="EQJ33" s="127"/>
      <c r="EQK33" s="127"/>
      <c r="EQL33" s="127"/>
      <c r="EQM33" s="127"/>
      <c r="EQN33" s="127"/>
      <c r="EQO33" s="127"/>
      <c r="EQP33" s="127"/>
      <c r="EQQ33" s="127"/>
      <c r="EQR33" s="127"/>
      <c r="EQS33" s="127"/>
      <c r="EQT33" s="127"/>
      <c r="EQU33" s="127"/>
      <c r="EQV33" s="127"/>
      <c r="EQW33" s="127"/>
      <c r="EQX33" s="127"/>
      <c r="EQY33" s="127"/>
      <c r="EQZ33" s="127"/>
      <c r="ERA33" s="127"/>
      <c r="ERB33" s="127"/>
      <c r="ERC33" s="127"/>
      <c r="ERD33" s="127"/>
      <c r="ERE33" s="127"/>
      <c r="ERF33" s="127"/>
      <c r="ERG33" s="127"/>
      <c r="ERH33" s="127"/>
      <c r="ERI33" s="127"/>
      <c r="ERJ33" s="127"/>
      <c r="ERK33" s="127"/>
      <c r="ERL33" s="127"/>
      <c r="ERM33" s="127"/>
      <c r="ERN33" s="127"/>
      <c r="ERO33" s="127"/>
      <c r="ERP33" s="127"/>
      <c r="ERQ33" s="127"/>
      <c r="ERR33" s="127"/>
      <c r="ERS33" s="127"/>
      <c r="ERT33" s="127"/>
      <c r="ERU33" s="127"/>
      <c r="ERV33" s="127"/>
      <c r="ERW33" s="127"/>
      <c r="ERX33" s="127"/>
      <c r="ERY33" s="127"/>
      <c r="ERZ33" s="127"/>
      <c r="ESA33" s="127"/>
      <c r="ESB33" s="127"/>
      <c r="ESC33" s="127"/>
      <c r="ESD33" s="127"/>
      <c r="ESE33" s="127"/>
      <c r="ESF33" s="127"/>
      <c r="ESG33" s="127"/>
      <c r="ESH33" s="127"/>
      <c r="ESI33" s="127"/>
      <c r="ESJ33" s="127"/>
      <c r="ESK33" s="127"/>
      <c r="ESL33" s="127"/>
      <c r="ESM33" s="127"/>
      <c r="ESN33" s="127"/>
      <c r="ESO33" s="127"/>
      <c r="ESP33" s="127"/>
      <c r="ESQ33" s="127"/>
      <c r="ESR33" s="127"/>
      <c r="ESS33" s="127"/>
      <c r="EST33" s="127"/>
      <c r="ESU33" s="127"/>
      <c r="ESV33" s="127"/>
      <c r="ESW33" s="127"/>
      <c r="ESX33" s="127"/>
      <c r="ESY33" s="127"/>
      <c r="ESZ33" s="127"/>
      <c r="ETA33" s="127"/>
      <c r="ETB33" s="127"/>
      <c r="ETC33" s="127"/>
      <c r="ETD33" s="127"/>
      <c r="ETE33" s="127"/>
      <c r="ETF33" s="127"/>
      <c r="ETG33" s="127"/>
      <c r="ETH33" s="127"/>
      <c r="ETI33" s="127"/>
      <c r="ETJ33" s="127"/>
      <c r="ETK33" s="127"/>
      <c r="ETL33" s="127"/>
      <c r="ETM33" s="127"/>
      <c r="ETN33" s="127"/>
      <c r="ETO33" s="127"/>
      <c r="ETP33" s="127"/>
      <c r="ETQ33" s="127"/>
      <c r="ETR33" s="127"/>
      <c r="ETS33" s="127"/>
      <c r="ETT33" s="127"/>
      <c r="ETU33" s="127"/>
      <c r="ETV33" s="127"/>
      <c r="ETW33" s="127"/>
      <c r="ETX33" s="127"/>
      <c r="ETY33" s="127"/>
      <c r="ETZ33" s="127"/>
      <c r="EUA33" s="127"/>
      <c r="EUB33" s="127"/>
      <c r="EUC33" s="127"/>
      <c r="EUD33" s="127"/>
      <c r="EUE33" s="127"/>
      <c r="EUF33" s="127"/>
      <c r="EUG33" s="127"/>
      <c r="EUH33" s="127"/>
      <c r="EUI33" s="127"/>
      <c r="EUJ33" s="127"/>
      <c r="EUK33" s="127"/>
      <c r="EUL33" s="127"/>
      <c r="EUM33" s="127"/>
      <c r="EUN33" s="127"/>
      <c r="EUO33" s="127"/>
      <c r="EUP33" s="127"/>
      <c r="EUQ33" s="127"/>
      <c r="EUR33" s="127"/>
      <c r="EUS33" s="127"/>
      <c r="EUT33" s="127"/>
      <c r="EUU33" s="127"/>
      <c r="EUV33" s="127"/>
      <c r="EUW33" s="127"/>
      <c r="EUX33" s="127"/>
      <c r="EUY33" s="127"/>
      <c r="EUZ33" s="127"/>
      <c r="EVA33" s="127"/>
      <c r="EVB33" s="127"/>
      <c r="EVC33" s="127"/>
      <c r="EVD33" s="127"/>
      <c r="EVE33" s="127"/>
      <c r="EVF33" s="127"/>
      <c r="EVG33" s="127"/>
      <c r="EVH33" s="127"/>
      <c r="EVI33" s="127"/>
      <c r="EVJ33" s="127"/>
      <c r="EVK33" s="127"/>
      <c r="EVL33" s="127"/>
      <c r="EVM33" s="127"/>
      <c r="EVN33" s="127"/>
      <c r="EVO33" s="127"/>
      <c r="EVP33" s="127"/>
      <c r="EVQ33" s="127"/>
      <c r="EVR33" s="127"/>
      <c r="EVS33" s="127"/>
      <c r="EVT33" s="127"/>
      <c r="EVU33" s="127"/>
      <c r="EVV33" s="127"/>
      <c r="EVW33" s="127"/>
      <c r="EVX33" s="127"/>
      <c r="EVY33" s="127"/>
      <c r="EVZ33" s="127"/>
      <c r="EWA33" s="127"/>
      <c r="EWB33" s="127"/>
      <c r="EWC33" s="127"/>
      <c r="EWD33" s="127"/>
      <c r="EWE33" s="127"/>
      <c r="EWF33" s="127"/>
      <c r="EWG33" s="127"/>
      <c r="EWH33" s="127"/>
      <c r="EWI33" s="127"/>
      <c r="EWJ33" s="127"/>
      <c r="EWK33" s="127"/>
      <c r="EWL33" s="127"/>
      <c r="EWM33" s="127"/>
      <c r="EWN33" s="127"/>
      <c r="EWO33" s="127"/>
      <c r="EWP33" s="127"/>
      <c r="EWQ33" s="127"/>
      <c r="EWR33" s="127"/>
      <c r="EWS33" s="127"/>
      <c r="EWT33" s="127"/>
      <c r="EWU33" s="127"/>
      <c r="EWV33" s="127"/>
      <c r="EWW33" s="127"/>
      <c r="EWX33" s="127"/>
      <c r="EWY33" s="127"/>
      <c r="EWZ33" s="127"/>
      <c r="EXA33" s="127"/>
      <c r="EXB33" s="127"/>
      <c r="EXC33" s="127"/>
      <c r="EXD33" s="127"/>
      <c r="EXE33" s="127"/>
      <c r="EXF33" s="127"/>
      <c r="EXG33" s="127"/>
      <c r="EXH33" s="127"/>
      <c r="EXI33" s="127"/>
      <c r="EXJ33" s="127"/>
      <c r="EXK33" s="127"/>
      <c r="EXL33" s="127"/>
      <c r="EXM33" s="127"/>
      <c r="EXN33" s="127"/>
      <c r="EXO33" s="127"/>
      <c r="EXP33" s="127"/>
      <c r="EXQ33" s="127"/>
      <c r="EXR33" s="127"/>
      <c r="EXS33" s="127"/>
      <c r="EXT33" s="127"/>
      <c r="EXU33" s="127"/>
      <c r="EXV33" s="127"/>
      <c r="EXW33" s="127"/>
      <c r="EXX33" s="127"/>
      <c r="EXY33" s="127"/>
      <c r="EXZ33" s="127"/>
      <c r="EYA33" s="127"/>
      <c r="EYB33" s="127"/>
      <c r="EYC33" s="127"/>
      <c r="EYD33" s="127"/>
      <c r="EYE33" s="127"/>
      <c r="EYF33" s="127"/>
      <c r="EYG33" s="127"/>
      <c r="EYH33" s="127"/>
      <c r="EYI33" s="127"/>
      <c r="EYJ33" s="127"/>
      <c r="EYK33" s="127"/>
      <c r="EYL33" s="127"/>
      <c r="EYM33" s="127"/>
      <c r="EYN33" s="127"/>
      <c r="EYO33" s="127"/>
      <c r="EYP33" s="127"/>
      <c r="EYQ33" s="127"/>
      <c r="EYR33" s="127"/>
      <c r="EYS33" s="127"/>
      <c r="EYT33" s="127"/>
      <c r="EYU33" s="127"/>
      <c r="EYV33" s="127"/>
      <c r="EYW33" s="127"/>
      <c r="EYX33" s="127"/>
      <c r="EYY33" s="127"/>
      <c r="EYZ33" s="127"/>
      <c r="EZA33" s="127"/>
      <c r="EZB33" s="127"/>
      <c r="EZC33" s="127"/>
      <c r="EZD33" s="127"/>
      <c r="EZE33" s="127"/>
      <c r="EZF33" s="127"/>
      <c r="EZG33" s="127"/>
      <c r="EZH33" s="127"/>
      <c r="EZI33" s="127"/>
      <c r="EZJ33" s="127"/>
      <c r="EZK33" s="127"/>
      <c r="EZL33" s="127"/>
      <c r="EZM33" s="127"/>
      <c r="EZN33" s="127"/>
      <c r="EZO33" s="127"/>
      <c r="EZP33" s="127"/>
      <c r="EZQ33" s="127"/>
      <c r="EZR33" s="127"/>
      <c r="EZS33" s="127"/>
      <c r="EZT33" s="127"/>
      <c r="EZU33" s="127"/>
      <c r="EZV33" s="127"/>
      <c r="EZW33" s="127"/>
      <c r="EZX33" s="127"/>
      <c r="EZY33" s="127"/>
      <c r="EZZ33" s="127"/>
      <c r="FAA33" s="127"/>
      <c r="FAB33" s="127"/>
      <c r="FAC33" s="127"/>
      <c r="FAD33" s="127"/>
      <c r="FAE33" s="127"/>
      <c r="FAF33" s="127"/>
      <c r="FAG33" s="127"/>
      <c r="FAH33" s="127"/>
      <c r="FAI33" s="127"/>
      <c r="FAJ33" s="127"/>
      <c r="FAK33" s="127"/>
      <c r="FAL33" s="127"/>
      <c r="FAM33" s="127"/>
      <c r="FAN33" s="127"/>
      <c r="FAO33" s="127"/>
      <c r="FAP33" s="127"/>
      <c r="FAQ33" s="127"/>
      <c r="FAR33" s="127"/>
      <c r="FAS33" s="127"/>
      <c r="FAT33" s="127"/>
      <c r="FAU33" s="127"/>
      <c r="FAV33" s="127"/>
      <c r="FAW33" s="127"/>
      <c r="FAX33" s="127"/>
      <c r="FAY33" s="127"/>
      <c r="FAZ33" s="127"/>
      <c r="FBA33" s="127"/>
      <c r="FBB33" s="127"/>
      <c r="FBC33" s="127"/>
      <c r="FBD33" s="127"/>
      <c r="FBE33" s="127"/>
      <c r="FBF33" s="127"/>
      <c r="FBG33" s="127"/>
      <c r="FBH33" s="127"/>
      <c r="FBI33" s="127"/>
      <c r="FBJ33" s="127"/>
      <c r="FBK33" s="127"/>
      <c r="FBL33" s="127"/>
      <c r="FBM33" s="127"/>
      <c r="FBN33" s="127"/>
      <c r="FBO33" s="127"/>
      <c r="FBP33" s="127"/>
      <c r="FBQ33" s="127"/>
      <c r="FBR33" s="127"/>
      <c r="FBS33" s="127"/>
      <c r="FBT33" s="127"/>
      <c r="FBU33" s="127"/>
      <c r="FBV33" s="127"/>
      <c r="FBW33" s="127"/>
      <c r="FBX33" s="127"/>
      <c r="FBY33" s="127"/>
      <c r="FBZ33" s="127"/>
      <c r="FCA33" s="127"/>
      <c r="FCB33" s="127"/>
      <c r="FCC33" s="127"/>
      <c r="FCD33" s="127"/>
      <c r="FCE33" s="127"/>
      <c r="FCF33" s="127"/>
      <c r="FCG33" s="127"/>
      <c r="FCH33" s="127"/>
      <c r="FCI33" s="127"/>
      <c r="FCJ33" s="127"/>
      <c r="FCK33" s="127"/>
      <c r="FCL33" s="127"/>
      <c r="FCM33" s="127"/>
      <c r="FCN33" s="127"/>
      <c r="FCO33" s="127"/>
      <c r="FCP33" s="127"/>
      <c r="FCQ33" s="127"/>
      <c r="FCR33" s="127"/>
      <c r="FCS33" s="127"/>
      <c r="FCT33" s="127"/>
      <c r="FCU33" s="127"/>
      <c r="FCV33" s="127"/>
      <c r="FCW33" s="127"/>
      <c r="FCX33" s="127"/>
      <c r="FCY33" s="127"/>
      <c r="FCZ33" s="127"/>
      <c r="FDA33" s="127"/>
      <c r="FDB33" s="127"/>
      <c r="FDC33" s="127"/>
      <c r="FDD33" s="127"/>
      <c r="FDE33" s="127"/>
      <c r="FDF33" s="127"/>
      <c r="FDG33" s="127"/>
      <c r="FDH33" s="127"/>
      <c r="FDI33" s="127"/>
      <c r="FDJ33" s="127"/>
      <c r="FDK33" s="127"/>
      <c r="FDL33" s="127"/>
      <c r="FDM33" s="127"/>
      <c r="FDN33" s="127"/>
      <c r="FDO33" s="127"/>
      <c r="FDP33" s="127"/>
      <c r="FDQ33" s="127"/>
      <c r="FDR33" s="127"/>
      <c r="FDS33" s="127"/>
      <c r="FDT33" s="127"/>
      <c r="FDU33" s="127"/>
      <c r="FDV33" s="127"/>
      <c r="FDW33" s="127"/>
      <c r="FDX33" s="127"/>
      <c r="FDY33" s="127"/>
      <c r="FDZ33" s="127"/>
      <c r="FEA33" s="127"/>
      <c r="FEB33" s="127"/>
      <c r="FEC33" s="127"/>
      <c r="FED33" s="127"/>
      <c r="FEE33" s="127"/>
      <c r="FEF33" s="127"/>
      <c r="FEG33" s="127"/>
      <c r="FEH33" s="127"/>
      <c r="FEI33" s="127"/>
      <c r="FEJ33" s="127"/>
      <c r="FEK33" s="127"/>
      <c r="FEL33" s="127"/>
      <c r="FEM33" s="127"/>
      <c r="FEN33" s="127"/>
      <c r="FEO33" s="127"/>
      <c r="FEP33" s="127"/>
      <c r="FEQ33" s="127"/>
      <c r="FER33" s="127"/>
      <c r="FES33" s="127"/>
      <c r="FET33" s="127"/>
      <c r="FEU33" s="127"/>
      <c r="FEV33" s="127"/>
      <c r="FEW33" s="127"/>
      <c r="FEX33" s="127"/>
      <c r="FEY33" s="127"/>
      <c r="FEZ33" s="127"/>
      <c r="FFA33" s="127"/>
      <c r="FFB33" s="127"/>
      <c r="FFC33" s="127"/>
      <c r="FFD33" s="127"/>
      <c r="FFE33" s="127"/>
      <c r="FFF33" s="127"/>
      <c r="FFG33" s="127"/>
      <c r="FFH33" s="127"/>
      <c r="FFI33" s="127"/>
      <c r="FFJ33" s="127"/>
      <c r="FFK33" s="127"/>
      <c r="FFL33" s="127"/>
      <c r="FFM33" s="127"/>
      <c r="FFN33" s="127"/>
      <c r="FFO33" s="127"/>
      <c r="FFP33" s="127"/>
      <c r="FFQ33" s="127"/>
      <c r="FFR33" s="127"/>
      <c r="FFS33" s="127"/>
      <c r="FFT33" s="127"/>
      <c r="FFU33" s="127"/>
      <c r="FFV33" s="127"/>
      <c r="FFW33" s="127"/>
      <c r="FFX33" s="127"/>
      <c r="FFY33" s="127"/>
      <c r="FFZ33" s="127"/>
      <c r="FGA33" s="127"/>
      <c r="FGB33" s="127"/>
      <c r="FGC33" s="127"/>
      <c r="FGD33" s="127"/>
      <c r="FGE33" s="127"/>
      <c r="FGF33" s="127"/>
      <c r="FGG33" s="127"/>
      <c r="FGH33" s="127"/>
      <c r="FGI33" s="127"/>
      <c r="FGJ33" s="127"/>
      <c r="FGK33" s="127"/>
      <c r="FGL33" s="127"/>
      <c r="FGM33" s="127"/>
      <c r="FGN33" s="127"/>
      <c r="FGO33" s="127"/>
      <c r="FGP33" s="127"/>
      <c r="FGQ33" s="127"/>
      <c r="FGR33" s="127"/>
      <c r="FGS33" s="127"/>
      <c r="FGT33" s="127"/>
      <c r="FGU33" s="127"/>
      <c r="FGV33" s="127"/>
      <c r="FGW33" s="127"/>
      <c r="FGX33" s="127"/>
      <c r="FGY33" s="127"/>
      <c r="FGZ33" s="127"/>
      <c r="FHA33" s="127"/>
      <c r="FHB33" s="127"/>
      <c r="FHC33" s="127"/>
      <c r="FHD33" s="127"/>
      <c r="FHE33" s="127"/>
      <c r="FHF33" s="127"/>
      <c r="FHG33" s="127"/>
      <c r="FHH33" s="127"/>
      <c r="FHI33" s="127"/>
      <c r="FHJ33" s="127"/>
      <c r="FHK33" s="127"/>
      <c r="FHL33" s="127"/>
      <c r="FHM33" s="127"/>
      <c r="FHN33" s="127"/>
      <c r="FHO33" s="127"/>
      <c r="FHP33" s="127"/>
      <c r="FHQ33" s="127"/>
      <c r="FHR33" s="127"/>
      <c r="FHS33" s="127"/>
      <c r="FHT33" s="127"/>
      <c r="FHU33" s="127"/>
      <c r="FHV33" s="127"/>
      <c r="FHW33" s="127"/>
      <c r="FHX33" s="127"/>
      <c r="FHY33" s="127"/>
      <c r="FHZ33" s="127"/>
      <c r="FIA33" s="127"/>
      <c r="FIB33" s="127"/>
      <c r="FIC33" s="127"/>
      <c r="FID33" s="127"/>
      <c r="FIE33" s="127"/>
      <c r="FIF33" s="127"/>
      <c r="FIG33" s="127"/>
      <c r="FIH33" s="127"/>
      <c r="FII33" s="127"/>
      <c r="FIJ33" s="127"/>
      <c r="FIK33" s="127"/>
      <c r="FIL33" s="127"/>
      <c r="FIM33" s="127"/>
      <c r="FIN33" s="127"/>
      <c r="FIO33" s="127"/>
      <c r="FIP33" s="127"/>
      <c r="FIQ33" s="127"/>
      <c r="FIR33" s="127"/>
      <c r="FIS33" s="127"/>
      <c r="FIT33" s="127"/>
      <c r="FIU33" s="127"/>
      <c r="FIV33" s="127"/>
      <c r="FIW33" s="127"/>
      <c r="FIX33" s="127"/>
      <c r="FIY33" s="127"/>
      <c r="FIZ33" s="127"/>
      <c r="FJA33" s="127"/>
      <c r="FJB33" s="127"/>
      <c r="FJC33" s="127"/>
      <c r="FJD33" s="127"/>
      <c r="FJE33" s="127"/>
      <c r="FJF33" s="127"/>
      <c r="FJG33" s="127"/>
      <c r="FJH33" s="127"/>
      <c r="FJI33" s="127"/>
      <c r="FJJ33" s="127"/>
      <c r="FJK33" s="127"/>
      <c r="FJL33" s="127"/>
      <c r="FJM33" s="127"/>
      <c r="FJN33" s="127"/>
      <c r="FJO33" s="127"/>
      <c r="FJP33" s="127"/>
      <c r="FJQ33" s="127"/>
      <c r="FJR33" s="127"/>
      <c r="FJS33" s="127"/>
      <c r="FJT33" s="127"/>
      <c r="FJU33" s="127"/>
      <c r="FJV33" s="127"/>
      <c r="FJW33" s="127"/>
      <c r="FJX33" s="127"/>
      <c r="FJY33" s="127"/>
      <c r="FJZ33" s="127"/>
      <c r="FKA33" s="127"/>
      <c r="FKB33" s="127"/>
      <c r="FKC33" s="127"/>
      <c r="FKD33" s="127"/>
      <c r="FKE33" s="127"/>
      <c r="FKF33" s="127"/>
      <c r="FKG33" s="127"/>
      <c r="FKH33" s="127"/>
      <c r="FKI33" s="127"/>
      <c r="FKJ33" s="127"/>
      <c r="FKK33" s="127"/>
      <c r="FKL33" s="127"/>
      <c r="FKM33" s="127"/>
      <c r="FKN33" s="127"/>
      <c r="FKO33" s="127"/>
      <c r="FKP33" s="127"/>
      <c r="FKQ33" s="127"/>
      <c r="FKR33" s="127"/>
      <c r="FKS33" s="127"/>
      <c r="FKT33" s="127"/>
      <c r="FKU33" s="127"/>
      <c r="FKV33" s="127"/>
      <c r="FKW33" s="127"/>
      <c r="FKX33" s="127"/>
      <c r="FKY33" s="127"/>
      <c r="FKZ33" s="127"/>
      <c r="FLA33" s="127"/>
      <c r="FLB33" s="127"/>
      <c r="FLC33" s="127"/>
      <c r="FLD33" s="127"/>
      <c r="FLE33" s="127"/>
      <c r="FLF33" s="127"/>
      <c r="FLG33" s="127"/>
      <c r="FLH33" s="127"/>
      <c r="FLI33" s="127"/>
      <c r="FLJ33" s="127"/>
      <c r="FLK33" s="127"/>
      <c r="FLL33" s="127"/>
      <c r="FLM33" s="127"/>
      <c r="FLN33" s="127"/>
      <c r="FLO33" s="127"/>
      <c r="FLP33" s="127"/>
      <c r="FLQ33" s="127"/>
      <c r="FLR33" s="127"/>
      <c r="FLS33" s="127"/>
      <c r="FLT33" s="127"/>
      <c r="FLU33" s="127"/>
      <c r="FLV33" s="127"/>
      <c r="FLW33" s="127"/>
      <c r="FLX33" s="127"/>
      <c r="FLY33" s="127"/>
      <c r="FLZ33" s="127"/>
      <c r="FMA33" s="127"/>
      <c r="FMB33" s="127"/>
      <c r="FMC33" s="127"/>
      <c r="FMD33" s="127"/>
      <c r="FME33" s="127"/>
      <c r="FMF33" s="127"/>
      <c r="FMG33" s="127"/>
      <c r="FMH33" s="127"/>
      <c r="FMI33" s="127"/>
      <c r="FMJ33" s="127"/>
      <c r="FMK33" s="127"/>
      <c r="FML33" s="127"/>
      <c r="FMM33" s="127"/>
      <c r="FMN33" s="127"/>
      <c r="FMO33" s="127"/>
      <c r="FMP33" s="127"/>
      <c r="FMQ33" s="127"/>
      <c r="FMR33" s="127"/>
      <c r="FMS33" s="127"/>
      <c r="FMT33" s="127"/>
      <c r="FMU33" s="127"/>
      <c r="FMV33" s="127"/>
      <c r="FMW33" s="127"/>
      <c r="FMX33" s="127"/>
      <c r="FMY33" s="127"/>
      <c r="FMZ33" s="127"/>
      <c r="FNA33" s="127"/>
      <c r="FNB33" s="127"/>
      <c r="FNC33" s="127"/>
      <c r="FND33" s="127"/>
      <c r="FNE33" s="127"/>
      <c r="FNF33" s="127"/>
      <c r="FNG33" s="127"/>
      <c r="FNH33" s="127"/>
      <c r="FNI33" s="127"/>
      <c r="FNJ33" s="127"/>
      <c r="FNK33" s="127"/>
      <c r="FNL33" s="127"/>
      <c r="FNM33" s="127"/>
      <c r="FNN33" s="127"/>
      <c r="FNO33" s="127"/>
      <c r="FNP33" s="127"/>
      <c r="FNQ33" s="127"/>
      <c r="FNR33" s="127"/>
      <c r="FNS33" s="127"/>
      <c r="FNT33" s="127"/>
      <c r="FNU33" s="127"/>
      <c r="FNV33" s="127"/>
      <c r="FNW33" s="127"/>
      <c r="FNX33" s="127"/>
      <c r="FNY33" s="127"/>
      <c r="FNZ33" s="127"/>
      <c r="FOA33" s="127"/>
      <c r="FOB33" s="127"/>
      <c r="FOC33" s="127"/>
      <c r="FOD33" s="127"/>
      <c r="FOE33" s="127"/>
      <c r="FOF33" s="127"/>
      <c r="FOG33" s="127"/>
      <c r="FOH33" s="127"/>
      <c r="FOI33" s="127"/>
      <c r="FOJ33" s="127"/>
      <c r="FOK33" s="127"/>
      <c r="FOL33" s="127"/>
      <c r="FOM33" s="127"/>
      <c r="FON33" s="127"/>
      <c r="FOO33" s="127"/>
      <c r="FOP33" s="127"/>
      <c r="FOQ33" s="127"/>
      <c r="FOR33" s="127"/>
      <c r="FOS33" s="127"/>
      <c r="FOT33" s="127"/>
      <c r="FOU33" s="127"/>
      <c r="FOV33" s="127"/>
      <c r="FOW33" s="127"/>
      <c r="FOX33" s="127"/>
      <c r="FOY33" s="127"/>
      <c r="FOZ33" s="127"/>
      <c r="FPA33" s="127"/>
      <c r="FPB33" s="127"/>
      <c r="FPC33" s="127"/>
      <c r="FPD33" s="127"/>
      <c r="FPE33" s="127"/>
      <c r="FPF33" s="127"/>
      <c r="FPG33" s="127"/>
      <c r="FPH33" s="127"/>
      <c r="FPI33" s="127"/>
      <c r="FPJ33" s="127"/>
      <c r="FPK33" s="127"/>
      <c r="FPL33" s="127"/>
      <c r="FPM33" s="127"/>
      <c r="FPN33" s="127"/>
      <c r="FPO33" s="127"/>
      <c r="FPP33" s="127"/>
      <c r="FPQ33" s="127"/>
      <c r="FPR33" s="127"/>
      <c r="FPS33" s="127"/>
      <c r="FPT33" s="127"/>
      <c r="FPU33" s="127"/>
      <c r="FPV33" s="127"/>
      <c r="FPW33" s="127"/>
      <c r="FPX33" s="127"/>
      <c r="FPY33" s="127"/>
      <c r="FPZ33" s="127"/>
      <c r="FQA33" s="127"/>
      <c r="FQB33" s="127"/>
      <c r="FQC33" s="127"/>
      <c r="FQD33" s="127"/>
      <c r="FQE33" s="127"/>
      <c r="FQF33" s="127"/>
      <c r="FQG33" s="127"/>
      <c r="FQH33" s="127"/>
      <c r="FQI33" s="127"/>
      <c r="FQJ33" s="127"/>
      <c r="FQK33" s="127"/>
      <c r="FQL33" s="127"/>
      <c r="FQM33" s="127"/>
      <c r="FQN33" s="127"/>
      <c r="FQO33" s="127"/>
      <c r="FQP33" s="127"/>
      <c r="FQQ33" s="127"/>
      <c r="FQR33" s="127"/>
      <c r="FQS33" s="127"/>
      <c r="FQT33" s="127"/>
      <c r="FQU33" s="127"/>
      <c r="FQV33" s="127"/>
      <c r="FQW33" s="127"/>
      <c r="FQX33" s="127"/>
      <c r="FQY33" s="127"/>
      <c r="FQZ33" s="127"/>
      <c r="FRA33" s="127"/>
      <c r="FRB33" s="127"/>
      <c r="FRC33" s="127"/>
      <c r="FRD33" s="127"/>
      <c r="FRE33" s="127"/>
      <c r="FRF33" s="127"/>
      <c r="FRG33" s="127"/>
      <c r="FRH33" s="127"/>
      <c r="FRI33" s="127"/>
      <c r="FRJ33" s="127"/>
      <c r="FRK33" s="127"/>
      <c r="FRL33" s="127"/>
      <c r="FRM33" s="127"/>
      <c r="FRN33" s="127"/>
      <c r="FRO33" s="127"/>
      <c r="FRP33" s="127"/>
      <c r="FRQ33" s="127"/>
      <c r="FRR33" s="127"/>
      <c r="FRS33" s="127"/>
      <c r="FRT33" s="127"/>
      <c r="FRU33" s="127"/>
      <c r="FRV33" s="127"/>
      <c r="FRW33" s="127"/>
      <c r="FRX33" s="127"/>
      <c r="FRY33" s="127"/>
      <c r="FRZ33" s="127"/>
      <c r="FSA33" s="127"/>
      <c r="FSB33" s="127"/>
      <c r="FSC33" s="127"/>
      <c r="FSD33" s="127"/>
      <c r="FSE33" s="127"/>
      <c r="FSF33" s="127"/>
      <c r="FSG33" s="127"/>
      <c r="FSH33" s="127"/>
      <c r="FSI33" s="127"/>
      <c r="FSJ33" s="127"/>
      <c r="FSK33" s="127"/>
      <c r="FSL33" s="127"/>
      <c r="FSM33" s="127"/>
      <c r="FSN33" s="127"/>
      <c r="FSO33" s="127"/>
      <c r="FSP33" s="127"/>
      <c r="FSQ33" s="127"/>
      <c r="FSR33" s="127"/>
      <c r="FSS33" s="127"/>
      <c r="FST33" s="127"/>
      <c r="FSU33" s="127"/>
      <c r="FSV33" s="127"/>
      <c r="FSW33" s="127"/>
      <c r="FSX33" s="127"/>
      <c r="FSY33" s="127"/>
      <c r="FSZ33" s="127"/>
      <c r="FTA33" s="127"/>
      <c r="FTB33" s="127"/>
      <c r="FTC33" s="127"/>
      <c r="FTD33" s="127"/>
      <c r="FTE33" s="127"/>
      <c r="FTF33" s="127"/>
      <c r="FTG33" s="127"/>
      <c r="FTH33" s="127"/>
      <c r="FTI33" s="127"/>
      <c r="FTJ33" s="127"/>
      <c r="FTK33" s="127"/>
      <c r="FTL33" s="127"/>
      <c r="FTM33" s="127"/>
      <c r="FTN33" s="127"/>
      <c r="FTO33" s="127"/>
      <c r="FTP33" s="127"/>
      <c r="FTQ33" s="127"/>
      <c r="FTR33" s="127"/>
      <c r="FTS33" s="127"/>
      <c r="FTT33" s="127"/>
      <c r="FTU33" s="127"/>
      <c r="FTV33" s="127"/>
      <c r="FTW33" s="127"/>
      <c r="FTX33" s="127"/>
      <c r="FTY33" s="127"/>
      <c r="FTZ33" s="127"/>
      <c r="FUA33" s="127"/>
      <c r="FUB33" s="127"/>
      <c r="FUC33" s="127"/>
      <c r="FUD33" s="127"/>
      <c r="FUE33" s="127"/>
      <c r="FUF33" s="127"/>
      <c r="FUG33" s="127"/>
      <c r="FUH33" s="127"/>
      <c r="FUI33" s="127"/>
      <c r="FUJ33" s="127"/>
      <c r="FUK33" s="127"/>
      <c r="FUL33" s="127"/>
      <c r="FUM33" s="127"/>
      <c r="FUN33" s="127"/>
      <c r="FUO33" s="127"/>
      <c r="FUP33" s="127"/>
      <c r="FUQ33" s="127"/>
      <c r="FUR33" s="127"/>
      <c r="FUS33" s="127"/>
      <c r="FUT33" s="127"/>
      <c r="FUU33" s="127"/>
      <c r="FUV33" s="127"/>
      <c r="FUW33" s="127"/>
      <c r="FUX33" s="127"/>
      <c r="FUY33" s="127"/>
      <c r="FUZ33" s="127"/>
      <c r="FVA33" s="127"/>
      <c r="FVB33" s="127"/>
      <c r="FVC33" s="127"/>
      <c r="FVD33" s="127"/>
      <c r="FVE33" s="127"/>
      <c r="FVF33" s="127"/>
      <c r="FVG33" s="127"/>
      <c r="FVH33" s="127"/>
      <c r="FVI33" s="127"/>
      <c r="FVJ33" s="127"/>
      <c r="FVK33" s="127"/>
      <c r="FVL33" s="127"/>
      <c r="FVM33" s="127"/>
      <c r="FVN33" s="127"/>
      <c r="FVO33" s="127"/>
      <c r="FVP33" s="127"/>
      <c r="FVQ33" s="127"/>
      <c r="FVR33" s="127"/>
      <c r="FVS33" s="127"/>
      <c r="FVT33" s="127"/>
      <c r="FVU33" s="127"/>
      <c r="FVV33" s="127"/>
      <c r="FVW33" s="127"/>
      <c r="FVX33" s="127"/>
      <c r="FVY33" s="127"/>
      <c r="FVZ33" s="127"/>
      <c r="FWA33" s="127"/>
      <c r="FWB33" s="127"/>
      <c r="FWC33" s="127"/>
      <c r="FWD33" s="127"/>
      <c r="FWE33" s="127"/>
      <c r="FWF33" s="127"/>
      <c r="FWG33" s="127"/>
      <c r="FWH33" s="127"/>
      <c r="FWI33" s="127"/>
      <c r="FWJ33" s="127"/>
      <c r="FWK33" s="127"/>
      <c r="FWL33" s="127"/>
      <c r="FWM33" s="127"/>
      <c r="FWN33" s="127"/>
      <c r="FWO33" s="127"/>
      <c r="FWP33" s="127"/>
      <c r="FWQ33" s="127"/>
      <c r="FWR33" s="127"/>
      <c r="FWS33" s="127"/>
      <c r="FWT33" s="127"/>
      <c r="FWU33" s="127"/>
      <c r="FWV33" s="127"/>
      <c r="FWW33" s="127"/>
      <c r="FWX33" s="127"/>
      <c r="FWY33" s="127"/>
      <c r="FWZ33" s="127"/>
      <c r="FXA33" s="127"/>
      <c r="FXB33" s="127"/>
      <c r="FXC33" s="127"/>
      <c r="FXD33" s="127"/>
      <c r="FXE33" s="127"/>
      <c r="FXF33" s="127"/>
      <c r="FXG33" s="127"/>
      <c r="FXH33" s="127"/>
      <c r="FXI33" s="127"/>
      <c r="FXJ33" s="127"/>
      <c r="FXK33" s="127"/>
      <c r="FXL33" s="127"/>
      <c r="FXM33" s="127"/>
      <c r="FXN33" s="127"/>
      <c r="FXO33" s="127"/>
      <c r="FXP33" s="127"/>
      <c r="FXQ33" s="127"/>
      <c r="FXR33" s="127"/>
      <c r="FXS33" s="127"/>
      <c r="FXT33" s="127"/>
      <c r="FXU33" s="127"/>
      <c r="FXV33" s="127"/>
      <c r="FXW33" s="127"/>
      <c r="FXX33" s="127"/>
      <c r="FXY33" s="127"/>
      <c r="FXZ33" s="127"/>
      <c r="FYA33" s="127"/>
      <c r="FYB33" s="127"/>
      <c r="FYC33" s="127"/>
      <c r="FYD33" s="127"/>
      <c r="FYE33" s="127"/>
      <c r="FYF33" s="127"/>
      <c r="FYG33" s="127"/>
      <c r="FYH33" s="127"/>
      <c r="FYI33" s="127"/>
      <c r="FYJ33" s="127"/>
      <c r="FYK33" s="127"/>
      <c r="FYL33" s="127"/>
      <c r="FYM33" s="127"/>
      <c r="FYN33" s="127"/>
      <c r="FYO33" s="127"/>
      <c r="FYP33" s="127"/>
      <c r="FYQ33" s="127"/>
      <c r="FYR33" s="127"/>
      <c r="FYS33" s="127"/>
      <c r="FYT33" s="127"/>
      <c r="FYU33" s="127"/>
      <c r="FYV33" s="127"/>
      <c r="FYW33" s="127"/>
      <c r="FYX33" s="127"/>
      <c r="FYY33" s="127"/>
      <c r="FYZ33" s="127"/>
      <c r="FZA33" s="127"/>
      <c r="FZB33" s="127"/>
      <c r="FZC33" s="127"/>
      <c r="FZD33" s="127"/>
      <c r="FZE33" s="127"/>
      <c r="FZF33" s="127"/>
      <c r="FZG33" s="127"/>
      <c r="FZH33" s="127"/>
      <c r="FZI33" s="127"/>
      <c r="FZJ33" s="127"/>
      <c r="FZK33" s="127"/>
      <c r="FZL33" s="127"/>
      <c r="FZM33" s="127"/>
      <c r="FZN33" s="127"/>
      <c r="FZO33" s="127"/>
      <c r="FZP33" s="127"/>
      <c r="FZQ33" s="127"/>
      <c r="FZR33" s="127"/>
      <c r="FZS33" s="127"/>
      <c r="FZT33" s="127"/>
      <c r="FZU33" s="127"/>
      <c r="FZV33" s="127"/>
      <c r="FZW33" s="127"/>
      <c r="FZX33" s="127"/>
      <c r="FZY33" s="127"/>
      <c r="FZZ33" s="127"/>
      <c r="GAA33" s="127"/>
      <c r="GAB33" s="127"/>
      <c r="GAC33" s="127"/>
      <c r="GAD33" s="127"/>
      <c r="GAE33" s="127"/>
      <c r="GAF33" s="127"/>
      <c r="GAG33" s="127"/>
      <c r="GAH33" s="127"/>
      <c r="GAI33" s="127"/>
      <c r="GAJ33" s="127"/>
      <c r="GAK33" s="127"/>
      <c r="GAL33" s="127"/>
      <c r="GAM33" s="127"/>
      <c r="GAN33" s="127"/>
      <c r="GAO33" s="127"/>
      <c r="GAP33" s="127"/>
      <c r="GAQ33" s="127"/>
      <c r="GAR33" s="127"/>
      <c r="GAS33" s="127"/>
      <c r="GAT33" s="127"/>
      <c r="GAU33" s="127"/>
      <c r="GAV33" s="127"/>
      <c r="GAW33" s="127"/>
      <c r="GAX33" s="127"/>
      <c r="GAY33" s="127"/>
      <c r="GAZ33" s="127"/>
      <c r="GBA33" s="127"/>
      <c r="GBB33" s="127"/>
      <c r="GBC33" s="127"/>
      <c r="GBD33" s="127"/>
      <c r="GBE33" s="127"/>
      <c r="GBF33" s="127"/>
      <c r="GBG33" s="127"/>
      <c r="GBH33" s="127"/>
      <c r="GBI33" s="127"/>
      <c r="GBJ33" s="127"/>
      <c r="GBK33" s="127"/>
      <c r="GBL33" s="127"/>
      <c r="GBM33" s="127"/>
      <c r="GBN33" s="127"/>
      <c r="GBO33" s="127"/>
      <c r="GBP33" s="127"/>
      <c r="GBQ33" s="127"/>
      <c r="GBR33" s="127"/>
      <c r="GBS33" s="127"/>
      <c r="GBT33" s="127"/>
      <c r="GBU33" s="127"/>
      <c r="GBV33" s="127"/>
      <c r="GBW33" s="127"/>
      <c r="GBX33" s="127"/>
      <c r="GBY33" s="127"/>
      <c r="GBZ33" s="127"/>
      <c r="GCA33" s="127"/>
      <c r="GCB33" s="127"/>
      <c r="GCC33" s="127"/>
      <c r="GCD33" s="127"/>
      <c r="GCE33" s="127"/>
      <c r="GCF33" s="127"/>
      <c r="GCG33" s="127"/>
      <c r="GCH33" s="127"/>
      <c r="GCI33" s="127"/>
      <c r="GCJ33" s="127"/>
      <c r="GCK33" s="127"/>
      <c r="GCL33" s="127"/>
      <c r="GCM33" s="127"/>
      <c r="GCN33" s="127"/>
      <c r="GCO33" s="127"/>
      <c r="GCP33" s="127"/>
      <c r="GCQ33" s="127"/>
      <c r="GCR33" s="127"/>
      <c r="GCS33" s="127"/>
      <c r="GCT33" s="127"/>
      <c r="GCU33" s="127"/>
      <c r="GCV33" s="127"/>
      <c r="GCW33" s="127"/>
      <c r="GCX33" s="127"/>
      <c r="GCY33" s="127"/>
      <c r="GCZ33" s="127"/>
      <c r="GDA33" s="127"/>
      <c r="GDB33" s="127"/>
      <c r="GDC33" s="127"/>
      <c r="GDD33" s="127"/>
      <c r="GDE33" s="127"/>
      <c r="GDF33" s="127"/>
      <c r="GDG33" s="127"/>
      <c r="GDH33" s="127"/>
      <c r="GDI33" s="127"/>
      <c r="GDJ33" s="127"/>
      <c r="GDK33" s="127"/>
      <c r="GDL33" s="127"/>
      <c r="GDM33" s="127"/>
      <c r="GDN33" s="127"/>
      <c r="GDO33" s="127"/>
      <c r="GDP33" s="127"/>
      <c r="GDQ33" s="127"/>
      <c r="GDR33" s="127"/>
      <c r="GDS33" s="127"/>
      <c r="GDT33" s="127"/>
      <c r="GDU33" s="127"/>
      <c r="GDV33" s="127"/>
      <c r="GDW33" s="127"/>
      <c r="GDX33" s="127"/>
      <c r="GDY33" s="127"/>
      <c r="GDZ33" s="127"/>
      <c r="GEA33" s="127"/>
      <c r="GEB33" s="127"/>
      <c r="GEC33" s="127"/>
      <c r="GED33" s="127"/>
      <c r="GEE33" s="127"/>
      <c r="GEF33" s="127"/>
      <c r="GEG33" s="127"/>
      <c r="GEH33" s="127"/>
      <c r="GEI33" s="127"/>
      <c r="GEJ33" s="127"/>
      <c r="GEK33" s="127"/>
      <c r="GEL33" s="127"/>
      <c r="GEM33" s="127"/>
      <c r="GEN33" s="127"/>
      <c r="GEO33" s="127"/>
      <c r="GEP33" s="127"/>
      <c r="GEQ33" s="127"/>
      <c r="GER33" s="127"/>
      <c r="GES33" s="127"/>
      <c r="GET33" s="127"/>
      <c r="GEU33" s="127"/>
      <c r="GEV33" s="127"/>
      <c r="GEW33" s="127"/>
      <c r="GEX33" s="127"/>
      <c r="GEY33" s="127"/>
      <c r="GEZ33" s="127"/>
      <c r="GFA33" s="127"/>
      <c r="GFB33" s="127"/>
      <c r="GFC33" s="127"/>
      <c r="GFD33" s="127"/>
      <c r="GFE33" s="127"/>
      <c r="GFF33" s="127"/>
      <c r="GFG33" s="127"/>
      <c r="GFH33" s="127"/>
      <c r="GFI33" s="127"/>
      <c r="GFJ33" s="127"/>
      <c r="GFK33" s="127"/>
      <c r="GFL33" s="127"/>
      <c r="GFM33" s="127"/>
      <c r="GFN33" s="127"/>
      <c r="GFO33" s="127"/>
      <c r="GFP33" s="127"/>
      <c r="GFQ33" s="127"/>
      <c r="GFR33" s="127"/>
      <c r="GFS33" s="127"/>
      <c r="GFT33" s="127"/>
      <c r="GFU33" s="127"/>
      <c r="GFV33" s="127"/>
      <c r="GFW33" s="127"/>
      <c r="GFX33" s="127"/>
      <c r="GFY33" s="127"/>
      <c r="GFZ33" s="127"/>
      <c r="GGA33" s="127"/>
      <c r="GGB33" s="127"/>
      <c r="GGC33" s="127"/>
      <c r="GGD33" s="127"/>
      <c r="GGE33" s="127"/>
      <c r="GGF33" s="127"/>
      <c r="GGG33" s="127"/>
      <c r="GGH33" s="127"/>
      <c r="GGI33" s="127"/>
      <c r="GGJ33" s="127"/>
      <c r="GGK33" s="127"/>
      <c r="GGL33" s="127"/>
      <c r="GGM33" s="127"/>
      <c r="GGN33" s="127"/>
      <c r="GGO33" s="127"/>
      <c r="GGP33" s="127"/>
      <c r="GGQ33" s="127"/>
      <c r="GGR33" s="127"/>
      <c r="GGS33" s="127"/>
      <c r="GGT33" s="127"/>
      <c r="GGU33" s="127"/>
      <c r="GGV33" s="127"/>
      <c r="GGW33" s="127"/>
      <c r="GGX33" s="127"/>
      <c r="GGY33" s="127"/>
      <c r="GGZ33" s="127"/>
      <c r="GHA33" s="127"/>
      <c r="GHB33" s="127"/>
      <c r="GHC33" s="127"/>
      <c r="GHD33" s="127"/>
      <c r="GHE33" s="127"/>
      <c r="GHF33" s="127"/>
      <c r="GHG33" s="127"/>
      <c r="GHH33" s="127"/>
      <c r="GHI33" s="127"/>
      <c r="GHJ33" s="127"/>
      <c r="GHK33" s="127"/>
      <c r="GHL33" s="127"/>
      <c r="GHM33" s="127"/>
      <c r="GHN33" s="127"/>
      <c r="GHO33" s="127"/>
      <c r="GHP33" s="127"/>
      <c r="GHQ33" s="127"/>
      <c r="GHR33" s="127"/>
      <c r="GHS33" s="127"/>
      <c r="GHT33" s="127"/>
      <c r="GHU33" s="127"/>
      <c r="GHV33" s="127"/>
      <c r="GHW33" s="127"/>
      <c r="GHX33" s="127"/>
      <c r="GHY33" s="127"/>
      <c r="GHZ33" s="127"/>
      <c r="GIA33" s="127"/>
      <c r="GIB33" s="127"/>
      <c r="GIC33" s="127"/>
      <c r="GID33" s="127"/>
      <c r="GIE33" s="127"/>
      <c r="GIF33" s="127"/>
      <c r="GIG33" s="127"/>
      <c r="GIH33" s="127"/>
      <c r="GII33" s="127"/>
      <c r="GIJ33" s="127"/>
      <c r="GIK33" s="127"/>
      <c r="GIL33" s="127"/>
      <c r="GIM33" s="127"/>
      <c r="GIN33" s="127"/>
      <c r="GIO33" s="127"/>
      <c r="GIP33" s="127"/>
      <c r="GIQ33" s="127"/>
      <c r="GIR33" s="127"/>
      <c r="GIS33" s="127"/>
      <c r="GIT33" s="127"/>
      <c r="GIU33" s="127"/>
      <c r="GIV33" s="127"/>
      <c r="GIW33" s="127"/>
      <c r="GIX33" s="127"/>
      <c r="GIY33" s="127"/>
      <c r="GIZ33" s="127"/>
      <c r="GJA33" s="127"/>
      <c r="GJB33" s="127"/>
      <c r="GJC33" s="127"/>
      <c r="GJD33" s="127"/>
      <c r="GJE33" s="127"/>
      <c r="GJF33" s="127"/>
      <c r="GJG33" s="127"/>
      <c r="GJH33" s="127"/>
      <c r="GJI33" s="127"/>
      <c r="GJJ33" s="127"/>
      <c r="GJK33" s="127"/>
      <c r="GJL33" s="127"/>
      <c r="GJM33" s="127"/>
      <c r="GJN33" s="127"/>
      <c r="GJO33" s="127"/>
      <c r="GJP33" s="127"/>
      <c r="GJQ33" s="127"/>
      <c r="GJR33" s="127"/>
      <c r="GJS33" s="127"/>
      <c r="GJT33" s="127"/>
      <c r="GJU33" s="127"/>
      <c r="GJV33" s="127"/>
      <c r="GJW33" s="127"/>
      <c r="GJX33" s="127"/>
      <c r="GJY33" s="127"/>
      <c r="GJZ33" s="127"/>
      <c r="GKA33" s="127"/>
      <c r="GKB33" s="127"/>
      <c r="GKC33" s="127"/>
      <c r="GKD33" s="127"/>
      <c r="GKE33" s="127"/>
      <c r="GKF33" s="127"/>
      <c r="GKG33" s="127"/>
      <c r="GKH33" s="127"/>
      <c r="GKI33" s="127"/>
      <c r="GKJ33" s="127"/>
      <c r="GKK33" s="127"/>
      <c r="GKL33" s="127"/>
      <c r="GKM33" s="127"/>
      <c r="GKN33" s="127"/>
      <c r="GKO33" s="127"/>
      <c r="GKP33" s="127"/>
      <c r="GKQ33" s="127"/>
      <c r="GKR33" s="127"/>
      <c r="GKS33" s="127"/>
      <c r="GKT33" s="127"/>
      <c r="GKU33" s="127"/>
      <c r="GKV33" s="127"/>
      <c r="GKW33" s="127"/>
      <c r="GKX33" s="127"/>
      <c r="GKY33" s="127"/>
      <c r="GKZ33" s="127"/>
      <c r="GLA33" s="127"/>
      <c r="GLB33" s="127"/>
      <c r="GLC33" s="127"/>
      <c r="GLD33" s="127"/>
      <c r="GLE33" s="127"/>
      <c r="GLF33" s="127"/>
      <c r="GLG33" s="127"/>
      <c r="GLH33" s="127"/>
      <c r="GLI33" s="127"/>
      <c r="GLJ33" s="127"/>
      <c r="GLK33" s="127"/>
      <c r="GLL33" s="127"/>
      <c r="GLM33" s="127"/>
      <c r="GLN33" s="127"/>
      <c r="GLO33" s="127"/>
      <c r="GLP33" s="127"/>
      <c r="GLQ33" s="127"/>
      <c r="GLR33" s="127"/>
      <c r="GLS33" s="127"/>
      <c r="GLT33" s="127"/>
      <c r="GLU33" s="127"/>
      <c r="GLV33" s="127"/>
      <c r="GLW33" s="127"/>
      <c r="GLX33" s="127"/>
      <c r="GLY33" s="127"/>
      <c r="GLZ33" s="127"/>
      <c r="GMA33" s="127"/>
      <c r="GMB33" s="127"/>
      <c r="GMC33" s="127"/>
      <c r="GMD33" s="127"/>
      <c r="GME33" s="127"/>
      <c r="GMF33" s="127"/>
      <c r="GMG33" s="127"/>
      <c r="GMH33" s="127"/>
      <c r="GMI33" s="127"/>
      <c r="GMJ33" s="127"/>
      <c r="GMK33" s="127"/>
      <c r="GML33" s="127"/>
      <c r="GMM33" s="127"/>
      <c r="GMN33" s="127"/>
      <c r="GMO33" s="127"/>
      <c r="GMP33" s="127"/>
      <c r="GMQ33" s="127"/>
      <c r="GMR33" s="127"/>
      <c r="GMS33" s="127"/>
      <c r="GMT33" s="127"/>
      <c r="GMU33" s="127"/>
      <c r="GMV33" s="127"/>
      <c r="GMW33" s="127"/>
      <c r="GMX33" s="127"/>
      <c r="GMY33" s="127"/>
      <c r="GMZ33" s="127"/>
      <c r="GNA33" s="127"/>
      <c r="GNB33" s="127"/>
      <c r="GNC33" s="127"/>
      <c r="GND33" s="127"/>
      <c r="GNE33" s="127"/>
      <c r="GNF33" s="127"/>
      <c r="GNG33" s="127"/>
      <c r="GNH33" s="127"/>
      <c r="GNI33" s="127"/>
      <c r="GNJ33" s="127"/>
      <c r="GNK33" s="127"/>
      <c r="GNL33" s="127"/>
      <c r="GNM33" s="127"/>
      <c r="GNN33" s="127"/>
      <c r="GNO33" s="127"/>
      <c r="GNP33" s="127"/>
      <c r="GNQ33" s="127"/>
      <c r="GNR33" s="127"/>
      <c r="GNS33" s="127"/>
      <c r="GNT33" s="127"/>
      <c r="GNU33" s="127"/>
      <c r="GNV33" s="127"/>
      <c r="GNW33" s="127"/>
      <c r="GNX33" s="127"/>
      <c r="GNY33" s="127"/>
      <c r="GNZ33" s="127"/>
      <c r="GOA33" s="127"/>
      <c r="GOB33" s="127"/>
      <c r="GOC33" s="127"/>
      <c r="GOD33" s="127"/>
      <c r="GOE33" s="127"/>
      <c r="GOF33" s="127"/>
      <c r="GOG33" s="127"/>
      <c r="GOH33" s="127"/>
      <c r="GOI33" s="127"/>
      <c r="GOJ33" s="127"/>
      <c r="GOK33" s="127"/>
      <c r="GOL33" s="127"/>
      <c r="GOM33" s="127"/>
      <c r="GON33" s="127"/>
      <c r="GOO33" s="127"/>
      <c r="GOP33" s="127"/>
      <c r="GOQ33" s="127"/>
      <c r="GOR33" s="127"/>
      <c r="GOS33" s="127"/>
      <c r="GOT33" s="127"/>
      <c r="GOU33" s="127"/>
      <c r="GOV33" s="127"/>
      <c r="GOW33" s="127"/>
      <c r="GOX33" s="127"/>
      <c r="GOY33" s="127"/>
      <c r="GOZ33" s="127"/>
      <c r="GPA33" s="127"/>
      <c r="GPB33" s="127"/>
      <c r="GPC33" s="127"/>
      <c r="GPD33" s="127"/>
      <c r="GPE33" s="127"/>
      <c r="GPF33" s="127"/>
      <c r="GPG33" s="127"/>
      <c r="GPH33" s="127"/>
      <c r="GPI33" s="127"/>
      <c r="GPJ33" s="127"/>
      <c r="GPK33" s="127"/>
      <c r="GPL33" s="127"/>
      <c r="GPM33" s="127"/>
      <c r="GPN33" s="127"/>
      <c r="GPO33" s="127"/>
      <c r="GPP33" s="127"/>
      <c r="GPQ33" s="127"/>
      <c r="GPR33" s="127"/>
      <c r="GPS33" s="127"/>
      <c r="GPT33" s="127"/>
      <c r="GPU33" s="127"/>
      <c r="GPV33" s="127"/>
      <c r="GPW33" s="127"/>
      <c r="GPX33" s="127"/>
      <c r="GPY33" s="127"/>
      <c r="GPZ33" s="127"/>
      <c r="GQA33" s="127"/>
      <c r="GQB33" s="127"/>
      <c r="GQC33" s="127"/>
      <c r="GQD33" s="127"/>
      <c r="GQE33" s="127"/>
      <c r="GQF33" s="127"/>
      <c r="GQG33" s="127"/>
      <c r="GQH33" s="127"/>
      <c r="GQI33" s="127"/>
      <c r="GQJ33" s="127"/>
      <c r="GQK33" s="127"/>
      <c r="GQL33" s="127"/>
      <c r="GQM33" s="127"/>
      <c r="GQN33" s="127"/>
      <c r="GQO33" s="127"/>
      <c r="GQP33" s="127"/>
      <c r="GQQ33" s="127"/>
      <c r="GQR33" s="127"/>
      <c r="GQS33" s="127"/>
      <c r="GQT33" s="127"/>
      <c r="GQU33" s="127"/>
      <c r="GQV33" s="127"/>
      <c r="GQW33" s="127"/>
      <c r="GQX33" s="127"/>
      <c r="GQY33" s="127"/>
      <c r="GQZ33" s="127"/>
      <c r="GRA33" s="127"/>
      <c r="GRB33" s="127"/>
      <c r="GRC33" s="127"/>
      <c r="GRD33" s="127"/>
      <c r="GRE33" s="127"/>
      <c r="GRF33" s="127"/>
      <c r="GRG33" s="127"/>
      <c r="GRH33" s="127"/>
      <c r="GRI33" s="127"/>
      <c r="GRJ33" s="127"/>
      <c r="GRK33" s="127"/>
      <c r="GRL33" s="127"/>
      <c r="GRM33" s="127"/>
      <c r="GRN33" s="127"/>
      <c r="GRO33" s="127"/>
      <c r="GRP33" s="127"/>
      <c r="GRQ33" s="127"/>
      <c r="GRR33" s="127"/>
      <c r="GRS33" s="127"/>
      <c r="GRT33" s="127"/>
      <c r="GRU33" s="127"/>
      <c r="GRV33" s="127"/>
      <c r="GRW33" s="127"/>
      <c r="GRX33" s="127"/>
      <c r="GRY33" s="127"/>
      <c r="GRZ33" s="127"/>
      <c r="GSA33" s="127"/>
      <c r="GSB33" s="127"/>
      <c r="GSC33" s="127"/>
      <c r="GSD33" s="127"/>
      <c r="GSE33" s="127"/>
      <c r="GSF33" s="127"/>
      <c r="GSG33" s="127"/>
      <c r="GSH33" s="127"/>
      <c r="GSI33" s="127"/>
      <c r="GSJ33" s="127"/>
      <c r="GSK33" s="127"/>
      <c r="GSL33" s="127"/>
      <c r="GSM33" s="127"/>
      <c r="GSN33" s="127"/>
      <c r="GSO33" s="127"/>
      <c r="GSP33" s="127"/>
      <c r="GSQ33" s="127"/>
      <c r="GSR33" s="127"/>
      <c r="GSS33" s="127"/>
      <c r="GST33" s="127"/>
      <c r="GSU33" s="127"/>
      <c r="GSV33" s="127"/>
      <c r="GSW33" s="127"/>
      <c r="GSX33" s="127"/>
      <c r="GSY33" s="127"/>
      <c r="GSZ33" s="127"/>
      <c r="GTA33" s="127"/>
      <c r="GTB33" s="127"/>
      <c r="GTC33" s="127"/>
      <c r="GTD33" s="127"/>
      <c r="GTE33" s="127"/>
      <c r="GTF33" s="127"/>
      <c r="GTG33" s="127"/>
      <c r="GTH33" s="127"/>
      <c r="GTI33" s="127"/>
      <c r="GTJ33" s="127"/>
      <c r="GTK33" s="127"/>
      <c r="GTL33" s="127"/>
      <c r="GTM33" s="127"/>
      <c r="GTN33" s="127"/>
      <c r="GTO33" s="127"/>
      <c r="GTP33" s="127"/>
      <c r="GTQ33" s="127"/>
      <c r="GTR33" s="127"/>
      <c r="GTS33" s="127"/>
      <c r="GTT33" s="127"/>
      <c r="GTU33" s="127"/>
      <c r="GTV33" s="127"/>
      <c r="GTW33" s="127"/>
      <c r="GTX33" s="127"/>
      <c r="GTY33" s="127"/>
      <c r="GTZ33" s="127"/>
      <c r="GUA33" s="127"/>
      <c r="GUB33" s="127"/>
      <c r="GUC33" s="127"/>
      <c r="GUD33" s="127"/>
      <c r="GUE33" s="127"/>
      <c r="GUF33" s="127"/>
      <c r="GUG33" s="127"/>
      <c r="GUH33" s="127"/>
      <c r="GUI33" s="127"/>
      <c r="GUJ33" s="127"/>
      <c r="GUK33" s="127"/>
      <c r="GUL33" s="127"/>
      <c r="GUM33" s="127"/>
      <c r="GUN33" s="127"/>
      <c r="GUO33" s="127"/>
      <c r="GUP33" s="127"/>
      <c r="GUQ33" s="127"/>
      <c r="GUR33" s="127"/>
      <c r="GUS33" s="127"/>
      <c r="GUT33" s="127"/>
      <c r="GUU33" s="127"/>
      <c r="GUV33" s="127"/>
      <c r="GUW33" s="127"/>
      <c r="GUX33" s="127"/>
      <c r="GUY33" s="127"/>
      <c r="GUZ33" s="127"/>
      <c r="GVA33" s="127"/>
      <c r="GVB33" s="127"/>
      <c r="GVC33" s="127"/>
      <c r="GVD33" s="127"/>
      <c r="GVE33" s="127"/>
      <c r="GVF33" s="127"/>
      <c r="GVG33" s="127"/>
      <c r="GVH33" s="127"/>
      <c r="GVI33" s="127"/>
      <c r="GVJ33" s="127"/>
      <c r="GVK33" s="127"/>
      <c r="GVL33" s="127"/>
      <c r="GVM33" s="127"/>
      <c r="GVN33" s="127"/>
      <c r="GVO33" s="127"/>
      <c r="GVP33" s="127"/>
      <c r="GVQ33" s="127"/>
      <c r="GVR33" s="127"/>
      <c r="GVS33" s="127"/>
      <c r="GVT33" s="127"/>
      <c r="GVU33" s="127"/>
      <c r="GVV33" s="127"/>
      <c r="GVW33" s="127"/>
      <c r="GVX33" s="127"/>
      <c r="GVY33" s="127"/>
      <c r="GVZ33" s="127"/>
      <c r="GWA33" s="127"/>
      <c r="GWB33" s="127"/>
      <c r="GWC33" s="127"/>
      <c r="GWD33" s="127"/>
      <c r="GWE33" s="127"/>
      <c r="GWF33" s="127"/>
      <c r="GWG33" s="127"/>
      <c r="GWH33" s="127"/>
      <c r="GWI33" s="127"/>
      <c r="GWJ33" s="127"/>
      <c r="GWK33" s="127"/>
      <c r="GWL33" s="127"/>
      <c r="GWM33" s="127"/>
      <c r="GWN33" s="127"/>
      <c r="GWO33" s="127"/>
      <c r="GWP33" s="127"/>
      <c r="GWQ33" s="127"/>
      <c r="GWR33" s="127"/>
      <c r="GWS33" s="127"/>
      <c r="GWT33" s="127"/>
      <c r="GWU33" s="127"/>
      <c r="GWV33" s="127"/>
      <c r="GWW33" s="127"/>
      <c r="GWX33" s="127"/>
      <c r="GWY33" s="127"/>
      <c r="GWZ33" s="127"/>
      <c r="GXA33" s="127"/>
      <c r="GXB33" s="127"/>
      <c r="GXC33" s="127"/>
      <c r="GXD33" s="127"/>
      <c r="GXE33" s="127"/>
      <c r="GXF33" s="127"/>
      <c r="GXG33" s="127"/>
      <c r="GXH33" s="127"/>
      <c r="GXI33" s="127"/>
      <c r="GXJ33" s="127"/>
      <c r="GXK33" s="127"/>
      <c r="GXL33" s="127"/>
      <c r="GXM33" s="127"/>
      <c r="GXN33" s="127"/>
      <c r="GXO33" s="127"/>
      <c r="GXP33" s="127"/>
      <c r="GXQ33" s="127"/>
      <c r="GXR33" s="127"/>
      <c r="GXS33" s="127"/>
      <c r="GXT33" s="127"/>
      <c r="GXU33" s="127"/>
      <c r="GXV33" s="127"/>
      <c r="GXW33" s="127"/>
      <c r="GXX33" s="127"/>
      <c r="GXY33" s="127"/>
      <c r="GXZ33" s="127"/>
      <c r="GYA33" s="127"/>
      <c r="GYB33" s="127"/>
      <c r="GYC33" s="127"/>
      <c r="GYD33" s="127"/>
      <c r="GYE33" s="127"/>
      <c r="GYF33" s="127"/>
      <c r="GYG33" s="127"/>
      <c r="GYH33" s="127"/>
      <c r="GYI33" s="127"/>
      <c r="GYJ33" s="127"/>
      <c r="GYK33" s="127"/>
      <c r="GYL33" s="127"/>
      <c r="GYM33" s="127"/>
      <c r="GYN33" s="127"/>
      <c r="GYO33" s="127"/>
      <c r="GYP33" s="127"/>
      <c r="GYQ33" s="127"/>
      <c r="GYR33" s="127"/>
      <c r="GYS33" s="127"/>
      <c r="GYT33" s="127"/>
      <c r="GYU33" s="127"/>
      <c r="GYV33" s="127"/>
      <c r="GYW33" s="127"/>
      <c r="GYX33" s="127"/>
      <c r="GYY33" s="127"/>
      <c r="GYZ33" s="127"/>
      <c r="GZA33" s="127"/>
      <c r="GZB33" s="127"/>
      <c r="GZC33" s="127"/>
      <c r="GZD33" s="127"/>
      <c r="GZE33" s="127"/>
      <c r="GZF33" s="127"/>
      <c r="GZG33" s="127"/>
      <c r="GZH33" s="127"/>
      <c r="GZI33" s="127"/>
      <c r="GZJ33" s="127"/>
      <c r="GZK33" s="127"/>
      <c r="GZL33" s="127"/>
      <c r="GZM33" s="127"/>
      <c r="GZN33" s="127"/>
      <c r="GZO33" s="127"/>
      <c r="GZP33" s="127"/>
      <c r="GZQ33" s="127"/>
      <c r="GZR33" s="127"/>
      <c r="GZS33" s="127"/>
      <c r="GZT33" s="127"/>
      <c r="GZU33" s="127"/>
      <c r="GZV33" s="127"/>
      <c r="GZW33" s="127"/>
      <c r="GZX33" s="127"/>
      <c r="GZY33" s="127"/>
      <c r="GZZ33" s="127"/>
      <c r="HAA33" s="127"/>
      <c r="HAB33" s="127"/>
      <c r="HAC33" s="127"/>
      <c r="HAD33" s="127"/>
      <c r="HAE33" s="127"/>
      <c r="HAF33" s="127"/>
      <c r="HAG33" s="127"/>
      <c r="HAH33" s="127"/>
      <c r="HAI33" s="127"/>
      <c r="HAJ33" s="127"/>
      <c r="HAK33" s="127"/>
      <c r="HAL33" s="127"/>
      <c r="HAM33" s="127"/>
      <c r="HAN33" s="127"/>
      <c r="HAO33" s="127"/>
      <c r="HAP33" s="127"/>
      <c r="HAQ33" s="127"/>
      <c r="HAR33" s="127"/>
      <c r="HAS33" s="127"/>
      <c r="HAT33" s="127"/>
      <c r="HAU33" s="127"/>
      <c r="HAV33" s="127"/>
      <c r="HAW33" s="127"/>
      <c r="HAX33" s="127"/>
      <c r="HAY33" s="127"/>
      <c r="HAZ33" s="127"/>
      <c r="HBA33" s="127"/>
      <c r="HBB33" s="127"/>
      <c r="HBC33" s="127"/>
      <c r="HBD33" s="127"/>
      <c r="HBE33" s="127"/>
      <c r="HBF33" s="127"/>
      <c r="HBG33" s="127"/>
      <c r="HBH33" s="127"/>
      <c r="HBI33" s="127"/>
      <c r="HBJ33" s="127"/>
      <c r="HBK33" s="127"/>
      <c r="HBL33" s="127"/>
      <c r="HBM33" s="127"/>
      <c r="HBN33" s="127"/>
      <c r="HBO33" s="127"/>
      <c r="HBP33" s="127"/>
      <c r="HBQ33" s="127"/>
      <c r="HBR33" s="127"/>
      <c r="HBS33" s="127"/>
      <c r="HBT33" s="127"/>
      <c r="HBU33" s="127"/>
      <c r="HBV33" s="127"/>
      <c r="HBW33" s="127"/>
      <c r="HBX33" s="127"/>
      <c r="HBY33" s="127"/>
      <c r="HBZ33" s="127"/>
      <c r="HCA33" s="127"/>
      <c r="HCB33" s="127"/>
      <c r="HCC33" s="127"/>
      <c r="HCD33" s="127"/>
      <c r="HCE33" s="127"/>
      <c r="HCF33" s="127"/>
      <c r="HCG33" s="127"/>
      <c r="HCH33" s="127"/>
      <c r="HCI33" s="127"/>
      <c r="HCJ33" s="127"/>
      <c r="HCK33" s="127"/>
      <c r="HCL33" s="127"/>
      <c r="HCM33" s="127"/>
      <c r="HCN33" s="127"/>
      <c r="HCO33" s="127"/>
      <c r="HCP33" s="127"/>
      <c r="HCQ33" s="127"/>
      <c r="HCR33" s="127"/>
      <c r="HCS33" s="127"/>
      <c r="HCT33" s="127"/>
      <c r="HCU33" s="127"/>
      <c r="HCV33" s="127"/>
      <c r="HCW33" s="127"/>
      <c r="HCX33" s="127"/>
      <c r="HCY33" s="127"/>
      <c r="HCZ33" s="127"/>
      <c r="HDA33" s="127"/>
      <c r="HDB33" s="127"/>
      <c r="HDC33" s="127"/>
      <c r="HDD33" s="127"/>
      <c r="HDE33" s="127"/>
      <c r="HDF33" s="127"/>
      <c r="HDG33" s="127"/>
      <c r="HDH33" s="127"/>
      <c r="HDI33" s="127"/>
      <c r="HDJ33" s="127"/>
      <c r="HDK33" s="127"/>
      <c r="HDL33" s="127"/>
      <c r="HDM33" s="127"/>
      <c r="HDN33" s="127"/>
      <c r="HDO33" s="127"/>
      <c r="HDP33" s="127"/>
      <c r="HDQ33" s="127"/>
      <c r="HDR33" s="127"/>
      <c r="HDS33" s="127"/>
      <c r="HDT33" s="127"/>
      <c r="HDU33" s="127"/>
      <c r="HDV33" s="127"/>
      <c r="HDW33" s="127"/>
      <c r="HDX33" s="127"/>
      <c r="HDY33" s="127"/>
      <c r="HDZ33" s="127"/>
      <c r="HEA33" s="127"/>
      <c r="HEB33" s="127"/>
      <c r="HEC33" s="127"/>
      <c r="HED33" s="127"/>
      <c r="HEE33" s="127"/>
      <c r="HEF33" s="127"/>
      <c r="HEG33" s="127"/>
      <c r="HEH33" s="127"/>
      <c r="HEI33" s="127"/>
      <c r="HEJ33" s="127"/>
      <c r="HEK33" s="127"/>
      <c r="HEL33" s="127"/>
      <c r="HEM33" s="127"/>
      <c r="HEN33" s="127"/>
      <c r="HEO33" s="127"/>
      <c r="HEP33" s="127"/>
      <c r="HEQ33" s="127"/>
      <c r="HER33" s="127"/>
      <c r="HES33" s="127"/>
      <c r="HET33" s="127"/>
      <c r="HEU33" s="127"/>
      <c r="HEV33" s="127"/>
      <c r="HEW33" s="127"/>
      <c r="HEX33" s="127"/>
      <c r="HEY33" s="127"/>
      <c r="HEZ33" s="127"/>
      <c r="HFA33" s="127"/>
      <c r="HFB33" s="127"/>
      <c r="HFC33" s="127"/>
      <c r="HFD33" s="127"/>
      <c r="HFE33" s="127"/>
      <c r="HFF33" s="127"/>
      <c r="HFG33" s="127"/>
      <c r="HFH33" s="127"/>
      <c r="HFI33" s="127"/>
      <c r="HFJ33" s="127"/>
      <c r="HFK33" s="127"/>
      <c r="HFL33" s="127"/>
      <c r="HFM33" s="127"/>
      <c r="HFN33" s="127"/>
      <c r="HFO33" s="127"/>
      <c r="HFP33" s="127"/>
      <c r="HFQ33" s="127"/>
      <c r="HFR33" s="127"/>
      <c r="HFS33" s="127"/>
      <c r="HFT33" s="127"/>
      <c r="HFU33" s="127"/>
      <c r="HFV33" s="127"/>
      <c r="HFW33" s="127"/>
      <c r="HFX33" s="127"/>
      <c r="HFY33" s="127"/>
      <c r="HFZ33" s="127"/>
      <c r="HGA33" s="127"/>
      <c r="HGB33" s="127"/>
      <c r="HGC33" s="127"/>
      <c r="HGD33" s="127"/>
      <c r="HGE33" s="127"/>
      <c r="HGF33" s="127"/>
      <c r="HGG33" s="127"/>
      <c r="HGH33" s="127"/>
      <c r="HGI33" s="127"/>
      <c r="HGJ33" s="127"/>
      <c r="HGK33" s="127"/>
      <c r="HGL33" s="127"/>
      <c r="HGM33" s="127"/>
      <c r="HGN33" s="127"/>
      <c r="HGO33" s="127"/>
      <c r="HGP33" s="127"/>
      <c r="HGQ33" s="127"/>
      <c r="HGR33" s="127"/>
      <c r="HGS33" s="127"/>
      <c r="HGT33" s="127"/>
      <c r="HGU33" s="127"/>
      <c r="HGV33" s="127"/>
      <c r="HGW33" s="127"/>
      <c r="HGX33" s="127"/>
      <c r="HGY33" s="127"/>
      <c r="HGZ33" s="127"/>
      <c r="HHA33" s="127"/>
      <c r="HHB33" s="127"/>
      <c r="HHC33" s="127"/>
      <c r="HHD33" s="127"/>
      <c r="HHE33" s="127"/>
      <c r="HHF33" s="127"/>
      <c r="HHG33" s="127"/>
      <c r="HHH33" s="127"/>
      <c r="HHI33" s="127"/>
      <c r="HHJ33" s="127"/>
      <c r="HHK33" s="127"/>
      <c r="HHL33" s="127"/>
      <c r="HHM33" s="127"/>
      <c r="HHN33" s="127"/>
      <c r="HHO33" s="127"/>
      <c r="HHP33" s="127"/>
      <c r="HHQ33" s="127"/>
      <c r="HHR33" s="127"/>
      <c r="HHS33" s="127"/>
      <c r="HHT33" s="127"/>
      <c r="HHU33" s="127"/>
      <c r="HHV33" s="127"/>
      <c r="HHW33" s="127"/>
      <c r="HHX33" s="127"/>
      <c r="HHY33" s="127"/>
      <c r="HHZ33" s="127"/>
      <c r="HIA33" s="127"/>
      <c r="HIB33" s="127"/>
      <c r="HIC33" s="127"/>
      <c r="HID33" s="127"/>
      <c r="HIE33" s="127"/>
      <c r="HIF33" s="127"/>
      <c r="HIG33" s="127"/>
      <c r="HIH33" s="127"/>
      <c r="HII33" s="127"/>
      <c r="HIJ33" s="127"/>
      <c r="HIK33" s="127"/>
      <c r="HIL33" s="127"/>
      <c r="HIM33" s="127"/>
      <c r="HIN33" s="127"/>
      <c r="HIO33" s="127"/>
      <c r="HIP33" s="127"/>
      <c r="HIQ33" s="127"/>
      <c r="HIR33" s="127"/>
      <c r="HIS33" s="127"/>
      <c r="HIT33" s="127"/>
      <c r="HIU33" s="127"/>
      <c r="HIV33" s="127"/>
      <c r="HIW33" s="127"/>
      <c r="HIX33" s="127"/>
      <c r="HIY33" s="127"/>
      <c r="HIZ33" s="127"/>
      <c r="HJA33" s="127"/>
      <c r="HJB33" s="127"/>
      <c r="HJC33" s="127"/>
      <c r="HJD33" s="127"/>
      <c r="HJE33" s="127"/>
      <c r="HJF33" s="127"/>
      <c r="HJG33" s="127"/>
      <c r="HJH33" s="127"/>
      <c r="HJI33" s="127"/>
      <c r="HJJ33" s="127"/>
      <c r="HJK33" s="127"/>
      <c r="HJL33" s="127"/>
      <c r="HJM33" s="127"/>
      <c r="HJN33" s="127"/>
      <c r="HJO33" s="127"/>
      <c r="HJP33" s="127"/>
      <c r="HJQ33" s="127"/>
      <c r="HJR33" s="127"/>
      <c r="HJS33" s="127"/>
      <c r="HJT33" s="127"/>
      <c r="HJU33" s="127"/>
      <c r="HJV33" s="127"/>
      <c r="HJW33" s="127"/>
      <c r="HJX33" s="127"/>
      <c r="HJY33" s="127"/>
      <c r="HJZ33" s="127"/>
      <c r="HKA33" s="127"/>
      <c r="HKB33" s="127"/>
      <c r="HKC33" s="127"/>
      <c r="HKD33" s="127"/>
      <c r="HKE33" s="127"/>
      <c r="HKF33" s="127"/>
      <c r="HKG33" s="127"/>
      <c r="HKH33" s="127"/>
      <c r="HKI33" s="127"/>
      <c r="HKJ33" s="127"/>
      <c r="HKK33" s="127"/>
      <c r="HKL33" s="127"/>
      <c r="HKM33" s="127"/>
      <c r="HKN33" s="127"/>
      <c r="HKO33" s="127"/>
      <c r="HKP33" s="127"/>
      <c r="HKQ33" s="127"/>
      <c r="HKR33" s="127"/>
      <c r="HKS33" s="127"/>
      <c r="HKT33" s="127"/>
      <c r="HKU33" s="127"/>
      <c r="HKV33" s="127"/>
      <c r="HKW33" s="127"/>
      <c r="HKX33" s="127"/>
      <c r="HKY33" s="127"/>
      <c r="HKZ33" s="127"/>
      <c r="HLA33" s="127"/>
      <c r="HLB33" s="127"/>
      <c r="HLC33" s="127"/>
      <c r="HLD33" s="127"/>
      <c r="HLE33" s="127"/>
      <c r="HLF33" s="127"/>
      <c r="HLG33" s="127"/>
      <c r="HLH33" s="127"/>
      <c r="HLI33" s="127"/>
      <c r="HLJ33" s="127"/>
      <c r="HLK33" s="127"/>
      <c r="HLL33" s="127"/>
      <c r="HLM33" s="127"/>
      <c r="HLN33" s="127"/>
      <c r="HLO33" s="127"/>
      <c r="HLP33" s="127"/>
      <c r="HLQ33" s="127"/>
      <c r="HLR33" s="127"/>
      <c r="HLS33" s="127"/>
      <c r="HLT33" s="127"/>
      <c r="HLU33" s="127"/>
      <c r="HLV33" s="127"/>
      <c r="HLW33" s="127"/>
      <c r="HLX33" s="127"/>
      <c r="HLY33" s="127"/>
      <c r="HLZ33" s="127"/>
      <c r="HMA33" s="127"/>
      <c r="HMB33" s="127"/>
      <c r="HMC33" s="127"/>
      <c r="HMD33" s="127"/>
      <c r="HME33" s="127"/>
      <c r="HMF33" s="127"/>
      <c r="HMG33" s="127"/>
      <c r="HMH33" s="127"/>
      <c r="HMI33" s="127"/>
      <c r="HMJ33" s="127"/>
      <c r="HMK33" s="127"/>
      <c r="HML33" s="127"/>
      <c r="HMM33" s="127"/>
      <c r="HMN33" s="127"/>
      <c r="HMO33" s="127"/>
      <c r="HMP33" s="127"/>
      <c r="HMQ33" s="127"/>
      <c r="HMR33" s="127"/>
      <c r="HMS33" s="127"/>
      <c r="HMT33" s="127"/>
      <c r="HMU33" s="127"/>
      <c r="HMV33" s="127"/>
      <c r="HMW33" s="127"/>
      <c r="HMX33" s="127"/>
      <c r="HMY33" s="127"/>
      <c r="HMZ33" s="127"/>
      <c r="HNA33" s="127"/>
      <c r="HNB33" s="127"/>
      <c r="HNC33" s="127"/>
      <c r="HND33" s="127"/>
      <c r="HNE33" s="127"/>
      <c r="HNF33" s="127"/>
      <c r="HNG33" s="127"/>
      <c r="HNH33" s="127"/>
      <c r="HNI33" s="127"/>
      <c r="HNJ33" s="127"/>
      <c r="HNK33" s="127"/>
      <c r="HNL33" s="127"/>
      <c r="HNM33" s="127"/>
      <c r="HNN33" s="127"/>
      <c r="HNO33" s="127"/>
      <c r="HNP33" s="127"/>
      <c r="HNQ33" s="127"/>
      <c r="HNR33" s="127"/>
      <c r="HNS33" s="127"/>
      <c r="HNT33" s="127"/>
      <c r="HNU33" s="127"/>
      <c r="HNV33" s="127"/>
      <c r="HNW33" s="127"/>
      <c r="HNX33" s="127"/>
      <c r="HNY33" s="127"/>
      <c r="HNZ33" s="127"/>
      <c r="HOA33" s="127"/>
      <c r="HOB33" s="127"/>
      <c r="HOC33" s="127"/>
      <c r="HOD33" s="127"/>
      <c r="HOE33" s="127"/>
      <c r="HOF33" s="127"/>
      <c r="HOG33" s="127"/>
      <c r="HOH33" s="127"/>
      <c r="HOI33" s="127"/>
      <c r="HOJ33" s="127"/>
      <c r="HOK33" s="127"/>
      <c r="HOL33" s="127"/>
      <c r="HOM33" s="127"/>
      <c r="HON33" s="127"/>
      <c r="HOO33" s="127"/>
      <c r="HOP33" s="127"/>
      <c r="HOQ33" s="127"/>
      <c r="HOR33" s="127"/>
      <c r="HOS33" s="127"/>
      <c r="HOT33" s="127"/>
      <c r="HOU33" s="127"/>
      <c r="HOV33" s="127"/>
      <c r="HOW33" s="127"/>
      <c r="HOX33" s="127"/>
      <c r="HOY33" s="127"/>
      <c r="HOZ33" s="127"/>
      <c r="HPA33" s="127"/>
      <c r="HPB33" s="127"/>
      <c r="HPC33" s="127"/>
      <c r="HPD33" s="127"/>
      <c r="HPE33" s="127"/>
      <c r="HPF33" s="127"/>
      <c r="HPG33" s="127"/>
      <c r="HPH33" s="127"/>
      <c r="HPI33" s="127"/>
      <c r="HPJ33" s="127"/>
      <c r="HPK33" s="127"/>
      <c r="HPL33" s="127"/>
      <c r="HPM33" s="127"/>
      <c r="HPN33" s="127"/>
      <c r="HPO33" s="127"/>
      <c r="HPP33" s="127"/>
      <c r="HPQ33" s="127"/>
      <c r="HPR33" s="127"/>
      <c r="HPS33" s="127"/>
      <c r="HPT33" s="127"/>
      <c r="HPU33" s="127"/>
      <c r="HPV33" s="127"/>
      <c r="HPW33" s="127"/>
      <c r="HPX33" s="127"/>
      <c r="HPY33" s="127"/>
      <c r="HPZ33" s="127"/>
      <c r="HQA33" s="127"/>
      <c r="HQB33" s="127"/>
      <c r="HQC33" s="127"/>
      <c r="HQD33" s="127"/>
      <c r="HQE33" s="127"/>
      <c r="HQF33" s="127"/>
      <c r="HQG33" s="127"/>
      <c r="HQH33" s="127"/>
      <c r="HQI33" s="127"/>
      <c r="HQJ33" s="127"/>
      <c r="HQK33" s="127"/>
      <c r="HQL33" s="127"/>
      <c r="HQM33" s="127"/>
      <c r="HQN33" s="127"/>
      <c r="HQO33" s="127"/>
      <c r="HQP33" s="127"/>
      <c r="HQQ33" s="127"/>
      <c r="HQR33" s="127"/>
      <c r="HQS33" s="127"/>
      <c r="HQT33" s="127"/>
      <c r="HQU33" s="127"/>
      <c r="HQV33" s="127"/>
      <c r="HQW33" s="127"/>
      <c r="HQX33" s="127"/>
      <c r="HQY33" s="127"/>
      <c r="HQZ33" s="127"/>
      <c r="HRA33" s="127"/>
      <c r="HRB33" s="127"/>
      <c r="HRC33" s="127"/>
      <c r="HRD33" s="127"/>
      <c r="HRE33" s="127"/>
      <c r="HRF33" s="127"/>
      <c r="HRG33" s="127"/>
      <c r="HRH33" s="127"/>
      <c r="HRI33" s="127"/>
      <c r="HRJ33" s="127"/>
      <c r="HRK33" s="127"/>
      <c r="HRL33" s="127"/>
      <c r="HRM33" s="127"/>
      <c r="HRN33" s="127"/>
      <c r="HRO33" s="127"/>
      <c r="HRP33" s="127"/>
      <c r="HRQ33" s="127"/>
      <c r="HRR33" s="127"/>
      <c r="HRS33" s="127"/>
      <c r="HRT33" s="127"/>
      <c r="HRU33" s="127"/>
      <c r="HRV33" s="127"/>
      <c r="HRW33" s="127"/>
      <c r="HRX33" s="127"/>
      <c r="HRY33" s="127"/>
      <c r="HRZ33" s="127"/>
      <c r="HSA33" s="127"/>
      <c r="HSB33" s="127"/>
      <c r="HSC33" s="127"/>
      <c r="HSD33" s="127"/>
      <c r="HSE33" s="127"/>
      <c r="HSF33" s="127"/>
      <c r="HSG33" s="127"/>
      <c r="HSH33" s="127"/>
      <c r="HSI33" s="127"/>
      <c r="HSJ33" s="127"/>
      <c r="HSK33" s="127"/>
      <c r="HSL33" s="127"/>
      <c r="HSM33" s="127"/>
      <c r="HSN33" s="127"/>
      <c r="HSO33" s="127"/>
      <c r="HSP33" s="127"/>
      <c r="HSQ33" s="127"/>
      <c r="HSR33" s="127"/>
      <c r="HSS33" s="127"/>
      <c r="HST33" s="127"/>
      <c r="HSU33" s="127"/>
      <c r="HSV33" s="127"/>
      <c r="HSW33" s="127"/>
      <c r="HSX33" s="127"/>
      <c r="HSY33" s="127"/>
      <c r="HSZ33" s="127"/>
      <c r="HTA33" s="127"/>
      <c r="HTB33" s="127"/>
      <c r="HTC33" s="127"/>
      <c r="HTD33" s="127"/>
      <c r="HTE33" s="127"/>
      <c r="HTF33" s="127"/>
      <c r="HTG33" s="127"/>
      <c r="HTH33" s="127"/>
      <c r="HTI33" s="127"/>
      <c r="HTJ33" s="127"/>
      <c r="HTK33" s="127"/>
      <c r="HTL33" s="127"/>
      <c r="HTM33" s="127"/>
      <c r="HTN33" s="127"/>
      <c r="HTO33" s="127"/>
      <c r="HTP33" s="127"/>
      <c r="HTQ33" s="127"/>
      <c r="HTR33" s="127"/>
      <c r="HTS33" s="127"/>
      <c r="HTT33" s="127"/>
      <c r="HTU33" s="127"/>
      <c r="HTV33" s="127"/>
      <c r="HTW33" s="127"/>
      <c r="HTX33" s="127"/>
      <c r="HTY33" s="127"/>
      <c r="HTZ33" s="127"/>
      <c r="HUA33" s="127"/>
      <c r="HUB33" s="127"/>
      <c r="HUC33" s="127"/>
      <c r="HUD33" s="127"/>
      <c r="HUE33" s="127"/>
      <c r="HUF33" s="127"/>
      <c r="HUG33" s="127"/>
      <c r="HUH33" s="127"/>
      <c r="HUI33" s="127"/>
      <c r="HUJ33" s="127"/>
      <c r="HUK33" s="127"/>
      <c r="HUL33" s="127"/>
      <c r="HUM33" s="127"/>
      <c r="HUN33" s="127"/>
      <c r="HUO33" s="127"/>
      <c r="HUP33" s="127"/>
      <c r="HUQ33" s="127"/>
      <c r="HUR33" s="127"/>
      <c r="HUS33" s="127"/>
      <c r="HUT33" s="127"/>
      <c r="HUU33" s="127"/>
      <c r="HUV33" s="127"/>
      <c r="HUW33" s="127"/>
      <c r="HUX33" s="127"/>
      <c r="HUY33" s="127"/>
      <c r="HUZ33" s="127"/>
      <c r="HVA33" s="127"/>
      <c r="HVB33" s="127"/>
      <c r="HVC33" s="127"/>
      <c r="HVD33" s="127"/>
      <c r="HVE33" s="127"/>
      <c r="HVF33" s="127"/>
      <c r="HVG33" s="127"/>
      <c r="HVH33" s="127"/>
      <c r="HVI33" s="127"/>
      <c r="HVJ33" s="127"/>
      <c r="HVK33" s="127"/>
      <c r="HVL33" s="127"/>
      <c r="HVM33" s="127"/>
      <c r="HVN33" s="127"/>
      <c r="HVO33" s="127"/>
      <c r="HVP33" s="127"/>
      <c r="HVQ33" s="127"/>
      <c r="HVR33" s="127"/>
      <c r="HVS33" s="127"/>
      <c r="HVT33" s="127"/>
      <c r="HVU33" s="127"/>
      <c r="HVV33" s="127"/>
      <c r="HVW33" s="127"/>
      <c r="HVX33" s="127"/>
      <c r="HVY33" s="127"/>
      <c r="HVZ33" s="127"/>
      <c r="HWA33" s="127"/>
      <c r="HWB33" s="127"/>
      <c r="HWC33" s="127"/>
      <c r="HWD33" s="127"/>
      <c r="HWE33" s="127"/>
      <c r="HWF33" s="127"/>
      <c r="HWG33" s="127"/>
      <c r="HWH33" s="127"/>
      <c r="HWI33" s="127"/>
      <c r="HWJ33" s="127"/>
      <c r="HWK33" s="127"/>
      <c r="HWL33" s="127"/>
      <c r="HWM33" s="127"/>
      <c r="HWN33" s="127"/>
      <c r="HWO33" s="127"/>
      <c r="HWP33" s="127"/>
      <c r="HWQ33" s="127"/>
      <c r="HWR33" s="127"/>
      <c r="HWS33" s="127"/>
      <c r="HWT33" s="127"/>
      <c r="HWU33" s="127"/>
      <c r="HWV33" s="127"/>
      <c r="HWW33" s="127"/>
      <c r="HWX33" s="127"/>
      <c r="HWY33" s="127"/>
      <c r="HWZ33" s="127"/>
      <c r="HXA33" s="127"/>
      <c r="HXB33" s="127"/>
      <c r="HXC33" s="127"/>
      <c r="HXD33" s="127"/>
      <c r="HXE33" s="127"/>
      <c r="HXF33" s="127"/>
      <c r="HXG33" s="127"/>
      <c r="HXH33" s="127"/>
      <c r="HXI33" s="127"/>
      <c r="HXJ33" s="127"/>
      <c r="HXK33" s="127"/>
      <c r="HXL33" s="127"/>
      <c r="HXM33" s="127"/>
      <c r="HXN33" s="127"/>
      <c r="HXO33" s="127"/>
      <c r="HXP33" s="127"/>
      <c r="HXQ33" s="127"/>
      <c r="HXR33" s="127"/>
      <c r="HXS33" s="127"/>
      <c r="HXT33" s="127"/>
      <c r="HXU33" s="127"/>
      <c r="HXV33" s="127"/>
      <c r="HXW33" s="127"/>
      <c r="HXX33" s="127"/>
      <c r="HXY33" s="127"/>
      <c r="HXZ33" s="127"/>
      <c r="HYA33" s="127"/>
      <c r="HYB33" s="127"/>
      <c r="HYC33" s="127"/>
      <c r="HYD33" s="127"/>
      <c r="HYE33" s="127"/>
      <c r="HYF33" s="127"/>
      <c r="HYG33" s="127"/>
      <c r="HYH33" s="127"/>
      <c r="HYI33" s="127"/>
      <c r="HYJ33" s="127"/>
      <c r="HYK33" s="127"/>
      <c r="HYL33" s="127"/>
      <c r="HYM33" s="127"/>
      <c r="HYN33" s="127"/>
      <c r="HYO33" s="127"/>
      <c r="HYP33" s="127"/>
      <c r="HYQ33" s="127"/>
      <c r="HYR33" s="127"/>
      <c r="HYS33" s="127"/>
      <c r="HYT33" s="127"/>
      <c r="HYU33" s="127"/>
      <c r="HYV33" s="127"/>
      <c r="HYW33" s="127"/>
      <c r="HYX33" s="127"/>
      <c r="HYY33" s="127"/>
      <c r="HYZ33" s="127"/>
      <c r="HZA33" s="127"/>
      <c r="HZB33" s="127"/>
      <c r="HZC33" s="127"/>
      <c r="HZD33" s="127"/>
      <c r="HZE33" s="127"/>
      <c r="HZF33" s="127"/>
      <c r="HZG33" s="127"/>
      <c r="HZH33" s="127"/>
      <c r="HZI33" s="127"/>
      <c r="HZJ33" s="127"/>
      <c r="HZK33" s="127"/>
      <c r="HZL33" s="127"/>
      <c r="HZM33" s="127"/>
      <c r="HZN33" s="127"/>
      <c r="HZO33" s="127"/>
      <c r="HZP33" s="127"/>
      <c r="HZQ33" s="127"/>
      <c r="HZR33" s="127"/>
      <c r="HZS33" s="127"/>
      <c r="HZT33" s="127"/>
      <c r="HZU33" s="127"/>
      <c r="HZV33" s="127"/>
      <c r="HZW33" s="127"/>
      <c r="HZX33" s="127"/>
      <c r="HZY33" s="127"/>
      <c r="HZZ33" s="127"/>
      <c r="IAA33" s="127"/>
      <c r="IAB33" s="127"/>
      <c r="IAC33" s="127"/>
      <c r="IAD33" s="127"/>
      <c r="IAE33" s="127"/>
      <c r="IAF33" s="127"/>
      <c r="IAG33" s="127"/>
      <c r="IAH33" s="127"/>
      <c r="IAI33" s="127"/>
      <c r="IAJ33" s="127"/>
      <c r="IAK33" s="127"/>
      <c r="IAL33" s="127"/>
      <c r="IAM33" s="127"/>
      <c r="IAN33" s="127"/>
      <c r="IAO33" s="127"/>
      <c r="IAP33" s="127"/>
      <c r="IAQ33" s="127"/>
      <c r="IAR33" s="127"/>
      <c r="IAS33" s="127"/>
      <c r="IAT33" s="127"/>
      <c r="IAU33" s="127"/>
      <c r="IAV33" s="127"/>
      <c r="IAW33" s="127"/>
      <c r="IAX33" s="127"/>
      <c r="IAY33" s="127"/>
      <c r="IAZ33" s="127"/>
      <c r="IBA33" s="127"/>
      <c r="IBB33" s="127"/>
      <c r="IBC33" s="127"/>
      <c r="IBD33" s="127"/>
      <c r="IBE33" s="127"/>
      <c r="IBF33" s="127"/>
      <c r="IBG33" s="127"/>
      <c r="IBH33" s="127"/>
      <c r="IBI33" s="127"/>
      <c r="IBJ33" s="127"/>
      <c r="IBK33" s="127"/>
      <c r="IBL33" s="127"/>
      <c r="IBM33" s="127"/>
      <c r="IBN33" s="127"/>
      <c r="IBO33" s="127"/>
      <c r="IBP33" s="127"/>
      <c r="IBQ33" s="127"/>
      <c r="IBR33" s="127"/>
      <c r="IBS33" s="127"/>
      <c r="IBT33" s="127"/>
      <c r="IBU33" s="127"/>
      <c r="IBV33" s="127"/>
      <c r="IBW33" s="127"/>
      <c r="IBX33" s="127"/>
      <c r="IBY33" s="127"/>
      <c r="IBZ33" s="127"/>
      <c r="ICA33" s="127"/>
      <c r="ICB33" s="127"/>
      <c r="ICC33" s="127"/>
      <c r="ICD33" s="127"/>
      <c r="ICE33" s="127"/>
      <c r="ICF33" s="127"/>
      <c r="ICG33" s="127"/>
      <c r="ICH33" s="127"/>
      <c r="ICI33" s="127"/>
      <c r="ICJ33" s="127"/>
      <c r="ICK33" s="127"/>
      <c r="ICL33" s="127"/>
      <c r="ICM33" s="127"/>
      <c r="ICN33" s="127"/>
      <c r="ICO33" s="127"/>
      <c r="ICP33" s="127"/>
      <c r="ICQ33" s="127"/>
      <c r="ICR33" s="127"/>
      <c r="ICS33" s="127"/>
      <c r="ICT33" s="127"/>
      <c r="ICU33" s="127"/>
      <c r="ICV33" s="127"/>
      <c r="ICW33" s="127"/>
      <c r="ICX33" s="127"/>
      <c r="ICY33" s="127"/>
      <c r="ICZ33" s="127"/>
      <c r="IDA33" s="127"/>
      <c r="IDB33" s="127"/>
      <c r="IDC33" s="127"/>
      <c r="IDD33" s="127"/>
      <c r="IDE33" s="127"/>
      <c r="IDF33" s="127"/>
      <c r="IDG33" s="127"/>
      <c r="IDH33" s="127"/>
      <c r="IDI33" s="127"/>
      <c r="IDJ33" s="127"/>
      <c r="IDK33" s="127"/>
      <c r="IDL33" s="127"/>
      <c r="IDM33" s="127"/>
      <c r="IDN33" s="127"/>
      <c r="IDO33" s="127"/>
      <c r="IDP33" s="127"/>
      <c r="IDQ33" s="127"/>
      <c r="IDR33" s="127"/>
      <c r="IDS33" s="127"/>
      <c r="IDT33" s="127"/>
      <c r="IDU33" s="127"/>
      <c r="IDV33" s="127"/>
      <c r="IDW33" s="127"/>
      <c r="IDX33" s="127"/>
      <c r="IDY33" s="127"/>
      <c r="IDZ33" s="127"/>
      <c r="IEA33" s="127"/>
      <c r="IEB33" s="127"/>
      <c r="IEC33" s="127"/>
      <c r="IED33" s="127"/>
      <c r="IEE33" s="127"/>
      <c r="IEF33" s="127"/>
      <c r="IEG33" s="127"/>
      <c r="IEH33" s="127"/>
      <c r="IEI33" s="127"/>
      <c r="IEJ33" s="127"/>
      <c r="IEK33" s="127"/>
      <c r="IEL33" s="127"/>
      <c r="IEM33" s="127"/>
      <c r="IEN33" s="127"/>
      <c r="IEO33" s="127"/>
      <c r="IEP33" s="127"/>
      <c r="IEQ33" s="127"/>
      <c r="IER33" s="127"/>
      <c r="IES33" s="127"/>
      <c r="IET33" s="127"/>
      <c r="IEU33" s="127"/>
      <c r="IEV33" s="127"/>
      <c r="IEW33" s="127"/>
      <c r="IEX33" s="127"/>
      <c r="IEY33" s="127"/>
      <c r="IEZ33" s="127"/>
      <c r="IFA33" s="127"/>
      <c r="IFB33" s="127"/>
      <c r="IFC33" s="127"/>
      <c r="IFD33" s="127"/>
      <c r="IFE33" s="127"/>
      <c r="IFF33" s="127"/>
      <c r="IFG33" s="127"/>
      <c r="IFH33" s="127"/>
      <c r="IFI33" s="127"/>
      <c r="IFJ33" s="127"/>
      <c r="IFK33" s="127"/>
      <c r="IFL33" s="127"/>
      <c r="IFM33" s="127"/>
      <c r="IFN33" s="127"/>
      <c r="IFO33" s="127"/>
      <c r="IFP33" s="127"/>
      <c r="IFQ33" s="127"/>
      <c r="IFR33" s="127"/>
      <c r="IFS33" s="127"/>
      <c r="IFT33" s="127"/>
      <c r="IFU33" s="127"/>
      <c r="IFV33" s="127"/>
      <c r="IFW33" s="127"/>
      <c r="IFX33" s="127"/>
      <c r="IFY33" s="127"/>
      <c r="IFZ33" s="127"/>
      <c r="IGA33" s="127"/>
      <c r="IGB33" s="127"/>
      <c r="IGC33" s="127"/>
      <c r="IGD33" s="127"/>
      <c r="IGE33" s="127"/>
      <c r="IGF33" s="127"/>
      <c r="IGG33" s="127"/>
      <c r="IGH33" s="127"/>
      <c r="IGI33" s="127"/>
      <c r="IGJ33" s="127"/>
      <c r="IGK33" s="127"/>
      <c r="IGL33" s="127"/>
      <c r="IGM33" s="127"/>
      <c r="IGN33" s="127"/>
      <c r="IGO33" s="127"/>
      <c r="IGP33" s="127"/>
      <c r="IGQ33" s="127"/>
      <c r="IGR33" s="127"/>
      <c r="IGS33" s="127"/>
      <c r="IGT33" s="127"/>
      <c r="IGU33" s="127"/>
      <c r="IGV33" s="127"/>
      <c r="IGW33" s="127"/>
      <c r="IGX33" s="127"/>
      <c r="IGY33" s="127"/>
      <c r="IGZ33" s="127"/>
      <c r="IHA33" s="127"/>
      <c r="IHB33" s="127"/>
      <c r="IHC33" s="127"/>
      <c r="IHD33" s="127"/>
      <c r="IHE33" s="127"/>
      <c r="IHF33" s="127"/>
      <c r="IHG33" s="127"/>
      <c r="IHH33" s="127"/>
      <c r="IHI33" s="127"/>
      <c r="IHJ33" s="127"/>
      <c r="IHK33" s="127"/>
      <c r="IHL33" s="127"/>
      <c r="IHM33" s="127"/>
      <c r="IHN33" s="127"/>
      <c r="IHO33" s="127"/>
      <c r="IHP33" s="127"/>
      <c r="IHQ33" s="127"/>
      <c r="IHR33" s="127"/>
      <c r="IHS33" s="127"/>
      <c r="IHT33" s="127"/>
      <c r="IHU33" s="127"/>
      <c r="IHV33" s="127"/>
      <c r="IHW33" s="127"/>
      <c r="IHX33" s="127"/>
      <c r="IHY33" s="127"/>
      <c r="IHZ33" s="127"/>
      <c r="IIA33" s="127"/>
      <c r="IIB33" s="127"/>
      <c r="IIC33" s="127"/>
      <c r="IID33" s="127"/>
      <c r="IIE33" s="127"/>
      <c r="IIF33" s="127"/>
      <c r="IIG33" s="127"/>
      <c r="IIH33" s="127"/>
      <c r="III33" s="127"/>
      <c r="IIJ33" s="127"/>
      <c r="IIK33" s="127"/>
      <c r="IIL33" s="127"/>
      <c r="IIM33" s="127"/>
      <c r="IIN33" s="127"/>
      <c r="IIO33" s="127"/>
      <c r="IIP33" s="127"/>
      <c r="IIQ33" s="127"/>
      <c r="IIR33" s="127"/>
      <c r="IIS33" s="127"/>
      <c r="IIT33" s="127"/>
      <c r="IIU33" s="127"/>
      <c r="IIV33" s="127"/>
      <c r="IIW33" s="127"/>
      <c r="IIX33" s="127"/>
      <c r="IIY33" s="127"/>
      <c r="IIZ33" s="127"/>
      <c r="IJA33" s="127"/>
      <c r="IJB33" s="127"/>
      <c r="IJC33" s="127"/>
      <c r="IJD33" s="127"/>
      <c r="IJE33" s="127"/>
      <c r="IJF33" s="127"/>
      <c r="IJG33" s="127"/>
      <c r="IJH33" s="127"/>
      <c r="IJI33" s="127"/>
      <c r="IJJ33" s="127"/>
      <c r="IJK33" s="127"/>
      <c r="IJL33" s="127"/>
      <c r="IJM33" s="127"/>
      <c r="IJN33" s="127"/>
      <c r="IJO33" s="127"/>
      <c r="IJP33" s="127"/>
      <c r="IJQ33" s="127"/>
      <c r="IJR33" s="127"/>
      <c r="IJS33" s="127"/>
      <c r="IJT33" s="127"/>
      <c r="IJU33" s="127"/>
      <c r="IJV33" s="127"/>
      <c r="IJW33" s="127"/>
      <c r="IJX33" s="127"/>
      <c r="IJY33" s="127"/>
      <c r="IJZ33" s="127"/>
      <c r="IKA33" s="127"/>
      <c r="IKB33" s="127"/>
      <c r="IKC33" s="127"/>
      <c r="IKD33" s="127"/>
      <c r="IKE33" s="127"/>
      <c r="IKF33" s="127"/>
      <c r="IKG33" s="127"/>
      <c r="IKH33" s="127"/>
      <c r="IKI33" s="127"/>
      <c r="IKJ33" s="127"/>
      <c r="IKK33" s="127"/>
      <c r="IKL33" s="127"/>
      <c r="IKM33" s="127"/>
      <c r="IKN33" s="127"/>
      <c r="IKO33" s="127"/>
      <c r="IKP33" s="127"/>
      <c r="IKQ33" s="127"/>
      <c r="IKR33" s="127"/>
      <c r="IKS33" s="127"/>
      <c r="IKT33" s="127"/>
      <c r="IKU33" s="127"/>
      <c r="IKV33" s="127"/>
      <c r="IKW33" s="127"/>
      <c r="IKX33" s="127"/>
      <c r="IKY33" s="127"/>
      <c r="IKZ33" s="127"/>
      <c r="ILA33" s="127"/>
      <c r="ILB33" s="127"/>
      <c r="ILC33" s="127"/>
      <c r="ILD33" s="127"/>
      <c r="ILE33" s="127"/>
      <c r="ILF33" s="127"/>
      <c r="ILG33" s="127"/>
      <c r="ILH33" s="127"/>
      <c r="ILI33" s="127"/>
      <c r="ILJ33" s="127"/>
      <c r="ILK33" s="127"/>
      <c r="ILL33" s="127"/>
      <c r="ILM33" s="127"/>
      <c r="ILN33" s="127"/>
      <c r="ILO33" s="127"/>
      <c r="ILP33" s="127"/>
      <c r="ILQ33" s="127"/>
      <c r="ILR33" s="127"/>
      <c r="ILS33" s="127"/>
      <c r="ILT33" s="127"/>
      <c r="ILU33" s="127"/>
      <c r="ILV33" s="127"/>
      <c r="ILW33" s="127"/>
      <c r="ILX33" s="127"/>
      <c r="ILY33" s="127"/>
      <c r="ILZ33" s="127"/>
      <c r="IMA33" s="127"/>
      <c r="IMB33" s="127"/>
      <c r="IMC33" s="127"/>
      <c r="IMD33" s="127"/>
      <c r="IME33" s="127"/>
      <c r="IMF33" s="127"/>
      <c r="IMG33" s="127"/>
      <c r="IMH33" s="127"/>
      <c r="IMI33" s="127"/>
      <c r="IMJ33" s="127"/>
      <c r="IMK33" s="127"/>
      <c r="IML33" s="127"/>
      <c r="IMM33" s="127"/>
      <c r="IMN33" s="127"/>
      <c r="IMO33" s="127"/>
      <c r="IMP33" s="127"/>
      <c r="IMQ33" s="127"/>
      <c r="IMR33" s="127"/>
      <c r="IMS33" s="127"/>
      <c r="IMT33" s="127"/>
      <c r="IMU33" s="127"/>
      <c r="IMV33" s="127"/>
      <c r="IMW33" s="127"/>
      <c r="IMX33" s="127"/>
      <c r="IMY33" s="127"/>
      <c r="IMZ33" s="127"/>
      <c r="INA33" s="127"/>
      <c r="INB33" s="127"/>
      <c r="INC33" s="127"/>
      <c r="IND33" s="127"/>
      <c r="INE33" s="127"/>
      <c r="INF33" s="127"/>
      <c r="ING33" s="127"/>
      <c r="INH33" s="127"/>
      <c r="INI33" s="127"/>
      <c r="INJ33" s="127"/>
      <c r="INK33" s="127"/>
      <c r="INL33" s="127"/>
      <c r="INM33" s="127"/>
      <c r="INN33" s="127"/>
      <c r="INO33" s="127"/>
      <c r="INP33" s="127"/>
      <c r="INQ33" s="127"/>
      <c r="INR33" s="127"/>
      <c r="INS33" s="127"/>
      <c r="INT33" s="127"/>
      <c r="INU33" s="127"/>
      <c r="INV33" s="127"/>
      <c r="INW33" s="127"/>
      <c r="INX33" s="127"/>
      <c r="INY33" s="127"/>
      <c r="INZ33" s="127"/>
      <c r="IOA33" s="127"/>
      <c r="IOB33" s="127"/>
      <c r="IOC33" s="127"/>
      <c r="IOD33" s="127"/>
      <c r="IOE33" s="127"/>
      <c r="IOF33" s="127"/>
      <c r="IOG33" s="127"/>
      <c r="IOH33" s="127"/>
      <c r="IOI33" s="127"/>
      <c r="IOJ33" s="127"/>
      <c r="IOK33" s="127"/>
      <c r="IOL33" s="127"/>
      <c r="IOM33" s="127"/>
      <c r="ION33" s="127"/>
      <c r="IOO33" s="127"/>
      <c r="IOP33" s="127"/>
      <c r="IOQ33" s="127"/>
      <c r="IOR33" s="127"/>
      <c r="IOS33" s="127"/>
      <c r="IOT33" s="127"/>
      <c r="IOU33" s="127"/>
      <c r="IOV33" s="127"/>
      <c r="IOW33" s="127"/>
      <c r="IOX33" s="127"/>
      <c r="IOY33" s="127"/>
      <c r="IOZ33" s="127"/>
      <c r="IPA33" s="127"/>
      <c r="IPB33" s="127"/>
      <c r="IPC33" s="127"/>
      <c r="IPD33" s="127"/>
      <c r="IPE33" s="127"/>
      <c r="IPF33" s="127"/>
      <c r="IPG33" s="127"/>
      <c r="IPH33" s="127"/>
      <c r="IPI33" s="127"/>
      <c r="IPJ33" s="127"/>
      <c r="IPK33" s="127"/>
      <c r="IPL33" s="127"/>
      <c r="IPM33" s="127"/>
      <c r="IPN33" s="127"/>
      <c r="IPO33" s="127"/>
      <c r="IPP33" s="127"/>
      <c r="IPQ33" s="127"/>
      <c r="IPR33" s="127"/>
      <c r="IPS33" s="127"/>
      <c r="IPT33" s="127"/>
      <c r="IPU33" s="127"/>
      <c r="IPV33" s="127"/>
      <c r="IPW33" s="127"/>
      <c r="IPX33" s="127"/>
      <c r="IPY33" s="127"/>
      <c r="IPZ33" s="127"/>
      <c r="IQA33" s="127"/>
      <c r="IQB33" s="127"/>
      <c r="IQC33" s="127"/>
      <c r="IQD33" s="127"/>
      <c r="IQE33" s="127"/>
      <c r="IQF33" s="127"/>
      <c r="IQG33" s="127"/>
      <c r="IQH33" s="127"/>
      <c r="IQI33" s="127"/>
      <c r="IQJ33" s="127"/>
      <c r="IQK33" s="127"/>
      <c r="IQL33" s="127"/>
      <c r="IQM33" s="127"/>
      <c r="IQN33" s="127"/>
      <c r="IQO33" s="127"/>
      <c r="IQP33" s="127"/>
      <c r="IQQ33" s="127"/>
      <c r="IQR33" s="127"/>
      <c r="IQS33" s="127"/>
      <c r="IQT33" s="127"/>
      <c r="IQU33" s="127"/>
      <c r="IQV33" s="127"/>
      <c r="IQW33" s="127"/>
      <c r="IQX33" s="127"/>
      <c r="IQY33" s="127"/>
      <c r="IQZ33" s="127"/>
      <c r="IRA33" s="127"/>
      <c r="IRB33" s="127"/>
      <c r="IRC33" s="127"/>
      <c r="IRD33" s="127"/>
      <c r="IRE33" s="127"/>
      <c r="IRF33" s="127"/>
      <c r="IRG33" s="127"/>
      <c r="IRH33" s="127"/>
      <c r="IRI33" s="127"/>
      <c r="IRJ33" s="127"/>
      <c r="IRK33" s="127"/>
      <c r="IRL33" s="127"/>
      <c r="IRM33" s="127"/>
      <c r="IRN33" s="127"/>
      <c r="IRO33" s="127"/>
      <c r="IRP33" s="127"/>
      <c r="IRQ33" s="127"/>
      <c r="IRR33" s="127"/>
      <c r="IRS33" s="127"/>
      <c r="IRT33" s="127"/>
      <c r="IRU33" s="127"/>
      <c r="IRV33" s="127"/>
      <c r="IRW33" s="127"/>
      <c r="IRX33" s="127"/>
      <c r="IRY33" s="127"/>
      <c r="IRZ33" s="127"/>
      <c r="ISA33" s="127"/>
      <c r="ISB33" s="127"/>
      <c r="ISC33" s="127"/>
      <c r="ISD33" s="127"/>
      <c r="ISE33" s="127"/>
      <c r="ISF33" s="127"/>
      <c r="ISG33" s="127"/>
      <c r="ISH33" s="127"/>
      <c r="ISI33" s="127"/>
      <c r="ISJ33" s="127"/>
      <c r="ISK33" s="127"/>
      <c r="ISL33" s="127"/>
      <c r="ISM33" s="127"/>
      <c r="ISN33" s="127"/>
      <c r="ISO33" s="127"/>
      <c r="ISP33" s="127"/>
      <c r="ISQ33" s="127"/>
      <c r="ISR33" s="127"/>
      <c r="ISS33" s="127"/>
      <c r="IST33" s="127"/>
      <c r="ISU33" s="127"/>
      <c r="ISV33" s="127"/>
      <c r="ISW33" s="127"/>
      <c r="ISX33" s="127"/>
      <c r="ISY33" s="127"/>
      <c r="ISZ33" s="127"/>
      <c r="ITA33" s="127"/>
      <c r="ITB33" s="127"/>
      <c r="ITC33" s="127"/>
      <c r="ITD33" s="127"/>
      <c r="ITE33" s="127"/>
      <c r="ITF33" s="127"/>
      <c r="ITG33" s="127"/>
      <c r="ITH33" s="127"/>
      <c r="ITI33" s="127"/>
      <c r="ITJ33" s="127"/>
      <c r="ITK33" s="127"/>
      <c r="ITL33" s="127"/>
      <c r="ITM33" s="127"/>
      <c r="ITN33" s="127"/>
      <c r="ITO33" s="127"/>
      <c r="ITP33" s="127"/>
      <c r="ITQ33" s="127"/>
      <c r="ITR33" s="127"/>
      <c r="ITS33" s="127"/>
      <c r="ITT33" s="127"/>
      <c r="ITU33" s="127"/>
      <c r="ITV33" s="127"/>
      <c r="ITW33" s="127"/>
      <c r="ITX33" s="127"/>
      <c r="ITY33" s="127"/>
      <c r="ITZ33" s="127"/>
      <c r="IUA33" s="127"/>
      <c r="IUB33" s="127"/>
      <c r="IUC33" s="127"/>
      <c r="IUD33" s="127"/>
      <c r="IUE33" s="127"/>
      <c r="IUF33" s="127"/>
      <c r="IUG33" s="127"/>
      <c r="IUH33" s="127"/>
      <c r="IUI33" s="127"/>
      <c r="IUJ33" s="127"/>
      <c r="IUK33" s="127"/>
      <c r="IUL33" s="127"/>
      <c r="IUM33" s="127"/>
      <c r="IUN33" s="127"/>
      <c r="IUO33" s="127"/>
      <c r="IUP33" s="127"/>
      <c r="IUQ33" s="127"/>
      <c r="IUR33" s="127"/>
      <c r="IUS33" s="127"/>
      <c r="IUT33" s="127"/>
      <c r="IUU33" s="127"/>
      <c r="IUV33" s="127"/>
      <c r="IUW33" s="127"/>
      <c r="IUX33" s="127"/>
      <c r="IUY33" s="127"/>
      <c r="IUZ33" s="127"/>
      <c r="IVA33" s="127"/>
      <c r="IVB33" s="127"/>
      <c r="IVC33" s="127"/>
      <c r="IVD33" s="127"/>
      <c r="IVE33" s="127"/>
      <c r="IVF33" s="127"/>
      <c r="IVG33" s="127"/>
      <c r="IVH33" s="127"/>
      <c r="IVI33" s="127"/>
      <c r="IVJ33" s="127"/>
      <c r="IVK33" s="127"/>
      <c r="IVL33" s="127"/>
      <c r="IVM33" s="127"/>
      <c r="IVN33" s="127"/>
      <c r="IVO33" s="127"/>
      <c r="IVP33" s="127"/>
      <c r="IVQ33" s="127"/>
      <c r="IVR33" s="127"/>
      <c r="IVS33" s="127"/>
      <c r="IVT33" s="127"/>
      <c r="IVU33" s="127"/>
      <c r="IVV33" s="127"/>
      <c r="IVW33" s="127"/>
      <c r="IVX33" s="127"/>
      <c r="IVY33" s="127"/>
      <c r="IVZ33" s="127"/>
      <c r="IWA33" s="127"/>
      <c r="IWB33" s="127"/>
      <c r="IWC33" s="127"/>
      <c r="IWD33" s="127"/>
      <c r="IWE33" s="127"/>
      <c r="IWF33" s="127"/>
      <c r="IWG33" s="127"/>
      <c r="IWH33" s="127"/>
      <c r="IWI33" s="127"/>
      <c r="IWJ33" s="127"/>
      <c r="IWK33" s="127"/>
      <c r="IWL33" s="127"/>
      <c r="IWM33" s="127"/>
      <c r="IWN33" s="127"/>
      <c r="IWO33" s="127"/>
      <c r="IWP33" s="127"/>
      <c r="IWQ33" s="127"/>
      <c r="IWR33" s="127"/>
      <c r="IWS33" s="127"/>
      <c r="IWT33" s="127"/>
      <c r="IWU33" s="127"/>
      <c r="IWV33" s="127"/>
      <c r="IWW33" s="127"/>
      <c r="IWX33" s="127"/>
      <c r="IWY33" s="127"/>
      <c r="IWZ33" s="127"/>
      <c r="IXA33" s="127"/>
      <c r="IXB33" s="127"/>
      <c r="IXC33" s="127"/>
      <c r="IXD33" s="127"/>
      <c r="IXE33" s="127"/>
      <c r="IXF33" s="127"/>
      <c r="IXG33" s="127"/>
      <c r="IXH33" s="127"/>
      <c r="IXI33" s="127"/>
      <c r="IXJ33" s="127"/>
      <c r="IXK33" s="127"/>
      <c r="IXL33" s="127"/>
      <c r="IXM33" s="127"/>
      <c r="IXN33" s="127"/>
      <c r="IXO33" s="127"/>
      <c r="IXP33" s="127"/>
      <c r="IXQ33" s="127"/>
      <c r="IXR33" s="127"/>
      <c r="IXS33" s="127"/>
      <c r="IXT33" s="127"/>
      <c r="IXU33" s="127"/>
      <c r="IXV33" s="127"/>
      <c r="IXW33" s="127"/>
      <c r="IXX33" s="127"/>
      <c r="IXY33" s="127"/>
      <c r="IXZ33" s="127"/>
      <c r="IYA33" s="127"/>
      <c r="IYB33" s="127"/>
      <c r="IYC33" s="127"/>
      <c r="IYD33" s="127"/>
      <c r="IYE33" s="127"/>
      <c r="IYF33" s="127"/>
      <c r="IYG33" s="127"/>
      <c r="IYH33" s="127"/>
      <c r="IYI33" s="127"/>
      <c r="IYJ33" s="127"/>
      <c r="IYK33" s="127"/>
      <c r="IYL33" s="127"/>
      <c r="IYM33" s="127"/>
      <c r="IYN33" s="127"/>
      <c r="IYO33" s="127"/>
      <c r="IYP33" s="127"/>
      <c r="IYQ33" s="127"/>
      <c r="IYR33" s="127"/>
      <c r="IYS33" s="127"/>
      <c r="IYT33" s="127"/>
      <c r="IYU33" s="127"/>
      <c r="IYV33" s="127"/>
      <c r="IYW33" s="127"/>
      <c r="IYX33" s="127"/>
      <c r="IYY33" s="127"/>
      <c r="IYZ33" s="127"/>
      <c r="IZA33" s="127"/>
      <c r="IZB33" s="127"/>
      <c r="IZC33" s="127"/>
      <c r="IZD33" s="127"/>
      <c r="IZE33" s="127"/>
      <c r="IZF33" s="127"/>
      <c r="IZG33" s="127"/>
      <c r="IZH33" s="127"/>
      <c r="IZI33" s="127"/>
      <c r="IZJ33" s="127"/>
      <c r="IZK33" s="127"/>
      <c r="IZL33" s="127"/>
      <c r="IZM33" s="127"/>
      <c r="IZN33" s="127"/>
      <c r="IZO33" s="127"/>
      <c r="IZP33" s="127"/>
      <c r="IZQ33" s="127"/>
      <c r="IZR33" s="127"/>
      <c r="IZS33" s="127"/>
      <c r="IZT33" s="127"/>
      <c r="IZU33" s="127"/>
      <c r="IZV33" s="127"/>
      <c r="IZW33" s="127"/>
      <c r="IZX33" s="127"/>
      <c r="IZY33" s="127"/>
      <c r="IZZ33" s="127"/>
      <c r="JAA33" s="127"/>
      <c r="JAB33" s="127"/>
      <c r="JAC33" s="127"/>
      <c r="JAD33" s="127"/>
      <c r="JAE33" s="127"/>
      <c r="JAF33" s="127"/>
      <c r="JAG33" s="127"/>
      <c r="JAH33" s="127"/>
      <c r="JAI33" s="127"/>
      <c r="JAJ33" s="127"/>
      <c r="JAK33" s="127"/>
      <c r="JAL33" s="127"/>
      <c r="JAM33" s="127"/>
      <c r="JAN33" s="127"/>
      <c r="JAO33" s="127"/>
      <c r="JAP33" s="127"/>
      <c r="JAQ33" s="127"/>
      <c r="JAR33" s="127"/>
      <c r="JAS33" s="127"/>
      <c r="JAT33" s="127"/>
      <c r="JAU33" s="127"/>
      <c r="JAV33" s="127"/>
      <c r="JAW33" s="127"/>
      <c r="JAX33" s="127"/>
      <c r="JAY33" s="127"/>
      <c r="JAZ33" s="127"/>
      <c r="JBA33" s="127"/>
      <c r="JBB33" s="127"/>
      <c r="JBC33" s="127"/>
      <c r="JBD33" s="127"/>
      <c r="JBE33" s="127"/>
      <c r="JBF33" s="127"/>
      <c r="JBG33" s="127"/>
      <c r="JBH33" s="127"/>
      <c r="JBI33" s="127"/>
      <c r="JBJ33" s="127"/>
      <c r="JBK33" s="127"/>
      <c r="JBL33" s="127"/>
      <c r="JBM33" s="127"/>
      <c r="JBN33" s="127"/>
      <c r="JBO33" s="127"/>
      <c r="JBP33" s="127"/>
      <c r="JBQ33" s="127"/>
      <c r="JBR33" s="127"/>
      <c r="JBS33" s="127"/>
      <c r="JBT33" s="127"/>
      <c r="JBU33" s="127"/>
      <c r="JBV33" s="127"/>
      <c r="JBW33" s="127"/>
      <c r="JBX33" s="127"/>
      <c r="JBY33" s="127"/>
      <c r="JBZ33" s="127"/>
      <c r="JCA33" s="127"/>
      <c r="JCB33" s="127"/>
      <c r="JCC33" s="127"/>
      <c r="JCD33" s="127"/>
      <c r="JCE33" s="127"/>
      <c r="JCF33" s="127"/>
      <c r="JCG33" s="127"/>
      <c r="JCH33" s="127"/>
      <c r="JCI33" s="127"/>
      <c r="JCJ33" s="127"/>
      <c r="JCK33" s="127"/>
      <c r="JCL33" s="127"/>
      <c r="JCM33" s="127"/>
      <c r="JCN33" s="127"/>
      <c r="JCO33" s="127"/>
      <c r="JCP33" s="127"/>
      <c r="JCQ33" s="127"/>
      <c r="JCR33" s="127"/>
      <c r="JCS33" s="127"/>
      <c r="JCT33" s="127"/>
      <c r="JCU33" s="127"/>
      <c r="JCV33" s="127"/>
      <c r="JCW33" s="127"/>
      <c r="JCX33" s="127"/>
      <c r="JCY33" s="127"/>
      <c r="JCZ33" s="127"/>
      <c r="JDA33" s="127"/>
      <c r="JDB33" s="127"/>
      <c r="JDC33" s="127"/>
      <c r="JDD33" s="127"/>
      <c r="JDE33" s="127"/>
      <c r="JDF33" s="127"/>
      <c r="JDG33" s="127"/>
      <c r="JDH33" s="127"/>
      <c r="JDI33" s="127"/>
      <c r="JDJ33" s="127"/>
      <c r="JDK33" s="127"/>
      <c r="JDL33" s="127"/>
      <c r="JDM33" s="127"/>
      <c r="JDN33" s="127"/>
      <c r="JDO33" s="127"/>
      <c r="JDP33" s="127"/>
      <c r="JDQ33" s="127"/>
      <c r="JDR33" s="127"/>
      <c r="JDS33" s="127"/>
      <c r="JDT33" s="127"/>
      <c r="JDU33" s="127"/>
      <c r="JDV33" s="127"/>
      <c r="JDW33" s="127"/>
      <c r="JDX33" s="127"/>
      <c r="JDY33" s="127"/>
      <c r="JDZ33" s="127"/>
      <c r="JEA33" s="127"/>
      <c r="JEB33" s="127"/>
      <c r="JEC33" s="127"/>
      <c r="JED33" s="127"/>
      <c r="JEE33" s="127"/>
      <c r="JEF33" s="127"/>
      <c r="JEG33" s="127"/>
      <c r="JEH33" s="127"/>
      <c r="JEI33" s="127"/>
      <c r="JEJ33" s="127"/>
      <c r="JEK33" s="127"/>
      <c r="JEL33" s="127"/>
      <c r="JEM33" s="127"/>
      <c r="JEN33" s="127"/>
      <c r="JEO33" s="127"/>
      <c r="JEP33" s="127"/>
      <c r="JEQ33" s="127"/>
      <c r="JER33" s="127"/>
      <c r="JES33" s="127"/>
      <c r="JET33" s="127"/>
      <c r="JEU33" s="127"/>
      <c r="JEV33" s="127"/>
      <c r="JEW33" s="127"/>
      <c r="JEX33" s="127"/>
      <c r="JEY33" s="127"/>
      <c r="JEZ33" s="127"/>
      <c r="JFA33" s="127"/>
      <c r="JFB33" s="127"/>
      <c r="JFC33" s="127"/>
      <c r="JFD33" s="127"/>
      <c r="JFE33" s="127"/>
      <c r="JFF33" s="127"/>
      <c r="JFG33" s="127"/>
      <c r="JFH33" s="127"/>
      <c r="JFI33" s="127"/>
      <c r="JFJ33" s="127"/>
      <c r="JFK33" s="127"/>
      <c r="JFL33" s="127"/>
      <c r="JFM33" s="127"/>
      <c r="JFN33" s="127"/>
      <c r="JFO33" s="127"/>
      <c r="JFP33" s="127"/>
      <c r="JFQ33" s="127"/>
      <c r="JFR33" s="127"/>
      <c r="JFS33" s="127"/>
      <c r="JFT33" s="127"/>
      <c r="JFU33" s="127"/>
      <c r="JFV33" s="127"/>
      <c r="JFW33" s="127"/>
      <c r="JFX33" s="127"/>
      <c r="JFY33" s="127"/>
      <c r="JFZ33" s="127"/>
      <c r="JGA33" s="127"/>
      <c r="JGB33" s="127"/>
      <c r="JGC33" s="127"/>
      <c r="JGD33" s="127"/>
      <c r="JGE33" s="127"/>
      <c r="JGF33" s="127"/>
      <c r="JGG33" s="127"/>
      <c r="JGH33" s="127"/>
      <c r="JGI33" s="127"/>
      <c r="JGJ33" s="127"/>
      <c r="JGK33" s="127"/>
      <c r="JGL33" s="127"/>
      <c r="JGM33" s="127"/>
      <c r="JGN33" s="127"/>
      <c r="JGO33" s="127"/>
      <c r="JGP33" s="127"/>
      <c r="JGQ33" s="127"/>
      <c r="JGR33" s="127"/>
      <c r="JGS33" s="127"/>
      <c r="JGT33" s="127"/>
      <c r="JGU33" s="127"/>
      <c r="JGV33" s="127"/>
      <c r="JGW33" s="127"/>
      <c r="JGX33" s="127"/>
      <c r="JGY33" s="127"/>
      <c r="JGZ33" s="127"/>
      <c r="JHA33" s="127"/>
      <c r="JHB33" s="127"/>
      <c r="JHC33" s="127"/>
      <c r="JHD33" s="127"/>
      <c r="JHE33" s="127"/>
      <c r="JHF33" s="127"/>
      <c r="JHG33" s="127"/>
      <c r="JHH33" s="127"/>
      <c r="JHI33" s="127"/>
      <c r="JHJ33" s="127"/>
      <c r="JHK33" s="127"/>
      <c r="JHL33" s="127"/>
      <c r="JHM33" s="127"/>
      <c r="JHN33" s="127"/>
      <c r="JHO33" s="127"/>
      <c r="JHP33" s="127"/>
      <c r="JHQ33" s="127"/>
      <c r="JHR33" s="127"/>
      <c r="JHS33" s="127"/>
      <c r="JHT33" s="127"/>
      <c r="JHU33" s="127"/>
      <c r="JHV33" s="127"/>
      <c r="JHW33" s="127"/>
      <c r="JHX33" s="127"/>
      <c r="JHY33" s="127"/>
      <c r="JHZ33" s="127"/>
      <c r="JIA33" s="127"/>
      <c r="JIB33" s="127"/>
      <c r="JIC33" s="127"/>
      <c r="JID33" s="127"/>
      <c r="JIE33" s="127"/>
      <c r="JIF33" s="127"/>
      <c r="JIG33" s="127"/>
      <c r="JIH33" s="127"/>
      <c r="JII33" s="127"/>
      <c r="JIJ33" s="127"/>
      <c r="JIK33" s="127"/>
      <c r="JIL33" s="127"/>
      <c r="JIM33" s="127"/>
      <c r="JIN33" s="127"/>
      <c r="JIO33" s="127"/>
      <c r="JIP33" s="127"/>
      <c r="JIQ33" s="127"/>
      <c r="JIR33" s="127"/>
      <c r="JIS33" s="127"/>
      <c r="JIT33" s="127"/>
      <c r="JIU33" s="127"/>
      <c r="JIV33" s="127"/>
      <c r="JIW33" s="127"/>
      <c r="JIX33" s="127"/>
      <c r="JIY33" s="127"/>
      <c r="JIZ33" s="127"/>
      <c r="JJA33" s="127"/>
      <c r="JJB33" s="127"/>
      <c r="JJC33" s="127"/>
      <c r="JJD33" s="127"/>
      <c r="JJE33" s="127"/>
      <c r="JJF33" s="127"/>
      <c r="JJG33" s="127"/>
      <c r="JJH33" s="127"/>
      <c r="JJI33" s="127"/>
      <c r="JJJ33" s="127"/>
      <c r="JJK33" s="127"/>
      <c r="JJL33" s="127"/>
      <c r="JJM33" s="127"/>
      <c r="JJN33" s="127"/>
      <c r="JJO33" s="127"/>
      <c r="JJP33" s="127"/>
      <c r="JJQ33" s="127"/>
      <c r="JJR33" s="127"/>
      <c r="JJS33" s="127"/>
      <c r="JJT33" s="127"/>
      <c r="JJU33" s="127"/>
      <c r="JJV33" s="127"/>
      <c r="JJW33" s="127"/>
      <c r="JJX33" s="127"/>
      <c r="JJY33" s="127"/>
      <c r="JJZ33" s="127"/>
      <c r="JKA33" s="127"/>
      <c r="JKB33" s="127"/>
      <c r="JKC33" s="127"/>
      <c r="JKD33" s="127"/>
      <c r="JKE33" s="127"/>
      <c r="JKF33" s="127"/>
      <c r="JKG33" s="127"/>
      <c r="JKH33" s="127"/>
      <c r="JKI33" s="127"/>
      <c r="JKJ33" s="127"/>
      <c r="JKK33" s="127"/>
      <c r="JKL33" s="127"/>
      <c r="JKM33" s="127"/>
      <c r="JKN33" s="127"/>
      <c r="JKO33" s="127"/>
      <c r="JKP33" s="127"/>
      <c r="JKQ33" s="127"/>
      <c r="JKR33" s="127"/>
      <c r="JKS33" s="127"/>
      <c r="JKT33" s="127"/>
      <c r="JKU33" s="127"/>
      <c r="JKV33" s="127"/>
      <c r="JKW33" s="127"/>
      <c r="JKX33" s="127"/>
      <c r="JKY33" s="127"/>
      <c r="JKZ33" s="127"/>
      <c r="JLA33" s="127"/>
      <c r="JLB33" s="127"/>
      <c r="JLC33" s="127"/>
      <c r="JLD33" s="127"/>
      <c r="JLE33" s="127"/>
      <c r="JLF33" s="127"/>
      <c r="JLG33" s="127"/>
      <c r="JLH33" s="127"/>
      <c r="JLI33" s="127"/>
      <c r="JLJ33" s="127"/>
      <c r="JLK33" s="127"/>
      <c r="JLL33" s="127"/>
      <c r="JLM33" s="127"/>
      <c r="JLN33" s="127"/>
      <c r="JLO33" s="127"/>
      <c r="JLP33" s="127"/>
      <c r="JLQ33" s="127"/>
      <c r="JLR33" s="127"/>
      <c r="JLS33" s="127"/>
      <c r="JLT33" s="127"/>
      <c r="JLU33" s="127"/>
      <c r="JLV33" s="127"/>
      <c r="JLW33" s="127"/>
      <c r="JLX33" s="127"/>
      <c r="JLY33" s="127"/>
      <c r="JLZ33" s="127"/>
      <c r="JMA33" s="127"/>
      <c r="JMB33" s="127"/>
      <c r="JMC33" s="127"/>
      <c r="JMD33" s="127"/>
      <c r="JME33" s="127"/>
      <c r="JMF33" s="127"/>
      <c r="JMG33" s="127"/>
      <c r="JMH33" s="127"/>
      <c r="JMI33" s="127"/>
      <c r="JMJ33" s="127"/>
      <c r="JMK33" s="127"/>
      <c r="JML33" s="127"/>
      <c r="JMM33" s="127"/>
      <c r="JMN33" s="127"/>
      <c r="JMO33" s="127"/>
      <c r="JMP33" s="127"/>
      <c r="JMQ33" s="127"/>
      <c r="JMR33" s="127"/>
      <c r="JMS33" s="127"/>
      <c r="JMT33" s="127"/>
      <c r="JMU33" s="127"/>
      <c r="JMV33" s="127"/>
      <c r="JMW33" s="127"/>
      <c r="JMX33" s="127"/>
      <c r="JMY33" s="127"/>
      <c r="JMZ33" s="127"/>
      <c r="JNA33" s="127"/>
      <c r="JNB33" s="127"/>
      <c r="JNC33" s="127"/>
      <c r="JND33" s="127"/>
      <c r="JNE33" s="127"/>
      <c r="JNF33" s="127"/>
      <c r="JNG33" s="127"/>
      <c r="JNH33" s="127"/>
      <c r="JNI33" s="127"/>
      <c r="JNJ33" s="127"/>
      <c r="JNK33" s="127"/>
      <c r="JNL33" s="127"/>
      <c r="JNM33" s="127"/>
      <c r="JNN33" s="127"/>
      <c r="JNO33" s="127"/>
      <c r="JNP33" s="127"/>
      <c r="JNQ33" s="127"/>
      <c r="JNR33" s="127"/>
      <c r="JNS33" s="127"/>
      <c r="JNT33" s="127"/>
      <c r="JNU33" s="127"/>
      <c r="JNV33" s="127"/>
      <c r="JNW33" s="127"/>
      <c r="JNX33" s="127"/>
      <c r="JNY33" s="127"/>
      <c r="JNZ33" s="127"/>
      <c r="JOA33" s="127"/>
      <c r="JOB33" s="127"/>
      <c r="JOC33" s="127"/>
      <c r="JOD33" s="127"/>
      <c r="JOE33" s="127"/>
      <c r="JOF33" s="127"/>
      <c r="JOG33" s="127"/>
      <c r="JOH33" s="127"/>
      <c r="JOI33" s="127"/>
      <c r="JOJ33" s="127"/>
      <c r="JOK33" s="127"/>
      <c r="JOL33" s="127"/>
      <c r="JOM33" s="127"/>
      <c r="JON33" s="127"/>
      <c r="JOO33" s="127"/>
      <c r="JOP33" s="127"/>
      <c r="JOQ33" s="127"/>
      <c r="JOR33" s="127"/>
      <c r="JOS33" s="127"/>
      <c r="JOT33" s="127"/>
      <c r="JOU33" s="127"/>
      <c r="JOV33" s="127"/>
      <c r="JOW33" s="127"/>
      <c r="JOX33" s="127"/>
      <c r="JOY33" s="127"/>
      <c r="JOZ33" s="127"/>
      <c r="JPA33" s="127"/>
      <c r="JPB33" s="127"/>
      <c r="JPC33" s="127"/>
      <c r="JPD33" s="127"/>
      <c r="JPE33" s="127"/>
      <c r="JPF33" s="127"/>
      <c r="JPG33" s="127"/>
      <c r="JPH33" s="127"/>
      <c r="JPI33" s="127"/>
      <c r="JPJ33" s="127"/>
      <c r="JPK33" s="127"/>
      <c r="JPL33" s="127"/>
      <c r="JPM33" s="127"/>
      <c r="JPN33" s="127"/>
      <c r="JPO33" s="127"/>
      <c r="JPP33" s="127"/>
      <c r="JPQ33" s="127"/>
      <c r="JPR33" s="127"/>
      <c r="JPS33" s="127"/>
      <c r="JPT33" s="127"/>
      <c r="JPU33" s="127"/>
      <c r="JPV33" s="127"/>
      <c r="JPW33" s="127"/>
      <c r="JPX33" s="127"/>
      <c r="JPY33" s="127"/>
      <c r="JPZ33" s="127"/>
      <c r="JQA33" s="127"/>
      <c r="JQB33" s="127"/>
      <c r="JQC33" s="127"/>
      <c r="JQD33" s="127"/>
      <c r="JQE33" s="127"/>
      <c r="JQF33" s="127"/>
      <c r="JQG33" s="127"/>
      <c r="JQH33" s="127"/>
      <c r="JQI33" s="127"/>
      <c r="JQJ33" s="127"/>
      <c r="JQK33" s="127"/>
      <c r="JQL33" s="127"/>
      <c r="JQM33" s="127"/>
      <c r="JQN33" s="127"/>
      <c r="JQO33" s="127"/>
      <c r="JQP33" s="127"/>
      <c r="JQQ33" s="127"/>
      <c r="JQR33" s="127"/>
      <c r="JQS33" s="127"/>
      <c r="JQT33" s="127"/>
      <c r="JQU33" s="127"/>
      <c r="JQV33" s="127"/>
      <c r="JQW33" s="127"/>
      <c r="JQX33" s="127"/>
      <c r="JQY33" s="127"/>
      <c r="JQZ33" s="127"/>
      <c r="JRA33" s="127"/>
      <c r="JRB33" s="127"/>
      <c r="JRC33" s="127"/>
      <c r="JRD33" s="127"/>
      <c r="JRE33" s="127"/>
      <c r="JRF33" s="127"/>
      <c r="JRG33" s="127"/>
      <c r="JRH33" s="127"/>
      <c r="JRI33" s="127"/>
      <c r="JRJ33" s="127"/>
      <c r="JRK33" s="127"/>
      <c r="JRL33" s="127"/>
      <c r="JRM33" s="127"/>
      <c r="JRN33" s="127"/>
      <c r="JRO33" s="127"/>
      <c r="JRP33" s="127"/>
      <c r="JRQ33" s="127"/>
      <c r="JRR33" s="127"/>
      <c r="JRS33" s="127"/>
      <c r="JRT33" s="127"/>
      <c r="JRU33" s="127"/>
      <c r="JRV33" s="127"/>
      <c r="JRW33" s="127"/>
      <c r="JRX33" s="127"/>
      <c r="JRY33" s="127"/>
      <c r="JRZ33" s="127"/>
      <c r="JSA33" s="127"/>
      <c r="JSB33" s="127"/>
      <c r="JSC33" s="127"/>
      <c r="JSD33" s="127"/>
      <c r="JSE33" s="127"/>
      <c r="JSF33" s="127"/>
      <c r="JSG33" s="127"/>
      <c r="JSH33" s="127"/>
      <c r="JSI33" s="127"/>
      <c r="JSJ33" s="127"/>
      <c r="JSK33" s="127"/>
      <c r="JSL33" s="127"/>
      <c r="JSM33" s="127"/>
      <c r="JSN33" s="127"/>
      <c r="JSO33" s="127"/>
      <c r="JSP33" s="127"/>
      <c r="JSQ33" s="127"/>
      <c r="JSR33" s="127"/>
      <c r="JSS33" s="127"/>
      <c r="JST33" s="127"/>
      <c r="JSU33" s="127"/>
      <c r="JSV33" s="127"/>
      <c r="JSW33" s="127"/>
      <c r="JSX33" s="127"/>
      <c r="JSY33" s="127"/>
      <c r="JSZ33" s="127"/>
      <c r="JTA33" s="127"/>
      <c r="JTB33" s="127"/>
      <c r="JTC33" s="127"/>
      <c r="JTD33" s="127"/>
      <c r="JTE33" s="127"/>
      <c r="JTF33" s="127"/>
      <c r="JTG33" s="127"/>
      <c r="JTH33" s="127"/>
      <c r="JTI33" s="127"/>
      <c r="JTJ33" s="127"/>
      <c r="JTK33" s="127"/>
      <c r="JTL33" s="127"/>
      <c r="JTM33" s="127"/>
      <c r="JTN33" s="127"/>
      <c r="JTO33" s="127"/>
      <c r="JTP33" s="127"/>
      <c r="JTQ33" s="127"/>
      <c r="JTR33" s="127"/>
      <c r="JTS33" s="127"/>
      <c r="JTT33" s="127"/>
      <c r="JTU33" s="127"/>
      <c r="JTV33" s="127"/>
      <c r="JTW33" s="127"/>
      <c r="JTX33" s="127"/>
      <c r="JTY33" s="127"/>
      <c r="JTZ33" s="127"/>
      <c r="JUA33" s="127"/>
      <c r="JUB33" s="127"/>
      <c r="JUC33" s="127"/>
      <c r="JUD33" s="127"/>
      <c r="JUE33" s="127"/>
      <c r="JUF33" s="127"/>
      <c r="JUG33" s="127"/>
      <c r="JUH33" s="127"/>
      <c r="JUI33" s="127"/>
      <c r="JUJ33" s="127"/>
      <c r="JUK33" s="127"/>
      <c r="JUL33" s="127"/>
      <c r="JUM33" s="127"/>
      <c r="JUN33" s="127"/>
      <c r="JUO33" s="127"/>
      <c r="JUP33" s="127"/>
      <c r="JUQ33" s="127"/>
      <c r="JUR33" s="127"/>
      <c r="JUS33" s="127"/>
      <c r="JUT33" s="127"/>
      <c r="JUU33" s="127"/>
      <c r="JUV33" s="127"/>
      <c r="JUW33" s="127"/>
      <c r="JUX33" s="127"/>
      <c r="JUY33" s="127"/>
      <c r="JUZ33" s="127"/>
      <c r="JVA33" s="127"/>
      <c r="JVB33" s="127"/>
      <c r="JVC33" s="127"/>
      <c r="JVD33" s="127"/>
      <c r="JVE33" s="127"/>
      <c r="JVF33" s="127"/>
      <c r="JVG33" s="127"/>
      <c r="JVH33" s="127"/>
      <c r="JVI33" s="127"/>
      <c r="JVJ33" s="127"/>
      <c r="JVK33" s="127"/>
      <c r="JVL33" s="127"/>
      <c r="JVM33" s="127"/>
      <c r="JVN33" s="127"/>
      <c r="JVO33" s="127"/>
      <c r="JVP33" s="127"/>
      <c r="JVQ33" s="127"/>
      <c r="JVR33" s="127"/>
      <c r="JVS33" s="127"/>
      <c r="JVT33" s="127"/>
      <c r="JVU33" s="127"/>
      <c r="JVV33" s="127"/>
      <c r="JVW33" s="127"/>
      <c r="JVX33" s="127"/>
      <c r="JVY33" s="127"/>
      <c r="JVZ33" s="127"/>
      <c r="JWA33" s="127"/>
      <c r="JWB33" s="127"/>
      <c r="JWC33" s="127"/>
      <c r="JWD33" s="127"/>
      <c r="JWE33" s="127"/>
      <c r="JWF33" s="127"/>
      <c r="JWG33" s="127"/>
      <c r="JWH33" s="127"/>
      <c r="JWI33" s="127"/>
      <c r="JWJ33" s="127"/>
      <c r="JWK33" s="127"/>
      <c r="JWL33" s="127"/>
      <c r="JWM33" s="127"/>
      <c r="JWN33" s="127"/>
      <c r="JWO33" s="127"/>
      <c r="JWP33" s="127"/>
      <c r="JWQ33" s="127"/>
      <c r="JWR33" s="127"/>
      <c r="JWS33" s="127"/>
      <c r="JWT33" s="127"/>
      <c r="JWU33" s="127"/>
      <c r="JWV33" s="127"/>
      <c r="JWW33" s="127"/>
      <c r="JWX33" s="127"/>
      <c r="JWY33" s="127"/>
      <c r="JWZ33" s="127"/>
      <c r="JXA33" s="127"/>
      <c r="JXB33" s="127"/>
      <c r="JXC33" s="127"/>
      <c r="JXD33" s="127"/>
      <c r="JXE33" s="127"/>
      <c r="JXF33" s="127"/>
      <c r="JXG33" s="127"/>
      <c r="JXH33" s="127"/>
      <c r="JXI33" s="127"/>
      <c r="JXJ33" s="127"/>
      <c r="JXK33" s="127"/>
      <c r="JXL33" s="127"/>
      <c r="JXM33" s="127"/>
      <c r="JXN33" s="127"/>
      <c r="JXO33" s="127"/>
      <c r="JXP33" s="127"/>
      <c r="JXQ33" s="127"/>
      <c r="JXR33" s="127"/>
      <c r="JXS33" s="127"/>
      <c r="JXT33" s="127"/>
      <c r="JXU33" s="127"/>
      <c r="JXV33" s="127"/>
      <c r="JXW33" s="127"/>
      <c r="JXX33" s="127"/>
      <c r="JXY33" s="127"/>
      <c r="JXZ33" s="127"/>
      <c r="JYA33" s="127"/>
      <c r="JYB33" s="127"/>
      <c r="JYC33" s="127"/>
      <c r="JYD33" s="127"/>
      <c r="JYE33" s="127"/>
      <c r="JYF33" s="127"/>
      <c r="JYG33" s="127"/>
      <c r="JYH33" s="127"/>
      <c r="JYI33" s="127"/>
      <c r="JYJ33" s="127"/>
      <c r="JYK33" s="127"/>
      <c r="JYL33" s="127"/>
      <c r="JYM33" s="127"/>
      <c r="JYN33" s="127"/>
      <c r="JYO33" s="127"/>
      <c r="JYP33" s="127"/>
      <c r="JYQ33" s="127"/>
      <c r="JYR33" s="127"/>
      <c r="JYS33" s="127"/>
      <c r="JYT33" s="127"/>
      <c r="JYU33" s="127"/>
      <c r="JYV33" s="127"/>
      <c r="JYW33" s="127"/>
      <c r="JYX33" s="127"/>
      <c r="JYY33" s="127"/>
      <c r="JYZ33" s="127"/>
      <c r="JZA33" s="127"/>
      <c r="JZB33" s="127"/>
      <c r="JZC33" s="127"/>
      <c r="JZD33" s="127"/>
      <c r="JZE33" s="127"/>
      <c r="JZF33" s="127"/>
      <c r="JZG33" s="127"/>
      <c r="JZH33" s="127"/>
      <c r="JZI33" s="127"/>
      <c r="JZJ33" s="127"/>
      <c r="JZK33" s="127"/>
      <c r="JZL33" s="127"/>
      <c r="JZM33" s="127"/>
      <c r="JZN33" s="127"/>
      <c r="JZO33" s="127"/>
      <c r="JZP33" s="127"/>
      <c r="JZQ33" s="127"/>
      <c r="JZR33" s="127"/>
      <c r="JZS33" s="127"/>
      <c r="JZT33" s="127"/>
      <c r="JZU33" s="127"/>
      <c r="JZV33" s="127"/>
      <c r="JZW33" s="127"/>
      <c r="JZX33" s="127"/>
      <c r="JZY33" s="127"/>
      <c r="JZZ33" s="127"/>
      <c r="KAA33" s="127"/>
      <c r="KAB33" s="127"/>
      <c r="KAC33" s="127"/>
      <c r="KAD33" s="127"/>
      <c r="KAE33" s="127"/>
      <c r="KAF33" s="127"/>
      <c r="KAG33" s="127"/>
      <c r="KAH33" s="127"/>
      <c r="KAI33" s="127"/>
      <c r="KAJ33" s="127"/>
      <c r="KAK33" s="127"/>
      <c r="KAL33" s="127"/>
      <c r="KAM33" s="127"/>
      <c r="KAN33" s="127"/>
      <c r="KAO33" s="127"/>
      <c r="KAP33" s="127"/>
      <c r="KAQ33" s="127"/>
      <c r="KAR33" s="127"/>
      <c r="KAS33" s="127"/>
      <c r="KAT33" s="127"/>
      <c r="KAU33" s="127"/>
      <c r="KAV33" s="127"/>
      <c r="KAW33" s="127"/>
      <c r="KAX33" s="127"/>
      <c r="KAY33" s="127"/>
      <c r="KAZ33" s="127"/>
      <c r="KBA33" s="127"/>
      <c r="KBB33" s="127"/>
      <c r="KBC33" s="127"/>
      <c r="KBD33" s="127"/>
      <c r="KBE33" s="127"/>
      <c r="KBF33" s="127"/>
      <c r="KBG33" s="127"/>
      <c r="KBH33" s="127"/>
      <c r="KBI33" s="127"/>
      <c r="KBJ33" s="127"/>
      <c r="KBK33" s="127"/>
      <c r="KBL33" s="127"/>
      <c r="KBM33" s="127"/>
      <c r="KBN33" s="127"/>
      <c r="KBO33" s="127"/>
      <c r="KBP33" s="127"/>
      <c r="KBQ33" s="127"/>
      <c r="KBR33" s="127"/>
      <c r="KBS33" s="127"/>
      <c r="KBT33" s="127"/>
      <c r="KBU33" s="127"/>
      <c r="KBV33" s="127"/>
      <c r="KBW33" s="127"/>
      <c r="KBX33" s="127"/>
      <c r="KBY33" s="127"/>
      <c r="KBZ33" s="127"/>
      <c r="KCA33" s="127"/>
      <c r="KCB33" s="127"/>
      <c r="KCC33" s="127"/>
      <c r="KCD33" s="127"/>
      <c r="KCE33" s="127"/>
      <c r="KCF33" s="127"/>
      <c r="KCG33" s="127"/>
      <c r="KCH33" s="127"/>
      <c r="KCI33" s="127"/>
      <c r="KCJ33" s="127"/>
      <c r="KCK33" s="127"/>
      <c r="KCL33" s="127"/>
      <c r="KCM33" s="127"/>
      <c r="KCN33" s="127"/>
      <c r="KCO33" s="127"/>
      <c r="KCP33" s="127"/>
      <c r="KCQ33" s="127"/>
      <c r="KCR33" s="127"/>
      <c r="KCS33" s="127"/>
      <c r="KCT33" s="127"/>
      <c r="KCU33" s="127"/>
      <c r="KCV33" s="127"/>
      <c r="KCW33" s="127"/>
      <c r="KCX33" s="127"/>
      <c r="KCY33" s="127"/>
      <c r="KCZ33" s="127"/>
      <c r="KDA33" s="127"/>
      <c r="KDB33" s="127"/>
      <c r="KDC33" s="127"/>
      <c r="KDD33" s="127"/>
      <c r="KDE33" s="127"/>
      <c r="KDF33" s="127"/>
      <c r="KDG33" s="127"/>
      <c r="KDH33" s="127"/>
      <c r="KDI33" s="127"/>
      <c r="KDJ33" s="127"/>
      <c r="KDK33" s="127"/>
      <c r="KDL33" s="127"/>
      <c r="KDM33" s="127"/>
      <c r="KDN33" s="127"/>
      <c r="KDO33" s="127"/>
      <c r="KDP33" s="127"/>
      <c r="KDQ33" s="127"/>
      <c r="KDR33" s="127"/>
      <c r="KDS33" s="127"/>
      <c r="KDT33" s="127"/>
      <c r="KDU33" s="127"/>
      <c r="KDV33" s="127"/>
      <c r="KDW33" s="127"/>
      <c r="KDX33" s="127"/>
      <c r="KDY33" s="127"/>
      <c r="KDZ33" s="127"/>
      <c r="KEA33" s="127"/>
      <c r="KEB33" s="127"/>
      <c r="KEC33" s="127"/>
      <c r="KED33" s="127"/>
      <c r="KEE33" s="127"/>
      <c r="KEF33" s="127"/>
      <c r="KEG33" s="127"/>
      <c r="KEH33" s="127"/>
      <c r="KEI33" s="127"/>
      <c r="KEJ33" s="127"/>
      <c r="KEK33" s="127"/>
      <c r="KEL33" s="127"/>
      <c r="KEM33" s="127"/>
      <c r="KEN33" s="127"/>
      <c r="KEO33" s="127"/>
      <c r="KEP33" s="127"/>
      <c r="KEQ33" s="127"/>
      <c r="KER33" s="127"/>
      <c r="KES33" s="127"/>
      <c r="KET33" s="127"/>
      <c r="KEU33" s="127"/>
      <c r="KEV33" s="127"/>
      <c r="KEW33" s="127"/>
      <c r="KEX33" s="127"/>
      <c r="KEY33" s="127"/>
      <c r="KEZ33" s="127"/>
      <c r="KFA33" s="127"/>
      <c r="KFB33" s="127"/>
      <c r="KFC33" s="127"/>
      <c r="KFD33" s="127"/>
      <c r="KFE33" s="127"/>
      <c r="KFF33" s="127"/>
      <c r="KFG33" s="127"/>
      <c r="KFH33" s="127"/>
      <c r="KFI33" s="127"/>
      <c r="KFJ33" s="127"/>
      <c r="KFK33" s="127"/>
      <c r="KFL33" s="127"/>
      <c r="KFM33" s="127"/>
      <c r="KFN33" s="127"/>
      <c r="KFO33" s="127"/>
      <c r="KFP33" s="127"/>
      <c r="KFQ33" s="127"/>
      <c r="KFR33" s="127"/>
      <c r="KFS33" s="127"/>
      <c r="KFT33" s="127"/>
      <c r="KFU33" s="127"/>
      <c r="KFV33" s="127"/>
      <c r="KFW33" s="127"/>
      <c r="KFX33" s="127"/>
      <c r="KFY33" s="127"/>
      <c r="KFZ33" s="127"/>
      <c r="KGA33" s="127"/>
      <c r="KGB33" s="127"/>
      <c r="KGC33" s="127"/>
      <c r="KGD33" s="127"/>
      <c r="KGE33" s="127"/>
      <c r="KGF33" s="127"/>
      <c r="KGG33" s="127"/>
      <c r="KGH33" s="127"/>
      <c r="KGI33" s="127"/>
      <c r="KGJ33" s="127"/>
      <c r="KGK33" s="127"/>
      <c r="KGL33" s="127"/>
      <c r="KGM33" s="127"/>
      <c r="KGN33" s="127"/>
      <c r="KGO33" s="127"/>
      <c r="KGP33" s="127"/>
      <c r="KGQ33" s="127"/>
      <c r="KGR33" s="127"/>
      <c r="KGS33" s="127"/>
      <c r="KGT33" s="127"/>
      <c r="KGU33" s="127"/>
      <c r="KGV33" s="127"/>
      <c r="KGW33" s="127"/>
      <c r="KGX33" s="127"/>
      <c r="KGY33" s="127"/>
      <c r="KGZ33" s="127"/>
      <c r="KHA33" s="127"/>
      <c r="KHB33" s="127"/>
      <c r="KHC33" s="127"/>
      <c r="KHD33" s="127"/>
      <c r="KHE33" s="127"/>
      <c r="KHF33" s="127"/>
      <c r="KHG33" s="127"/>
      <c r="KHH33" s="127"/>
      <c r="KHI33" s="127"/>
      <c r="KHJ33" s="127"/>
      <c r="KHK33" s="127"/>
      <c r="KHL33" s="127"/>
      <c r="KHM33" s="127"/>
      <c r="KHN33" s="127"/>
      <c r="KHO33" s="127"/>
      <c r="KHP33" s="127"/>
      <c r="KHQ33" s="127"/>
      <c r="KHR33" s="127"/>
      <c r="KHS33" s="127"/>
      <c r="KHT33" s="127"/>
      <c r="KHU33" s="127"/>
      <c r="KHV33" s="127"/>
      <c r="KHW33" s="127"/>
      <c r="KHX33" s="127"/>
      <c r="KHY33" s="127"/>
      <c r="KHZ33" s="127"/>
      <c r="KIA33" s="127"/>
      <c r="KIB33" s="127"/>
      <c r="KIC33" s="127"/>
      <c r="KID33" s="127"/>
      <c r="KIE33" s="127"/>
      <c r="KIF33" s="127"/>
      <c r="KIG33" s="127"/>
      <c r="KIH33" s="127"/>
      <c r="KII33" s="127"/>
      <c r="KIJ33" s="127"/>
      <c r="KIK33" s="127"/>
      <c r="KIL33" s="127"/>
      <c r="KIM33" s="127"/>
      <c r="KIN33" s="127"/>
      <c r="KIO33" s="127"/>
      <c r="KIP33" s="127"/>
      <c r="KIQ33" s="127"/>
      <c r="KIR33" s="127"/>
      <c r="KIS33" s="127"/>
      <c r="KIT33" s="127"/>
      <c r="KIU33" s="127"/>
      <c r="KIV33" s="127"/>
      <c r="KIW33" s="127"/>
      <c r="KIX33" s="127"/>
      <c r="KIY33" s="127"/>
      <c r="KIZ33" s="127"/>
      <c r="KJA33" s="127"/>
      <c r="KJB33" s="127"/>
      <c r="KJC33" s="127"/>
      <c r="KJD33" s="127"/>
      <c r="KJE33" s="127"/>
      <c r="KJF33" s="127"/>
      <c r="KJG33" s="127"/>
      <c r="KJH33" s="127"/>
      <c r="KJI33" s="127"/>
      <c r="KJJ33" s="127"/>
      <c r="KJK33" s="127"/>
      <c r="KJL33" s="127"/>
      <c r="KJM33" s="127"/>
      <c r="KJN33" s="127"/>
      <c r="KJO33" s="127"/>
      <c r="KJP33" s="127"/>
      <c r="KJQ33" s="127"/>
      <c r="KJR33" s="127"/>
      <c r="KJS33" s="127"/>
      <c r="KJT33" s="127"/>
      <c r="KJU33" s="127"/>
      <c r="KJV33" s="127"/>
      <c r="KJW33" s="127"/>
      <c r="KJX33" s="127"/>
      <c r="KJY33" s="127"/>
      <c r="KJZ33" s="127"/>
      <c r="KKA33" s="127"/>
      <c r="KKB33" s="127"/>
      <c r="KKC33" s="127"/>
      <c r="KKD33" s="127"/>
      <c r="KKE33" s="127"/>
      <c r="KKF33" s="127"/>
      <c r="KKG33" s="127"/>
      <c r="KKH33" s="127"/>
      <c r="KKI33" s="127"/>
      <c r="KKJ33" s="127"/>
      <c r="KKK33" s="127"/>
      <c r="KKL33" s="127"/>
      <c r="KKM33" s="127"/>
      <c r="KKN33" s="127"/>
      <c r="KKO33" s="127"/>
      <c r="KKP33" s="127"/>
      <c r="KKQ33" s="127"/>
      <c r="KKR33" s="127"/>
      <c r="KKS33" s="127"/>
      <c r="KKT33" s="127"/>
      <c r="KKU33" s="127"/>
      <c r="KKV33" s="127"/>
      <c r="KKW33" s="127"/>
      <c r="KKX33" s="127"/>
      <c r="KKY33" s="127"/>
      <c r="KKZ33" s="127"/>
      <c r="KLA33" s="127"/>
      <c r="KLB33" s="127"/>
      <c r="KLC33" s="127"/>
      <c r="KLD33" s="127"/>
      <c r="KLE33" s="127"/>
      <c r="KLF33" s="127"/>
      <c r="KLG33" s="127"/>
      <c r="KLH33" s="127"/>
      <c r="KLI33" s="127"/>
      <c r="KLJ33" s="127"/>
      <c r="KLK33" s="127"/>
      <c r="KLL33" s="127"/>
      <c r="KLM33" s="127"/>
      <c r="KLN33" s="127"/>
      <c r="KLO33" s="127"/>
      <c r="KLP33" s="127"/>
      <c r="KLQ33" s="127"/>
      <c r="KLR33" s="127"/>
      <c r="KLS33" s="127"/>
      <c r="KLT33" s="127"/>
      <c r="KLU33" s="127"/>
      <c r="KLV33" s="127"/>
      <c r="KLW33" s="127"/>
      <c r="KLX33" s="127"/>
      <c r="KLY33" s="127"/>
      <c r="KLZ33" s="127"/>
      <c r="KMA33" s="127"/>
      <c r="KMB33" s="127"/>
      <c r="KMC33" s="127"/>
      <c r="KMD33" s="127"/>
      <c r="KME33" s="127"/>
      <c r="KMF33" s="127"/>
      <c r="KMG33" s="127"/>
      <c r="KMH33" s="127"/>
      <c r="KMI33" s="127"/>
      <c r="KMJ33" s="127"/>
      <c r="KMK33" s="127"/>
      <c r="KML33" s="127"/>
      <c r="KMM33" s="127"/>
      <c r="KMN33" s="127"/>
      <c r="KMO33" s="127"/>
      <c r="KMP33" s="127"/>
      <c r="KMQ33" s="127"/>
      <c r="KMR33" s="127"/>
      <c r="KMS33" s="127"/>
      <c r="KMT33" s="127"/>
      <c r="KMU33" s="127"/>
      <c r="KMV33" s="127"/>
      <c r="KMW33" s="127"/>
      <c r="KMX33" s="127"/>
      <c r="KMY33" s="127"/>
      <c r="KMZ33" s="127"/>
      <c r="KNA33" s="127"/>
      <c r="KNB33" s="127"/>
      <c r="KNC33" s="127"/>
      <c r="KND33" s="127"/>
      <c r="KNE33" s="127"/>
      <c r="KNF33" s="127"/>
      <c r="KNG33" s="127"/>
      <c r="KNH33" s="127"/>
      <c r="KNI33" s="127"/>
      <c r="KNJ33" s="127"/>
      <c r="KNK33" s="127"/>
      <c r="KNL33" s="127"/>
      <c r="KNM33" s="127"/>
      <c r="KNN33" s="127"/>
      <c r="KNO33" s="127"/>
      <c r="KNP33" s="127"/>
      <c r="KNQ33" s="127"/>
      <c r="KNR33" s="127"/>
      <c r="KNS33" s="127"/>
      <c r="KNT33" s="127"/>
      <c r="KNU33" s="127"/>
      <c r="KNV33" s="127"/>
      <c r="KNW33" s="127"/>
      <c r="KNX33" s="127"/>
      <c r="KNY33" s="127"/>
      <c r="KNZ33" s="127"/>
      <c r="KOA33" s="127"/>
      <c r="KOB33" s="127"/>
      <c r="KOC33" s="127"/>
      <c r="KOD33" s="127"/>
      <c r="KOE33" s="127"/>
      <c r="KOF33" s="127"/>
      <c r="KOG33" s="127"/>
      <c r="KOH33" s="127"/>
      <c r="KOI33" s="127"/>
      <c r="KOJ33" s="127"/>
      <c r="KOK33" s="127"/>
      <c r="KOL33" s="127"/>
      <c r="KOM33" s="127"/>
      <c r="KON33" s="127"/>
      <c r="KOO33" s="127"/>
      <c r="KOP33" s="127"/>
      <c r="KOQ33" s="127"/>
      <c r="KOR33" s="127"/>
      <c r="KOS33" s="127"/>
      <c r="KOT33" s="127"/>
      <c r="KOU33" s="127"/>
      <c r="KOV33" s="127"/>
      <c r="KOW33" s="127"/>
      <c r="KOX33" s="127"/>
      <c r="KOY33" s="127"/>
      <c r="KOZ33" s="127"/>
      <c r="KPA33" s="127"/>
      <c r="KPB33" s="127"/>
      <c r="KPC33" s="127"/>
      <c r="KPD33" s="127"/>
      <c r="KPE33" s="127"/>
      <c r="KPF33" s="127"/>
      <c r="KPG33" s="127"/>
      <c r="KPH33" s="127"/>
      <c r="KPI33" s="127"/>
      <c r="KPJ33" s="127"/>
      <c r="KPK33" s="127"/>
      <c r="KPL33" s="127"/>
      <c r="KPM33" s="127"/>
      <c r="KPN33" s="127"/>
      <c r="KPO33" s="127"/>
      <c r="KPP33" s="127"/>
      <c r="KPQ33" s="127"/>
      <c r="KPR33" s="127"/>
      <c r="KPS33" s="127"/>
      <c r="KPT33" s="127"/>
      <c r="KPU33" s="127"/>
      <c r="KPV33" s="127"/>
      <c r="KPW33" s="127"/>
      <c r="KPX33" s="127"/>
      <c r="KPY33" s="127"/>
      <c r="KPZ33" s="127"/>
      <c r="KQA33" s="127"/>
      <c r="KQB33" s="127"/>
      <c r="KQC33" s="127"/>
      <c r="KQD33" s="127"/>
      <c r="KQE33" s="127"/>
      <c r="KQF33" s="127"/>
      <c r="KQG33" s="127"/>
      <c r="KQH33" s="127"/>
      <c r="KQI33" s="127"/>
      <c r="KQJ33" s="127"/>
      <c r="KQK33" s="127"/>
      <c r="KQL33" s="127"/>
      <c r="KQM33" s="127"/>
      <c r="KQN33" s="127"/>
      <c r="KQO33" s="127"/>
      <c r="KQP33" s="127"/>
      <c r="KQQ33" s="127"/>
      <c r="KQR33" s="127"/>
      <c r="KQS33" s="127"/>
      <c r="KQT33" s="127"/>
      <c r="KQU33" s="127"/>
      <c r="KQV33" s="127"/>
      <c r="KQW33" s="127"/>
      <c r="KQX33" s="127"/>
      <c r="KQY33" s="127"/>
      <c r="KQZ33" s="127"/>
      <c r="KRA33" s="127"/>
      <c r="KRB33" s="127"/>
      <c r="KRC33" s="127"/>
      <c r="KRD33" s="127"/>
      <c r="KRE33" s="127"/>
      <c r="KRF33" s="127"/>
      <c r="KRG33" s="127"/>
      <c r="KRH33" s="127"/>
      <c r="KRI33" s="127"/>
      <c r="KRJ33" s="127"/>
      <c r="KRK33" s="127"/>
      <c r="KRL33" s="127"/>
      <c r="KRM33" s="127"/>
      <c r="KRN33" s="127"/>
      <c r="KRO33" s="127"/>
      <c r="KRP33" s="127"/>
      <c r="KRQ33" s="127"/>
      <c r="KRR33" s="127"/>
      <c r="KRS33" s="127"/>
      <c r="KRT33" s="127"/>
      <c r="KRU33" s="127"/>
      <c r="KRV33" s="127"/>
      <c r="KRW33" s="127"/>
      <c r="KRX33" s="127"/>
      <c r="KRY33" s="127"/>
      <c r="KRZ33" s="127"/>
      <c r="KSA33" s="127"/>
      <c r="KSB33" s="127"/>
      <c r="KSC33" s="127"/>
      <c r="KSD33" s="127"/>
      <c r="KSE33" s="127"/>
      <c r="KSF33" s="127"/>
      <c r="KSG33" s="127"/>
      <c r="KSH33" s="127"/>
      <c r="KSI33" s="127"/>
      <c r="KSJ33" s="127"/>
      <c r="KSK33" s="127"/>
      <c r="KSL33" s="127"/>
      <c r="KSM33" s="127"/>
      <c r="KSN33" s="127"/>
      <c r="KSO33" s="127"/>
      <c r="KSP33" s="127"/>
      <c r="KSQ33" s="127"/>
      <c r="KSR33" s="127"/>
      <c r="KSS33" s="127"/>
      <c r="KST33" s="127"/>
      <c r="KSU33" s="127"/>
      <c r="KSV33" s="127"/>
      <c r="KSW33" s="127"/>
      <c r="KSX33" s="127"/>
      <c r="KSY33" s="127"/>
      <c r="KSZ33" s="127"/>
      <c r="KTA33" s="127"/>
      <c r="KTB33" s="127"/>
      <c r="KTC33" s="127"/>
      <c r="KTD33" s="127"/>
      <c r="KTE33" s="127"/>
      <c r="KTF33" s="127"/>
      <c r="KTG33" s="127"/>
      <c r="KTH33" s="127"/>
      <c r="KTI33" s="127"/>
      <c r="KTJ33" s="127"/>
      <c r="KTK33" s="127"/>
      <c r="KTL33" s="127"/>
      <c r="KTM33" s="127"/>
      <c r="KTN33" s="127"/>
      <c r="KTO33" s="127"/>
      <c r="KTP33" s="127"/>
      <c r="KTQ33" s="127"/>
      <c r="KTR33" s="127"/>
      <c r="KTS33" s="127"/>
      <c r="KTT33" s="127"/>
      <c r="KTU33" s="127"/>
      <c r="KTV33" s="127"/>
      <c r="KTW33" s="127"/>
      <c r="KTX33" s="127"/>
      <c r="KTY33" s="127"/>
      <c r="KTZ33" s="127"/>
      <c r="KUA33" s="127"/>
      <c r="KUB33" s="127"/>
      <c r="KUC33" s="127"/>
      <c r="KUD33" s="127"/>
      <c r="KUE33" s="127"/>
      <c r="KUF33" s="127"/>
      <c r="KUG33" s="127"/>
      <c r="KUH33" s="127"/>
      <c r="KUI33" s="127"/>
      <c r="KUJ33" s="127"/>
      <c r="KUK33" s="127"/>
      <c r="KUL33" s="127"/>
      <c r="KUM33" s="127"/>
      <c r="KUN33" s="127"/>
      <c r="KUO33" s="127"/>
      <c r="KUP33" s="127"/>
      <c r="KUQ33" s="127"/>
      <c r="KUR33" s="127"/>
      <c r="KUS33" s="127"/>
      <c r="KUT33" s="127"/>
      <c r="KUU33" s="127"/>
      <c r="KUV33" s="127"/>
      <c r="KUW33" s="127"/>
      <c r="KUX33" s="127"/>
      <c r="KUY33" s="127"/>
      <c r="KUZ33" s="127"/>
      <c r="KVA33" s="127"/>
      <c r="KVB33" s="127"/>
      <c r="KVC33" s="127"/>
      <c r="KVD33" s="127"/>
      <c r="KVE33" s="127"/>
      <c r="KVF33" s="127"/>
      <c r="KVG33" s="127"/>
      <c r="KVH33" s="127"/>
      <c r="KVI33" s="127"/>
      <c r="KVJ33" s="127"/>
      <c r="KVK33" s="127"/>
      <c r="KVL33" s="127"/>
      <c r="KVM33" s="127"/>
      <c r="KVN33" s="127"/>
      <c r="KVO33" s="127"/>
      <c r="KVP33" s="127"/>
      <c r="KVQ33" s="127"/>
      <c r="KVR33" s="127"/>
      <c r="KVS33" s="127"/>
      <c r="KVT33" s="127"/>
      <c r="KVU33" s="127"/>
      <c r="KVV33" s="127"/>
      <c r="KVW33" s="127"/>
      <c r="KVX33" s="127"/>
      <c r="KVY33" s="127"/>
      <c r="KVZ33" s="127"/>
      <c r="KWA33" s="127"/>
      <c r="KWB33" s="127"/>
      <c r="KWC33" s="127"/>
      <c r="KWD33" s="127"/>
      <c r="KWE33" s="127"/>
      <c r="KWF33" s="127"/>
      <c r="KWG33" s="127"/>
      <c r="KWH33" s="127"/>
      <c r="KWI33" s="127"/>
      <c r="KWJ33" s="127"/>
      <c r="KWK33" s="127"/>
      <c r="KWL33" s="127"/>
      <c r="KWM33" s="127"/>
      <c r="KWN33" s="127"/>
      <c r="KWO33" s="127"/>
      <c r="KWP33" s="127"/>
      <c r="KWQ33" s="127"/>
      <c r="KWR33" s="127"/>
      <c r="KWS33" s="127"/>
      <c r="KWT33" s="127"/>
      <c r="KWU33" s="127"/>
      <c r="KWV33" s="127"/>
      <c r="KWW33" s="127"/>
      <c r="KWX33" s="127"/>
      <c r="KWY33" s="127"/>
      <c r="KWZ33" s="127"/>
      <c r="KXA33" s="127"/>
      <c r="KXB33" s="127"/>
      <c r="KXC33" s="127"/>
      <c r="KXD33" s="127"/>
      <c r="KXE33" s="127"/>
      <c r="KXF33" s="127"/>
      <c r="KXG33" s="127"/>
      <c r="KXH33" s="127"/>
      <c r="KXI33" s="127"/>
      <c r="KXJ33" s="127"/>
      <c r="KXK33" s="127"/>
      <c r="KXL33" s="127"/>
      <c r="KXM33" s="127"/>
      <c r="KXN33" s="127"/>
      <c r="KXO33" s="127"/>
      <c r="KXP33" s="127"/>
      <c r="KXQ33" s="127"/>
      <c r="KXR33" s="127"/>
      <c r="KXS33" s="127"/>
      <c r="KXT33" s="127"/>
      <c r="KXU33" s="127"/>
      <c r="KXV33" s="127"/>
      <c r="KXW33" s="127"/>
      <c r="KXX33" s="127"/>
      <c r="KXY33" s="127"/>
      <c r="KXZ33" s="127"/>
      <c r="KYA33" s="127"/>
      <c r="KYB33" s="127"/>
      <c r="KYC33" s="127"/>
      <c r="KYD33" s="127"/>
      <c r="KYE33" s="127"/>
      <c r="KYF33" s="127"/>
      <c r="KYG33" s="127"/>
      <c r="KYH33" s="127"/>
      <c r="KYI33" s="127"/>
      <c r="KYJ33" s="127"/>
      <c r="KYK33" s="127"/>
      <c r="KYL33" s="127"/>
      <c r="KYM33" s="127"/>
      <c r="KYN33" s="127"/>
      <c r="KYO33" s="127"/>
      <c r="KYP33" s="127"/>
      <c r="KYQ33" s="127"/>
      <c r="KYR33" s="127"/>
      <c r="KYS33" s="127"/>
      <c r="KYT33" s="127"/>
      <c r="KYU33" s="127"/>
      <c r="KYV33" s="127"/>
      <c r="KYW33" s="127"/>
      <c r="KYX33" s="127"/>
      <c r="KYY33" s="127"/>
      <c r="KYZ33" s="127"/>
      <c r="KZA33" s="127"/>
      <c r="KZB33" s="127"/>
      <c r="KZC33" s="127"/>
      <c r="KZD33" s="127"/>
      <c r="KZE33" s="127"/>
      <c r="KZF33" s="127"/>
      <c r="KZG33" s="127"/>
      <c r="KZH33" s="127"/>
      <c r="KZI33" s="127"/>
      <c r="KZJ33" s="127"/>
      <c r="KZK33" s="127"/>
      <c r="KZL33" s="127"/>
      <c r="KZM33" s="127"/>
      <c r="KZN33" s="127"/>
      <c r="KZO33" s="127"/>
      <c r="KZP33" s="127"/>
      <c r="KZQ33" s="127"/>
      <c r="KZR33" s="127"/>
      <c r="KZS33" s="127"/>
      <c r="KZT33" s="127"/>
      <c r="KZU33" s="127"/>
      <c r="KZV33" s="127"/>
      <c r="KZW33" s="127"/>
      <c r="KZX33" s="127"/>
      <c r="KZY33" s="127"/>
      <c r="KZZ33" s="127"/>
      <c r="LAA33" s="127"/>
      <c r="LAB33" s="127"/>
      <c r="LAC33" s="127"/>
      <c r="LAD33" s="127"/>
      <c r="LAE33" s="127"/>
      <c r="LAF33" s="127"/>
      <c r="LAG33" s="127"/>
      <c r="LAH33" s="127"/>
      <c r="LAI33" s="127"/>
      <c r="LAJ33" s="127"/>
      <c r="LAK33" s="127"/>
      <c r="LAL33" s="127"/>
      <c r="LAM33" s="127"/>
      <c r="LAN33" s="127"/>
      <c r="LAO33" s="127"/>
      <c r="LAP33" s="127"/>
      <c r="LAQ33" s="127"/>
      <c r="LAR33" s="127"/>
      <c r="LAS33" s="127"/>
      <c r="LAT33" s="127"/>
      <c r="LAU33" s="127"/>
      <c r="LAV33" s="127"/>
      <c r="LAW33" s="127"/>
      <c r="LAX33" s="127"/>
      <c r="LAY33" s="127"/>
      <c r="LAZ33" s="127"/>
      <c r="LBA33" s="127"/>
      <c r="LBB33" s="127"/>
      <c r="LBC33" s="127"/>
      <c r="LBD33" s="127"/>
      <c r="LBE33" s="127"/>
      <c r="LBF33" s="127"/>
      <c r="LBG33" s="127"/>
      <c r="LBH33" s="127"/>
      <c r="LBI33" s="127"/>
      <c r="LBJ33" s="127"/>
      <c r="LBK33" s="127"/>
      <c r="LBL33" s="127"/>
      <c r="LBM33" s="127"/>
      <c r="LBN33" s="127"/>
      <c r="LBO33" s="127"/>
      <c r="LBP33" s="127"/>
      <c r="LBQ33" s="127"/>
      <c r="LBR33" s="127"/>
      <c r="LBS33" s="127"/>
      <c r="LBT33" s="127"/>
      <c r="LBU33" s="127"/>
      <c r="LBV33" s="127"/>
      <c r="LBW33" s="127"/>
      <c r="LBX33" s="127"/>
      <c r="LBY33" s="127"/>
      <c r="LBZ33" s="127"/>
      <c r="LCA33" s="127"/>
      <c r="LCB33" s="127"/>
      <c r="LCC33" s="127"/>
      <c r="LCD33" s="127"/>
      <c r="LCE33" s="127"/>
      <c r="LCF33" s="127"/>
      <c r="LCG33" s="127"/>
      <c r="LCH33" s="127"/>
      <c r="LCI33" s="127"/>
      <c r="LCJ33" s="127"/>
      <c r="LCK33" s="127"/>
      <c r="LCL33" s="127"/>
      <c r="LCM33" s="127"/>
      <c r="LCN33" s="127"/>
      <c r="LCO33" s="127"/>
      <c r="LCP33" s="127"/>
      <c r="LCQ33" s="127"/>
      <c r="LCR33" s="127"/>
      <c r="LCS33" s="127"/>
      <c r="LCT33" s="127"/>
      <c r="LCU33" s="127"/>
      <c r="LCV33" s="127"/>
      <c r="LCW33" s="127"/>
      <c r="LCX33" s="127"/>
      <c r="LCY33" s="127"/>
      <c r="LCZ33" s="127"/>
      <c r="LDA33" s="127"/>
      <c r="LDB33" s="127"/>
      <c r="LDC33" s="127"/>
      <c r="LDD33" s="127"/>
      <c r="LDE33" s="127"/>
      <c r="LDF33" s="127"/>
      <c r="LDG33" s="127"/>
      <c r="LDH33" s="127"/>
      <c r="LDI33" s="127"/>
      <c r="LDJ33" s="127"/>
      <c r="LDK33" s="127"/>
      <c r="LDL33" s="127"/>
      <c r="LDM33" s="127"/>
      <c r="LDN33" s="127"/>
      <c r="LDO33" s="127"/>
      <c r="LDP33" s="127"/>
      <c r="LDQ33" s="127"/>
      <c r="LDR33" s="127"/>
      <c r="LDS33" s="127"/>
      <c r="LDT33" s="127"/>
      <c r="LDU33" s="127"/>
      <c r="LDV33" s="127"/>
      <c r="LDW33" s="127"/>
      <c r="LDX33" s="127"/>
      <c r="LDY33" s="127"/>
      <c r="LDZ33" s="127"/>
      <c r="LEA33" s="127"/>
      <c r="LEB33" s="127"/>
      <c r="LEC33" s="127"/>
      <c r="LED33" s="127"/>
      <c r="LEE33" s="127"/>
      <c r="LEF33" s="127"/>
      <c r="LEG33" s="127"/>
      <c r="LEH33" s="127"/>
      <c r="LEI33" s="127"/>
      <c r="LEJ33" s="127"/>
      <c r="LEK33" s="127"/>
      <c r="LEL33" s="127"/>
      <c r="LEM33" s="127"/>
      <c r="LEN33" s="127"/>
      <c r="LEO33" s="127"/>
      <c r="LEP33" s="127"/>
      <c r="LEQ33" s="127"/>
      <c r="LER33" s="127"/>
      <c r="LES33" s="127"/>
      <c r="LET33" s="127"/>
      <c r="LEU33" s="127"/>
      <c r="LEV33" s="127"/>
      <c r="LEW33" s="127"/>
      <c r="LEX33" s="127"/>
      <c r="LEY33" s="127"/>
      <c r="LEZ33" s="127"/>
      <c r="LFA33" s="127"/>
      <c r="LFB33" s="127"/>
      <c r="LFC33" s="127"/>
      <c r="LFD33" s="127"/>
      <c r="LFE33" s="127"/>
      <c r="LFF33" s="127"/>
      <c r="LFG33" s="127"/>
      <c r="LFH33" s="127"/>
      <c r="LFI33" s="127"/>
      <c r="LFJ33" s="127"/>
      <c r="LFK33" s="127"/>
      <c r="LFL33" s="127"/>
      <c r="LFM33" s="127"/>
      <c r="LFN33" s="127"/>
      <c r="LFO33" s="127"/>
      <c r="LFP33" s="127"/>
      <c r="LFQ33" s="127"/>
      <c r="LFR33" s="127"/>
      <c r="LFS33" s="127"/>
      <c r="LFT33" s="127"/>
      <c r="LFU33" s="127"/>
      <c r="LFV33" s="127"/>
      <c r="LFW33" s="127"/>
      <c r="LFX33" s="127"/>
      <c r="LFY33" s="127"/>
      <c r="LFZ33" s="127"/>
      <c r="LGA33" s="127"/>
      <c r="LGB33" s="127"/>
      <c r="LGC33" s="127"/>
      <c r="LGD33" s="127"/>
      <c r="LGE33" s="127"/>
      <c r="LGF33" s="127"/>
      <c r="LGG33" s="127"/>
      <c r="LGH33" s="127"/>
      <c r="LGI33" s="127"/>
      <c r="LGJ33" s="127"/>
      <c r="LGK33" s="127"/>
      <c r="LGL33" s="127"/>
      <c r="LGM33" s="127"/>
      <c r="LGN33" s="127"/>
      <c r="LGO33" s="127"/>
      <c r="LGP33" s="127"/>
      <c r="LGQ33" s="127"/>
      <c r="LGR33" s="127"/>
      <c r="LGS33" s="127"/>
      <c r="LGT33" s="127"/>
      <c r="LGU33" s="127"/>
      <c r="LGV33" s="127"/>
      <c r="LGW33" s="127"/>
      <c r="LGX33" s="127"/>
      <c r="LGY33" s="127"/>
      <c r="LGZ33" s="127"/>
      <c r="LHA33" s="127"/>
      <c r="LHB33" s="127"/>
      <c r="LHC33" s="127"/>
      <c r="LHD33" s="127"/>
      <c r="LHE33" s="127"/>
      <c r="LHF33" s="127"/>
      <c r="LHG33" s="127"/>
      <c r="LHH33" s="127"/>
      <c r="LHI33" s="127"/>
      <c r="LHJ33" s="127"/>
      <c r="LHK33" s="127"/>
      <c r="LHL33" s="127"/>
      <c r="LHM33" s="127"/>
      <c r="LHN33" s="127"/>
      <c r="LHO33" s="127"/>
      <c r="LHP33" s="127"/>
      <c r="LHQ33" s="127"/>
      <c r="LHR33" s="127"/>
      <c r="LHS33" s="127"/>
      <c r="LHT33" s="127"/>
      <c r="LHU33" s="127"/>
      <c r="LHV33" s="127"/>
      <c r="LHW33" s="127"/>
      <c r="LHX33" s="127"/>
      <c r="LHY33" s="127"/>
      <c r="LHZ33" s="127"/>
      <c r="LIA33" s="127"/>
      <c r="LIB33" s="127"/>
      <c r="LIC33" s="127"/>
      <c r="LID33" s="127"/>
      <c r="LIE33" s="127"/>
      <c r="LIF33" s="127"/>
      <c r="LIG33" s="127"/>
      <c r="LIH33" s="127"/>
      <c r="LII33" s="127"/>
      <c r="LIJ33" s="127"/>
      <c r="LIK33" s="127"/>
      <c r="LIL33" s="127"/>
      <c r="LIM33" s="127"/>
      <c r="LIN33" s="127"/>
      <c r="LIO33" s="127"/>
      <c r="LIP33" s="127"/>
      <c r="LIQ33" s="127"/>
      <c r="LIR33" s="127"/>
      <c r="LIS33" s="127"/>
      <c r="LIT33" s="127"/>
      <c r="LIU33" s="127"/>
      <c r="LIV33" s="127"/>
      <c r="LIW33" s="127"/>
      <c r="LIX33" s="127"/>
      <c r="LIY33" s="127"/>
      <c r="LIZ33" s="127"/>
      <c r="LJA33" s="127"/>
      <c r="LJB33" s="127"/>
      <c r="LJC33" s="127"/>
      <c r="LJD33" s="127"/>
      <c r="LJE33" s="127"/>
      <c r="LJF33" s="127"/>
      <c r="LJG33" s="127"/>
      <c r="LJH33" s="127"/>
      <c r="LJI33" s="127"/>
      <c r="LJJ33" s="127"/>
      <c r="LJK33" s="127"/>
      <c r="LJL33" s="127"/>
      <c r="LJM33" s="127"/>
      <c r="LJN33" s="127"/>
      <c r="LJO33" s="127"/>
      <c r="LJP33" s="127"/>
      <c r="LJQ33" s="127"/>
      <c r="LJR33" s="127"/>
      <c r="LJS33" s="127"/>
      <c r="LJT33" s="127"/>
      <c r="LJU33" s="127"/>
      <c r="LJV33" s="127"/>
      <c r="LJW33" s="127"/>
      <c r="LJX33" s="127"/>
      <c r="LJY33" s="127"/>
      <c r="LJZ33" s="127"/>
      <c r="LKA33" s="127"/>
      <c r="LKB33" s="127"/>
      <c r="LKC33" s="127"/>
      <c r="LKD33" s="127"/>
      <c r="LKE33" s="127"/>
      <c r="LKF33" s="127"/>
      <c r="LKG33" s="127"/>
      <c r="LKH33" s="127"/>
      <c r="LKI33" s="127"/>
      <c r="LKJ33" s="127"/>
      <c r="LKK33" s="127"/>
      <c r="LKL33" s="127"/>
      <c r="LKM33" s="127"/>
      <c r="LKN33" s="127"/>
      <c r="LKO33" s="127"/>
      <c r="LKP33" s="127"/>
      <c r="LKQ33" s="127"/>
      <c r="LKR33" s="127"/>
      <c r="LKS33" s="127"/>
      <c r="LKT33" s="127"/>
      <c r="LKU33" s="127"/>
      <c r="LKV33" s="127"/>
      <c r="LKW33" s="127"/>
      <c r="LKX33" s="127"/>
      <c r="LKY33" s="127"/>
      <c r="LKZ33" s="127"/>
      <c r="LLA33" s="127"/>
      <c r="LLB33" s="127"/>
      <c r="LLC33" s="127"/>
      <c r="LLD33" s="127"/>
      <c r="LLE33" s="127"/>
      <c r="LLF33" s="127"/>
      <c r="LLG33" s="127"/>
      <c r="LLH33" s="127"/>
      <c r="LLI33" s="127"/>
      <c r="LLJ33" s="127"/>
      <c r="LLK33" s="127"/>
      <c r="LLL33" s="127"/>
      <c r="LLM33" s="127"/>
      <c r="LLN33" s="127"/>
      <c r="LLO33" s="127"/>
      <c r="LLP33" s="127"/>
      <c r="LLQ33" s="127"/>
      <c r="LLR33" s="127"/>
      <c r="LLS33" s="127"/>
      <c r="LLT33" s="127"/>
      <c r="LLU33" s="127"/>
      <c r="LLV33" s="127"/>
      <c r="LLW33" s="127"/>
      <c r="LLX33" s="127"/>
      <c r="LLY33" s="127"/>
      <c r="LLZ33" s="127"/>
      <c r="LMA33" s="127"/>
      <c r="LMB33" s="127"/>
      <c r="LMC33" s="127"/>
      <c r="LMD33" s="127"/>
      <c r="LME33" s="127"/>
      <c r="LMF33" s="127"/>
      <c r="LMG33" s="127"/>
      <c r="LMH33" s="127"/>
      <c r="LMI33" s="127"/>
      <c r="LMJ33" s="127"/>
      <c r="LMK33" s="127"/>
      <c r="LML33" s="127"/>
      <c r="LMM33" s="127"/>
      <c r="LMN33" s="127"/>
      <c r="LMO33" s="127"/>
      <c r="LMP33" s="127"/>
      <c r="LMQ33" s="127"/>
      <c r="LMR33" s="127"/>
      <c r="LMS33" s="127"/>
      <c r="LMT33" s="127"/>
      <c r="LMU33" s="127"/>
      <c r="LMV33" s="127"/>
      <c r="LMW33" s="127"/>
      <c r="LMX33" s="127"/>
      <c r="LMY33" s="127"/>
      <c r="LMZ33" s="127"/>
      <c r="LNA33" s="127"/>
      <c r="LNB33" s="127"/>
      <c r="LNC33" s="127"/>
      <c r="LND33" s="127"/>
      <c r="LNE33" s="127"/>
      <c r="LNF33" s="127"/>
      <c r="LNG33" s="127"/>
      <c r="LNH33" s="127"/>
      <c r="LNI33" s="127"/>
      <c r="LNJ33" s="127"/>
      <c r="LNK33" s="127"/>
      <c r="LNL33" s="127"/>
      <c r="LNM33" s="127"/>
      <c r="LNN33" s="127"/>
      <c r="LNO33" s="127"/>
      <c r="LNP33" s="127"/>
      <c r="LNQ33" s="127"/>
      <c r="LNR33" s="127"/>
      <c r="LNS33" s="127"/>
      <c r="LNT33" s="127"/>
      <c r="LNU33" s="127"/>
      <c r="LNV33" s="127"/>
      <c r="LNW33" s="127"/>
      <c r="LNX33" s="127"/>
      <c r="LNY33" s="127"/>
      <c r="LNZ33" s="127"/>
      <c r="LOA33" s="127"/>
      <c r="LOB33" s="127"/>
      <c r="LOC33" s="127"/>
      <c r="LOD33" s="127"/>
      <c r="LOE33" s="127"/>
      <c r="LOF33" s="127"/>
      <c r="LOG33" s="127"/>
      <c r="LOH33" s="127"/>
      <c r="LOI33" s="127"/>
      <c r="LOJ33" s="127"/>
      <c r="LOK33" s="127"/>
      <c r="LOL33" s="127"/>
      <c r="LOM33" s="127"/>
      <c r="LON33" s="127"/>
      <c r="LOO33" s="127"/>
      <c r="LOP33" s="127"/>
      <c r="LOQ33" s="127"/>
      <c r="LOR33" s="127"/>
      <c r="LOS33" s="127"/>
      <c r="LOT33" s="127"/>
      <c r="LOU33" s="127"/>
      <c r="LOV33" s="127"/>
      <c r="LOW33" s="127"/>
      <c r="LOX33" s="127"/>
      <c r="LOY33" s="127"/>
      <c r="LOZ33" s="127"/>
      <c r="LPA33" s="127"/>
      <c r="LPB33" s="127"/>
      <c r="LPC33" s="127"/>
      <c r="LPD33" s="127"/>
      <c r="LPE33" s="127"/>
      <c r="LPF33" s="127"/>
      <c r="LPG33" s="127"/>
      <c r="LPH33" s="127"/>
      <c r="LPI33" s="127"/>
      <c r="LPJ33" s="127"/>
      <c r="LPK33" s="127"/>
      <c r="LPL33" s="127"/>
      <c r="LPM33" s="127"/>
      <c r="LPN33" s="127"/>
      <c r="LPO33" s="127"/>
      <c r="LPP33" s="127"/>
      <c r="LPQ33" s="127"/>
      <c r="LPR33" s="127"/>
      <c r="LPS33" s="127"/>
      <c r="LPT33" s="127"/>
      <c r="LPU33" s="127"/>
      <c r="LPV33" s="127"/>
      <c r="LPW33" s="127"/>
      <c r="LPX33" s="127"/>
      <c r="LPY33" s="127"/>
      <c r="LPZ33" s="127"/>
      <c r="LQA33" s="127"/>
      <c r="LQB33" s="127"/>
      <c r="LQC33" s="127"/>
      <c r="LQD33" s="127"/>
      <c r="LQE33" s="127"/>
      <c r="LQF33" s="127"/>
      <c r="LQG33" s="127"/>
      <c r="LQH33" s="127"/>
      <c r="LQI33" s="127"/>
      <c r="LQJ33" s="127"/>
      <c r="LQK33" s="127"/>
      <c r="LQL33" s="127"/>
      <c r="LQM33" s="127"/>
      <c r="LQN33" s="127"/>
      <c r="LQO33" s="127"/>
      <c r="LQP33" s="127"/>
      <c r="LQQ33" s="127"/>
      <c r="LQR33" s="127"/>
      <c r="LQS33" s="127"/>
      <c r="LQT33" s="127"/>
      <c r="LQU33" s="127"/>
      <c r="LQV33" s="127"/>
      <c r="LQW33" s="127"/>
      <c r="LQX33" s="127"/>
      <c r="LQY33" s="127"/>
      <c r="LQZ33" s="127"/>
      <c r="LRA33" s="127"/>
      <c r="LRB33" s="127"/>
      <c r="LRC33" s="127"/>
      <c r="LRD33" s="127"/>
      <c r="LRE33" s="127"/>
      <c r="LRF33" s="127"/>
      <c r="LRG33" s="127"/>
      <c r="LRH33" s="127"/>
      <c r="LRI33" s="127"/>
      <c r="LRJ33" s="127"/>
      <c r="LRK33" s="127"/>
      <c r="LRL33" s="127"/>
      <c r="LRM33" s="127"/>
      <c r="LRN33" s="127"/>
      <c r="LRO33" s="127"/>
      <c r="LRP33" s="127"/>
      <c r="LRQ33" s="127"/>
      <c r="LRR33" s="127"/>
      <c r="LRS33" s="127"/>
      <c r="LRT33" s="127"/>
      <c r="LRU33" s="127"/>
      <c r="LRV33" s="127"/>
      <c r="LRW33" s="127"/>
      <c r="LRX33" s="127"/>
      <c r="LRY33" s="127"/>
      <c r="LRZ33" s="127"/>
      <c r="LSA33" s="127"/>
      <c r="LSB33" s="127"/>
      <c r="LSC33" s="127"/>
      <c r="LSD33" s="127"/>
      <c r="LSE33" s="127"/>
      <c r="LSF33" s="127"/>
      <c r="LSG33" s="127"/>
      <c r="LSH33" s="127"/>
      <c r="LSI33" s="127"/>
      <c r="LSJ33" s="127"/>
      <c r="LSK33" s="127"/>
      <c r="LSL33" s="127"/>
      <c r="LSM33" s="127"/>
      <c r="LSN33" s="127"/>
      <c r="LSO33" s="127"/>
      <c r="LSP33" s="127"/>
      <c r="LSQ33" s="127"/>
      <c r="LSR33" s="127"/>
      <c r="LSS33" s="127"/>
      <c r="LST33" s="127"/>
      <c r="LSU33" s="127"/>
      <c r="LSV33" s="127"/>
      <c r="LSW33" s="127"/>
      <c r="LSX33" s="127"/>
      <c r="LSY33" s="127"/>
      <c r="LSZ33" s="127"/>
      <c r="LTA33" s="127"/>
      <c r="LTB33" s="127"/>
      <c r="LTC33" s="127"/>
      <c r="LTD33" s="127"/>
      <c r="LTE33" s="127"/>
      <c r="LTF33" s="127"/>
      <c r="LTG33" s="127"/>
      <c r="LTH33" s="127"/>
      <c r="LTI33" s="127"/>
      <c r="LTJ33" s="127"/>
      <c r="LTK33" s="127"/>
      <c r="LTL33" s="127"/>
      <c r="LTM33" s="127"/>
      <c r="LTN33" s="127"/>
      <c r="LTO33" s="127"/>
      <c r="LTP33" s="127"/>
      <c r="LTQ33" s="127"/>
      <c r="LTR33" s="127"/>
      <c r="LTS33" s="127"/>
      <c r="LTT33" s="127"/>
      <c r="LTU33" s="127"/>
      <c r="LTV33" s="127"/>
      <c r="LTW33" s="127"/>
      <c r="LTX33" s="127"/>
      <c r="LTY33" s="127"/>
      <c r="LTZ33" s="127"/>
      <c r="LUA33" s="127"/>
      <c r="LUB33" s="127"/>
      <c r="LUC33" s="127"/>
      <c r="LUD33" s="127"/>
      <c r="LUE33" s="127"/>
      <c r="LUF33" s="127"/>
      <c r="LUG33" s="127"/>
      <c r="LUH33" s="127"/>
      <c r="LUI33" s="127"/>
      <c r="LUJ33" s="127"/>
      <c r="LUK33" s="127"/>
      <c r="LUL33" s="127"/>
      <c r="LUM33" s="127"/>
      <c r="LUN33" s="127"/>
      <c r="LUO33" s="127"/>
      <c r="LUP33" s="127"/>
      <c r="LUQ33" s="127"/>
      <c r="LUR33" s="127"/>
      <c r="LUS33" s="127"/>
      <c r="LUT33" s="127"/>
      <c r="LUU33" s="127"/>
      <c r="LUV33" s="127"/>
      <c r="LUW33" s="127"/>
      <c r="LUX33" s="127"/>
      <c r="LUY33" s="127"/>
      <c r="LUZ33" s="127"/>
      <c r="LVA33" s="127"/>
      <c r="LVB33" s="127"/>
      <c r="LVC33" s="127"/>
      <c r="LVD33" s="127"/>
      <c r="LVE33" s="127"/>
      <c r="LVF33" s="127"/>
      <c r="LVG33" s="127"/>
      <c r="LVH33" s="127"/>
      <c r="LVI33" s="127"/>
      <c r="LVJ33" s="127"/>
      <c r="LVK33" s="127"/>
      <c r="LVL33" s="127"/>
      <c r="LVM33" s="127"/>
      <c r="LVN33" s="127"/>
      <c r="LVO33" s="127"/>
      <c r="LVP33" s="127"/>
      <c r="LVQ33" s="127"/>
      <c r="LVR33" s="127"/>
      <c r="LVS33" s="127"/>
      <c r="LVT33" s="127"/>
      <c r="LVU33" s="127"/>
      <c r="LVV33" s="127"/>
      <c r="LVW33" s="127"/>
      <c r="LVX33" s="127"/>
      <c r="LVY33" s="127"/>
      <c r="LVZ33" s="127"/>
      <c r="LWA33" s="127"/>
      <c r="LWB33" s="127"/>
      <c r="LWC33" s="127"/>
      <c r="LWD33" s="127"/>
      <c r="LWE33" s="127"/>
      <c r="LWF33" s="127"/>
      <c r="LWG33" s="127"/>
      <c r="LWH33" s="127"/>
      <c r="LWI33" s="127"/>
      <c r="LWJ33" s="127"/>
      <c r="LWK33" s="127"/>
      <c r="LWL33" s="127"/>
      <c r="LWM33" s="127"/>
      <c r="LWN33" s="127"/>
      <c r="LWO33" s="127"/>
      <c r="LWP33" s="127"/>
      <c r="LWQ33" s="127"/>
      <c r="LWR33" s="127"/>
      <c r="LWS33" s="127"/>
      <c r="LWT33" s="127"/>
      <c r="LWU33" s="127"/>
      <c r="LWV33" s="127"/>
      <c r="LWW33" s="127"/>
      <c r="LWX33" s="127"/>
      <c r="LWY33" s="127"/>
      <c r="LWZ33" s="127"/>
      <c r="LXA33" s="127"/>
      <c r="LXB33" s="127"/>
      <c r="LXC33" s="127"/>
      <c r="LXD33" s="127"/>
      <c r="LXE33" s="127"/>
      <c r="LXF33" s="127"/>
      <c r="LXG33" s="127"/>
      <c r="LXH33" s="127"/>
      <c r="LXI33" s="127"/>
      <c r="LXJ33" s="127"/>
      <c r="LXK33" s="127"/>
      <c r="LXL33" s="127"/>
      <c r="LXM33" s="127"/>
      <c r="LXN33" s="127"/>
      <c r="LXO33" s="127"/>
      <c r="LXP33" s="127"/>
      <c r="LXQ33" s="127"/>
      <c r="LXR33" s="127"/>
      <c r="LXS33" s="127"/>
      <c r="LXT33" s="127"/>
      <c r="LXU33" s="127"/>
      <c r="LXV33" s="127"/>
      <c r="LXW33" s="127"/>
      <c r="LXX33" s="127"/>
      <c r="LXY33" s="127"/>
      <c r="LXZ33" s="127"/>
      <c r="LYA33" s="127"/>
      <c r="LYB33" s="127"/>
      <c r="LYC33" s="127"/>
      <c r="LYD33" s="127"/>
      <c r="LYE33" s="127"/>
      <c r="LYF33" s="127"/>
      <c r="LYG33" s="127"/>
      <c r="LYH33" s="127"/>
      <c r="LYI33" s="127"/>
      <c r="LYJ33" s="127"/>
      <c r="LYK33" s="127"/>
      <c r="LYL33" s="127"/>
      <c r="LYM33" s="127"/>
      <c r="LYN33" s="127"/>
      <c r="LYO33" s="127"/>
      <c r="LYP33" s="127"/>
      <c r="LYQ33" s="127"/>
      <c r="LYR33" s="127"/>
      <c r="LYS33" s="127"/>
      <c r="LYT33" s="127"/>
      <c r="LYU33" s="127"/>
      <c r="LYV33" s="127"/>
      <c r="LYW33" s="127"/>
      <c r="LYX33" s="127"/>
      <c r="LYY33" s="127"/>
      <c r="LYZ33" s="127"/>
      <c r="LZA33" s="127"/>
      <c r="LZB33" s="127"/>
      <c r="LZC33" s="127"/>
      <c r="LZD33" s="127"/>
      <c r="LZE33" s="127"/>
      <c r="LZF33" s="127"/>
      <c r="LZG33" s="127"/>
      <c r="LZH33" s="127"/>
      <c r="LZI33" s="127"/>
      <c r="LZJ33" s="127"/>
      <c r="LZK33" s="127"/>
      <c r="LZL33" s="127"/>
      <c r="LZM33" s="127"/>
      <c r="LZN33" s="127"/>
      <c r="LZO33" s="127"/>
      <c r="LZP33" s="127"/>
      <c r="LZQ33" s="127"/>
      <c r="LZR33" s="127"/>
      <c r="LZS33" s="127"/>
      <c r="LZT33" s="127"/>
      <c r="LZU33" s="127"/>
      <c r="LZV33" s="127"/>
      <c r="LZW33" s="127"/>
      <c r="LZX33" s="127"/>
      <c r="LZY33" s="127"/>
      <c r="LZZ33" s="127"/>
      <c r="MAA33" s="127"/>
      <c r="MAB33" s="127"/>
      <c r="MAC33" s="127"/>
      <c r="MAD33" s="127"/>
      <c r="MAE33" s="127"/>
      <c r="MAF33" s="127"/>
      <c r="MAG33" s="127"/>
      <c r="MAH33" s="127"/>
      <c r="MAI33" s="127"/>
      <c r="MAJ33" s="127"/>
      <c r="MAK33" s="127"/>
      <c r="MAL33" s="127"/>
      <c r="MAM33" s="127"/>
      <c r="MAN33" s="127"/>
      <c r="MAO33" s="127"/>
      <c r="MAP33" s="127"/>
      <c r="MAQ33" s="127"/>
      <c r="MAR33" s="127"/>
      <c r="MAS33" s="127"/>
      <c r="MAT33" s="127"/>
      <c r="MAU33" s="127"/>
      <c r="MAV33" s="127"/>
      <c r="MAW33" s="127"/>
      <c r="MAX33" s="127"/>
      <c r="MAY33" s="127"/>
      <c r="MAZ33" s="127"/>
      <c r="MBA33" s="127"/>
      <c r="MBB33" s="127"/>
      <c r="MBC33" s="127"/>
      <c r="MBD33" s="127"/>
      <c r="MBE33" s="127"/>
      <c r="MBF33" s="127"/>
      <c r="MBG33" s="127"/>
      <c r="MBH33" s="127"/>
      <c r="MBI33" s="127"/>
      <c r="MBJ33" s="127"/>
      <c r="MBK33" s="127"/>
      <c r="MBL33" s="127"/>
      <c r="MBM33" s="127"/>
      <c r="MBN33" s="127"/>
      <c r="MBO33" s="127"/>
      <c r="MBP33" s="127"/>
      <c r="MBQ33" s="127"/>
      <c r="MBR33" s="127"/>
      <c r="MBS33" s="127"/>
      <c r="MBT33" s="127"/>
      <c r="MBU33" s="127"/>
      <c r="MBV33" s="127"/>
      <c r="MBW33" s="127"/>
      <c r="MBX33" s="127"/>
      <c r="MBY33" s="127"/>
      <c r="MBZ33" s="127"/>
      <c r="MCA33" s="127"/>
      <c r="MCB33" s="127"/>
      <c r="MCC33" s="127"/>
      <c r="MCD33" s="127"/>
      <c r="MCE33" s="127"/>
      <c r="MCF33" s="127"/>
      <c r="MCG33" s="127"/>
      <c r="MCH33" s="127"/>
      <c r="MCI33" s="127"/>
      <c r="MCJ33" s="127"/>
      <c r="MCK33" s="127"/>
      <c r="MCL33" s="127"/>
      <c r="MCM33" s="127"/>
      <c r="MCN33" s="127"/>
      <c r="MCO33" s="127"/>
      <c r="MCP33" s="127"/>
      <c r="MCQ33" s="127"/>
      <c r="MCR33" s="127"/>
      <c r="MCS33" s="127"/>
      <c r="MCT33" s="127"/>
      <c r="MCU33" s="127"/>
      <c r="MCV33" s="127"/>
      <c r="MCW33" s="127"/>
      <c r="MCX33" s="127"/>
      <c r="MCY33" s="127"/>
      <c r="MCZ33" s="127"/>
      <c r="MDA33" s="127"/>
      <c r="MDB33" s="127"/>
      <c r="MDC33" s="127"/>
      <c r="MDD33" s="127"/>
      <c r="MDE33" s="127"/>
      <c r="MDF33" s="127"/>
      <c r="MDG33" s="127"/>
      <c r="MDH33" s="127"/>
      <c r="MDI33" s="127"/>
      <c r="MDJ33" s="127"/>
      <c r="MDK33" s="127"/>
      <c r="MDL33" s="127"/>
      <c r="MDM33" s="127"/>
      <c r="MDN33" s="127"/>
      <c r="MDO33" s="127"/>
      <c r="MDP33" s="127"/>
      <c r="MDQ33" s="127"/>
      <c r="MDR33" s="127"/>
      <c r="MDS33" s="127"/>
      <c r="MDT33" s="127"/>
      <c r="MDU33" s="127"/>
      <c r="MDV33" s="127"/>
      <c r="MDW33" s="127"/>
      <c r="MDX33" s="127"/>
      <c r="MDY33" s="127"/>
      <c r="MDZ33" s="127"/>
      <c r="MEA33" s="127"/>
      <c r="MEB33" s="127"/>
      <c r="MEC33" s="127"/>
      <c r="MED33" s="127"/>
      <c r="MEE33" s="127"/>
      <c r="MEF33" s="127"/>
      <c r="MEG33" s="127"/>
      <c r="MEH33" s="127"/>
      <c r="MEI33" s="127"/>
      <c r="MEJ33" s="127"/>
      <c r="MEK33" s="127"/>
      <c r="MEL33" s="127"/>
      <c r="MEM33" s="127"/>
      <c r="MEN33" s="127"/>
      <c r="MEO33" s="127"/>
      <c r="MEP33" s="127"/>
      <c r="MEQ33" s="127"/>
      <c r="MER33" s="127"/>
      <c r="MES33" s="127"/>
      <c r="MET33" s="127"/>
      <c r="MEU33" s="127"/>
      <c r="MEV33" s="127"/>
      <c r="MEW33" s="127"/>
      <c r="MEX33" s="127"/>
      <c r="MEY33" s="127"/>
      <c r="MEZ33" s="127"/>
      <c r="MFA33" s="127"/>
      <c r="MFB33" s="127"/>
      <c r="MFC33" s="127"/>
      <c r="MFD33" s="127"/>
      <c r="MFE33" s="127"/>
      <c r="MFF33" s="127"/>
      <c r="MFG33" s="127"/>
      <c r="MFH33" s="127"/>
      <c r="MFI33" s="127"/>
      <c r="MFJ33" s="127"/>
      <c r="MFK33" s="127"/>
      <c r="MFL33" s="127"/>
      <c r="MFM33" s="127"/>
      <c r="MFN33" s="127"/>
      <c r="MFO33" s="127"/>
      <c r="MFP33" s="127"/>
      <c r="MFQ33" s="127"/>
      <c r="MFR33" s="127"/>
      <c r="MFS33" s="127"/>
      <c r="MFT33" s="127"/>
      <c r="MFU33" s="127"/>
      <c r="MFV33" s="127"/>
      <c r="MFW33" s="127"/>
      <c r="MFX33" s="127"/>
      <c r="MFY33" s="127"/>
      <c r="MFZ33" s="127"/>
      <c r="MGA33" s="127"/>
      <c r="MGB33" s="127"/>
      <c r="MGC33" s="127"/>
      <c r="MGD33" s="127"/>
      <c r="MGE33" s="127"/>
      <c r="MGF33" s="127"/>
      <c r="MGG33" s="127"/>
      <c r="MGH33" s="127"/>
      <c r="MGI33" s="127"/>
      <c r="MGJ33" s="127"/>
      <c r="MGK33" s="127"/>
      <c r="MGL33" s="127"/>
      <c r="MGM33" s="127"/>
      <c r="MGN33" s="127"/>
      <c r="MGO33" s="127"/>
      <c r="MGP33" s="127"/>
      <c r="MGQ33" s="127"/>
      <c r="MGR33" s="127"/>
      <c r="MGS33" s="127"/>
      <c r="MGT33" s="127"/>
      <c r="MGU33" s="127"/>
      <c r="MGV33" s="127"/>
      <c r="MGW33" s="127"/>
      <c r="MGX33" s="127"/>
      <c r="MGY33" s="127"/>
      <c r="MGZ33" s="127"/>
      <c r="MHA33" s="127"/>
      <c r="MHB33" s="127"/>
      <c r="MHC33" s="127"/>
      <c r="MHD33" s="127"/>
      <c r="MHE33" s="127"/>
      <c r="MHF33" s="127"/>
      <c r="MHG33" s="127"/>
      <c r="MHH33" s="127"/>
      <c r="MHI33" s="127"/>
      <c r="MHJ33" s="127"/>
      <c r="MHK33" s="127"/>
      <c r="MHL33" s="127"/>
      <c r="MHM33" s="127"/>
      <c r="MHN33" s="127"/>
      <c r="MHO33" s="127"/>
      <c r="MHP33" s="127"/>
      <c r="MHQ33" s="127"/>
      <c r="MHR33" s="127"/>
      <c r="MHS33" s="127"/>
      <c r="MHT33" s="127"/>
      <c r="MHU33" s="127"/>
      <c r="MHV33" s="127"/>
      <c r="MHW33" s="127"/>
      <c r="MHX33" s="127"/>
      <c r="MHY33" s="127"/>
      <c r="MHZ33" s="127"/>
      <c r="MIA33" s="127"/>
      <c r="MIB33" s="127"/>
      <c r="MIC33" s="127"/>
      <c r="MID33" s="127"/>
      <c r="MIE33" s="127"/>
      <c r="MIF33" s="127"/>
      <c r="MIG33" s="127"/>
      <c r="MIH33" s="127"/>
      <c r="MII33" s="127"/>
      <c r="MIJ33" s="127"/>
      <c r="MIK33" s="127"/>
      <c r="MIL33" s="127"/>
      <c r="MIM33" s="127"/>
      <c r="MIN33" s="127"/>
      <c r="MIO33" s="127"/>
      <c r="MIP33" s="127"/>
      <c r="MIQ33" s="127"/>
      <c r="MIR33" s="127"/>
      <c r="MIS33" s="127"/>
      <c r="MIT33" s="127"/>
      <c r="MIU33" s="127"/>
      <c r="MIV33" s="127"/>
      <c r="MIW33" s="127"/>
      <c r="MIX33" s="127"/>
      <c r="MIY33" s="127"/>
      <c r="MIZ33" s="127"/>
      <c r="MJA33" s="127"/>
      <c r="MJB33" s="127"/>
      <c r="MJC33" s="127"/>
      <c r="MJD33" s="127"/>
      <c r="MJE33" s="127"/>
      <c r="MJF33" s="127"/>
      <c r="MJG33" s="127"/>
      <c r="MJH33" s="127"/>
      <c r="MJI33" s="127"/>
      <c r="MJJ33" s="127"/>
      <c r="MJK33" s="127"/>
      <c r="MJL33" s="127"/>
      <c r="MJM33" s="127"/>
      <c r="MJN33" s="127"/>
      <c r="MJO33" s="127"/>
      <c r="MJP33" s="127"/>
      <c r="MJQ33" s="127"/>
      <c r="MJR33" s="127"/>
      <c r="MJS33" s="127"/>
      <c r="MJT33" s="127"/>
      <c r="MJU33" s="127"/>
      <c r="MJV33" s="127"/>
      <c r="MJW33" s="127"/>
      <c r="MJX33" s="127"/>
      <c r="MJY33" s="127"/>
      <c r="MJZ33" s="127"/>
      <c r="MKA33" s="127"/>
      <c r="MKB33" s="127"/>
      <c r="MKC33" s="127"/>
      <c r="MKD33" s="127"/>
      <c r="MKE33" s="127"/>
      <c r="MKF33" s="127"/>
      <c r="MKG33" s="127"/>
      <c r="MKH33" s="127"/>
      <c r="MKI33" s="127"/>
      <c r="MKJ33" s="127"/>
      <c r="MKK33" s="127"/>
      <c r="MKL33" s="127"/>
      <c r="MKM33" s="127"/>
      <c r="MKN33" s="127"/>
      <c r="MKO33" s="127"/>
      <c r="MKP33" s="127"/>
      <c r="MKQ33" s="127"/>
      <c r="MKR33" s="127"/>
      <c r="MKS33" s="127"/>
      <c r="MKT33" s="127"/>
      <c r="MKU33" s="127"/>
      <c r="MKV33" s="127"/>
      <c r="MKW33" s="127"/>
      <c r="MKX33" s="127"/>
      <c r="MKY33" s="127"/>
      <c r="MKZ33" s="127"/>
      <c r="MLA33" s="127"/>
      <c r="MLB33" s="127"/>
      <c r="MLC33" s="127"/>
      <c r="MLD33" s="127"/>
      <c r="MLE33" s="127"/>
      <c r="MLF33" s="127"/>
      <c r="MLG33" s="127"/>
      <c r="MLH33" s="127"/>
      <c r="MLI33" s="127"/>
      <c r="MLJ33" s="127"/>
      <c r="MLK33" s="127"/>
      <c r="MLL33" s="127"/>
      <c r="MLM33" s="127"/>
      <c r="MLN33" s="127"/>
      <c r="MLO33" s="127"/>
      <c r="MLP33" s="127"/>
      <c r="MLQ33" s="127"/>
      <c r="MLR33" s="127"/>
      <c r="MLS33" s="127"/>
      <c r="MLT33" s="127"/>
      <c r="MLU33" s="127"/>
      <c r="MLV33" s="127"/>
      <c r="MLW33" s="127"/>
      <c r="MLX33" s="127"/>
      <c r="MLY33" s="127"/>
      <c r="MLZ33" s="127"/>
      <c r="MMA33" s="127"/>
      <c r="MMB33" s="127"/>
      <c r="MMC33" s="127"/>
      <c r="MMD33" s="127"/>
      <c r="MME33" s="127"/>
      <c r="MMF33" s="127"/>
      <c r="MMG33" s="127"/>
      <c r="MMH33" s="127"/>
      <c r="MMI33" s="127"/>
      <c r="MMJ33" s="127"/>
      <c r="MMK33" s="127"/>
      <c r="MML33" s="127"/>
      <c r="MMM33" s="127"/>
      <c r="MMN33" s="127"/>
      <c r="MMO33" s="127"/>
      <c r="MMP33" s="127"/>
      <c r="MMQ33" s="127"/>
      <c r="MMR33" s="127"/>
      <c r="MMS33" s="127"/>
      <c r="MMT33" s="127"/>
      <c r="MMU33" s="127"/>
      <c r="MMV33" s="127"/>
      <c r="MMW33" s="127"/>
      <c r="MMX33" s="127"/>
      <c r="MMY33" s="127"/>
      <c r="MMZ33" s="127"/>
      <c r="MNA33" s="127"/>
      <c r="MNB33" s="127"/>
      <c r="MNC33" s="127"/>
      <c r="MND33" s="127"/>
      <c r="MNE33" s="127"/>
      <c r="MNF33" s="127"/>
      <c r="MNG33" s="127"/>
      <c r="MNH33" s="127"/>
      <c r="MNI33" s="127"/>
      <c r="MNJ33" s="127"/>
      <c r="MNK33" s="127"/>
      <c r="MNL33" s="127"/>
      <c r="MNM33" s="127"/>
      <c r="MNN33" s="127"/>
      <c r="MNO33" s="127"/>
      <c r="MNP33" s="127"/>
      <c r="MNQ33" s="127"/>
      <c r="MNR33" s="127"/>
      <c r="MNS33" s="127"/>
      <c r="MNT33" s="127"/>
      <c r="MNU33" s="127"/>
      <c r="MNV33" s="127"/>
      <c r="MNW33" s="127"/>
      <c r="MNX33" s="127"/>
      <c r="MNY33" s="127"/>
      <c r="MNZ33" s="127"/>
      <c r="MOA33" s="127"/>
      <c r="MOB33" s="127"/>
      <c r="MOC33" s="127"/>
      <c r="MOD33" s="127"/>
      <c r="MOE33" s="127"/>
      <c r="MOF33" s="127"/>
      <c r="MOG33" s="127"/>
      <c r="MOH33" s="127"/>
      <c r="MOI33" s="127"/>
      <c r="MOJ33" s="127"/>
      <c r="MOK33" s="127"/>
      <c r="MOL33" s="127"/>
      <c r="MOM33" s="127"/>
      <c r="MON33" s="127"/>
      <c r="MOO33" s="127"/>
      <c r="MOP33" s="127"/>
      <c r="MOQ33" s="127"/>
      <c r="MOR33" s="127"/>
      <c r="MOS33" s="127"/>
      <c r="MOT33" s="127"/>
      <c r="MOU33" s="127"/>
      <c r="MOV33" s="127"/>
      <c r="MOW33" s="127"/>
      <c r="MOX33" s="127"/>
      <c r="MOY33" s="127"/>
      <c r="MOZ33" s="127"/>
      <c r="MPA33" s="127"/>
      <c r="MPB33" s="127"/>
      <c r="MPC33" s="127"/>
      <c r="MPD33" s="127"/>
      <c r="MPE33" s="127"/>
      <c r="MPF33" s="127"/>
      <c r="MPG33" s="127"/>
      <c r="MPH33" s="127"/>
      <c r="MPI33" s="127"/>
      <c r="MPJ33" s="127"/>
      <c r="MPK33" s="127"/>
      <c r="MPL33" s="127"/>
      <c r="MPM33" s="127"/>
      <c r="MPN33" s="127"/>
      <c r="MPO33" s="127"/>
      <c r="MPP33" s="127"/>
      <c r="MPQ33" s="127"/>
      <c r="MPR33" s="127"/>
      <c r="MPS33" s="127"/>
      <c r="MPT33" s="127"/>
      <c r="MPU33" s="127"/>
      <c r="MPV33" s="127"/>
      <c r="MPW33" s="127"/>
      <c r="MPX33" s="127"/>
      <c r="MPY33" s="127"/>
      <c r="MPZ33" s="127"/>
      <c r="MQA33" s="127"/>
      <c r="MQB33" s="127"/>
      <c r="MQC33" s="127"/>
      <c r="MQD33" s="127"/>
      <c r="MQE33" s="127"/>
      <c r="MQF33" s="127"/>
      <c r="MQG33" s="127"/>
      <c r="MQH33" s="127"/>
      <c r="MQI33" s="127"/>
      <c r="MQJ33" s="127"/>
      <c r="MQK33" s="127"/>
      <c r="MQL33" s="127"/>
      <c r="MQM33" s="127"/>
      <c r="MQN33" s="127"/>
      <c r="MQO33" s="127"/>
      <c r="MQP33" s="127"/>
      <c r="MQQ33" s="127"/>
      <c r="MQR33" s="127"/>
      <c r="MQS33" s="127"/>
      <c r="MQT33" s="127"/>
      <c r="MQU33" s="127"/>
      <c r="MQV33" s="127"/>
      <c r="MQW33" s="127"/>
      <c r="MQX33" s="127"/>
      <c r="MQY33" s="127"/>
      <c r="MQZ33" s="127"/>
      <c r="MRA33" s="127"/>
      <c r="MRB33" s="127"/>
      <c r="MRC33" s="127"/>
      <c r="MRD33" s="127"/>
      <c r="MRE33" s="127"/>
      <c r="MRF33" s="127"/>
      <c r="MRG33" s="127"/>
      <c r="MRH33" s="127"/>
      <c r="MRI33" s="127"/>
      <c r="MRJ33" s="127"/>
      <c r="MRK33" s="127"/>
      <c r="MRL33" s="127"/>
      <c r="MRM33" s="127"/>
      <c r="MRN33" s="127"/>
      <c r="MRO33" s="127"/>
      <c r="MRP33" s="127"/>
      <c r="MRQ33" s="127"/>
      <c r="MRR33" s="127"/>
      <c r="MRS33" s="127"/>
      <c r="MRT33" s="127"/>
      <c r="MRU33" s="127"/>
      <c r="MRV33" s="127"/>
      <c r="MRW33" s="127"/>
      <c r="MRX33" s="127"/>
      <c r="MRY33" s="127"/>
      <c r="MRZ33" s="127"/>
      <c r="MSA33" s="127"/>
      <c r="MSB33" s="127"/>
      <c r="MSC33" s="127"/>
      <c r="MSD33" s="127"/>
      <c r="MSE33" s="127"/>
      <c r="MSF33" s="127"/>
      <c r="MSG33" s="127"/>
      <c r="MSH33" s="127"/>
      <c r="MSI33" s="127"/>
      <c r="MSJ33" s="127"/>
      <c r="MSK33" s="127"/>
      <c r="MSL33" s="127"/>
      <c r="MSM33" s="127"/>
      <c r="MSN33" s="127"/>
      <c r="MSO33" s="127"/>
      <c r="MSP33" s="127"/>
      <c r="MSQ33" s="127"/>
      <c r="MSR33" s="127"/>
      <c r="MSS33" s="127"/>
      <c r="MST33" s="127"/>
      <c r="MSU33" s="127"/>
      <c r="MSV33" s="127"/>
      <c r="MSW33" s="127"/>
      <c r="MSX33" s="127"/>
      <c r="MSY33" s="127"/>
      <c r="MSZ33" s="127"/>
      <c r="MTA33" s="127"/>
      <c r="MTB33" s="127"/>
      <c r="MTC33" s="127"/>
      <c r="MTD33" s="127"/>
      <c r="MTE33" s="127"/>
      <c r="MTF33" s="127"/>
      <c r="MTG33" s="127"/>
      <c r="MTH33" s="127"/>
      <c r="MTI33" s="127"/>
      <c r="MTJ33" s="127"/>
      <c r="MTK33" s="127"/>
      <c r="MTL33" s="127"/>
      <c r="MTM33" s="127"/>
      <c r="MTN33" s="127"/>
      <c r="MTO33" s="127"/>
      <c r="MTP33" s="127"/>
      <c r="MTQ33" s="127"/>
      <c r="MTR33" s="127"/>
      <c r="MTS33" s="127"/>
      <c r="MTT33" s="127"/>
      <c r="MTU33" s="127"/>
      <c r="MTV33" s="127"/>
      <c r="MTW33" s="127"/>
      <c r="MTX33" s="127"/>
      <c r="MTY33" s="127"/>
      <c r="MTZ33" s="127"/>
      <c r="MUA33" s="127"/>
      <c r="MUB33" s="127"/>
      <c r="MUC33" s="127"/>
      <c r="MUD33" s="127"/>
      <c r="MUE33" s="127"/>
      <c r="MUF33" s="127"/>
      <c r="MUG33" s="127"/>
      <c r="MUH33" s="127"/>
      <c r="MUI33" s="127"/>
      <c r="MUJ33" s="127"/>
      <c r="MUK33" s="127"/>
      <c r="MUL33" s="127"/>
      <c r="MUM33" s="127"/>
      <c r="MUN33" s="127"/>
      <c r="MUO33" s="127"/>
      <c r="MUP33" s="127"/>
      <c r="MUQ33" s="127"/>
      <c r="MUR33" s="127"/>
      <c r="MUS33" s="127"/>
      <c r="MUT33" s="127"/>
      <c r="MUU33" s="127"/>
      <c r="MUV33" s="127"/>
      <c r="MUW33" s="127"/>
      <c r="MUX33" s="127"/>
      <c r="MUY33" s="127"/>
      <c r="MUZ33" s="127"/>
      <c r="MVA33" s="127"/>
      <c r="MVB33" s="127"/>
      <c r="MVC33" s="127"/>
      <c r="MVD33" s="127"/>
      <c r="MVE33" s="127"/>
      <c r="MVF33" s="127"/>
      <c r="MVG33" s="127"/>
      <c r="MVH33" s="127"/>
      <c r="MVI33" s="127"/>
      <c r="MVJ33" s="127"/>
      <c r="MVK33" s="127"/>
      <c r="MVL33" s="127"/>
      <c r="MVM33" s="127"/>
      <c r="MVN33" s="127"/>
      <c r="MVO33" s="127"/>
      <c r="MVP33" s="127"/>
      <c r="MVQ33" s="127"/>
      <c r="MVR33" s="127"/>
      <c r="MVS33" s="127"/>
      <c r="MVT33" s="127"/>
      <c r="MVU33" s="127"/>
      <c r="MVV33" s="127"/>
      <c r="MVW33" s="127"/>
      <c r="MVX33" s="127"/>
      <c r="MVY33" s="127"/>
      <c r="MVZ33" s="127"/>
      <c r="MWA33" s="127"/>
      <c r="MWB33" s="127"/>
      <c r="MWC33" s="127"/>
      <c r="MWD33" s="127"/>
      <c r="MWE33" s="127"/>
      <c r="MWF33" s="127"/>
      <c r="MWG33" s="127"/>
      <c r="MWH33" s="127"/>
      <c r="MWI33" s="127"/>
      <c r="MWJ33" s="127"/>
      <c r="MWK33" s="127"/>
      <c r="MWL33" s="127"/>
      <c r="MWM33" s="127"/>
      <c r="MWN33" s="127"/>
      <c r="MWO33" s="127"/>
      <c r="MWP33" s="127"/>
      <c r="MWQ33" s="127"/>
      <c r="MWR33" s="127"/>
      <c r="MWS33" s="127"/>
      <c r="MWT33" s="127"/>
      <c r="MWU33" s="127"/>
      <c r="MWV33" s="127"/>
      <c r="MWW33" s="127"/>
      <c r="MWX33" s="127"/>
      <c r="MWY33" s="127"/>
      <c r="MWZ33" s="127"/>
      <c r="MXA33" s="127"/>
      <c r="MXB33" s="127"/>
      <c r="MXC33" s="127"/>
      <c r="MXD33" s="127"/>
      <c r="MXE33" s="127"/>
      <c r="MXF33" s="127"/>
      <c r="MXG33" s="127"/>
      <c r="MXH33" s="127"/>
      <c r="MXI33" s="127"/>
      <c r="MXJ33" s="127"/>
      <c r="MXK33" s="127"/>
      <c r="MXL33" s="127"/>
      <c r="MXM33" s="127"/>
      <c r="MXN33" s="127"/>
      <c r="MXO33" s="127"/>
      <c r="MXP33" s="127"/>
      <c r="MXQ33" s="127"/>
      <c r="MXR33" s="127"/>
      <c r="MXS33" s="127"/>
      <c r="MXT33" s="127"/>
      <c r="MXU33" s="127"/>
      <c r="MXV33" s="127"/>
      <c r="MXW33" s="127"/>
      <c r="MXX33" s="127"/>
      <c r="MXY33" s="127"/>
      <c r="MXZ33" s="127"/>
      <c r="MYA33" s="127"/>
      <c r="MYB33" s="127"/>
      <c r="MYC33" s="127"/>
      <c r="MYD33" s="127"/>
      <c r="MYE33" s="127"/>
      <c r="MYF33" s="127"/>
      <c r="MYG33" s="127"/>
      <c r="MYH33" s="127"/>
      <c r="MYI33" s="127"/>
      <c r="MYJ33" s="127"/>
      <c r="MYK33" s="127"/>
      <c r="MYL33" s="127"/>
      <c r="MYM33" s="127"/>
      <c r="MYN33" s="127"/>
      <c r="MYO33" s="127"/>
      <c r="MYP33" s="127"/>
      <c r="MYQ33" s="127"/>
      <c r="MYR33" s="127"/>
      <c r="MYS33" s="127"/>
      <c r="MYT33" s="127"/>
      <c r="MYU33" s="127"/>
      <c r="MYV33" s="127"/>
      <c r="MYW33" s="127"/>
      <c r="MYX33" s="127"/>
      <c r="MYY33" s="127"/>
      <c r="MYZ33" s="127"/>
      <c r="MZA33" s="127"/>
      <c r="MZB33" s="127"/>
      <c r="MZC33" s="127"/>
      <c r="MZD33" s="127"/>
      <c r="MZE33" s="127"/>
      <c r="MZF33" s="127"/>
      <c r="MZG33" s="127"/>
      <c r="MZH33" s="127"/>
      <c r="MZI33" s="127"/>
      <c r="MZJ33" s="127"/>
      <c r="MZK33" s="127"/>
      <c r="MZL33" s="127"/>
      <c r="MZM33" s="127"/>
      <c r="MZN33" s="127"/>
      <c r="MZO33" s="127"/>
      <c r="MZP33" s="127"/>
      <c r="MZQ33" s="127"/>
      <c r="MZR33" s="127"/>
      <c r="MZS33" s="127"/>
      <c r="MZT33" s="127"/>
      <c r="MZU33" s="127"/>
      <c r="MZV33" s="127"/>
      <c r="MZW33" s="127"/>
      <c r="MZX33" s="127"/>
      <c r="MZY33" s="127"/>
      <c r="MZZ33" s="127"/>
      <c r="NAA33" s="127"/>
      <c r="NAB33" s="127"/>
      <c r="NAC33" s="127"/>
      <c r="NAD33" s="127"/>
      <c r="NAE33" s="127"/>
      <c r="NAF33" s="127"/>
      <c r="NAG33" s="127"/>
      <c r="NAH33" s="127"/>
      <c r="NAI33" s="127"/>
      <c r="NAJ33" s="127"/>
      <c r="NAK33" s="127"/>
      <c r="NAL33" s="127"/>
      <c r="NAM33" s="127"/>
      <c r="NAN33" s="127"/>
      <c r="NAO33" s="127"/>
      <c r="NAP33" s="127"/>
      <c r="NAQ33" s="127"/>
      <c r="NAR33" s="127"/>
      <c r="NAS33" s="127"/>
      <c r="NAT33" s="127"/>
      <c r="NAU33" s="127"/>
      <c r="NAV33" s="127"/>
      <c r="NAW33" s="127"/>
      <c r="NAX33" s="127"/>
      <c r="NAY33" s="127"/>
      <c r="NAZ33" s="127"/>
      <c r="NBA33" s="127"/>
      <c r="NBB33" s="127"/>
      <c r="NBC33" s="127"/>
      <c r="NBD33" s="127"/>
      <c r="NBE33" s="127"/>
      <c r="NBF33" s="127"/>
      <c r="NBG33" s="127"/>
      <c r="NBH33" s="127"/>
      <c r="NBI33" s="127"/>
      <c r="NBJ33" s="127"/>
      <c r="NBK33" s="127"/>
      <c r="NBL33" s="127"/>
      <c r="NBM33" s="127"/>
      <c r="NBN33" s="127"/>
      <c r="NBO33" s="127"/>
      <c r="NBP33" s="127"/>
      <c r="NBQ33" s="127"/>
      <c r="NBR33" s="127"/>
      <c r="NBS33" s="127"/>
      <c r="NBT33" s="127"/>
      <c r="NBU33" s="127"/>
      <c r="NBV33" s="127"/>
      <c r="NBW33" s="127"/>
      <c r="NBX33" s="127"/>
      <c r="NBY33" s="127"/>
      <c r="NBZ33" s="127"/>
      <c r="NCA33" s="127"/>
      <c r="NCB33" s="127"/>
      <c r="NCC33" s="127"/>
      <c r="NCD33" s="127"/>
      <c r="NCE33" s="127"/>
      <c r="NCF33" s="127"/>
      <c r="NCG33" s="127"/>
      <c r="NCH33" s="127"/>
      <c r="NCI33" s="127"/>
      <c r="NCJ33" s="127"/>
      <c r="NCK33" s="127"/>
      <c r="NCL33" s="127"/>
      <c r="NCM33" s="127"/>
      <c r="NCN33" s="127"/>
      <c r="NCO33" s="127"/>
      <c r="NCP33" s="127"/>
      <c r="NCQ33" s="127"/>
      <c r="NCR33" s="127"/>
      <c r="NCS33" s="127"/>
      <c r="NCT33" s="127"/>
      <c r="NCU33" s="127"/>
      <c r="NCV33" s="127"/>
      <c r="NCW33" s="127"/>
      <c r="NCX33" s="127"/>
      <c r="NCY33" s="127"/>
      <c r="NCZ33" s="127"/>
      <c r="NDA33" s="127"/>
      <c r="NDB33" s="127"/>
      <c r="NDC33" s="127"/>
      <c r="NDD33" s="127"/>
      <c r="NDE33" s="127"/>
      <c r="NDF33" s="127"/>
      <c r="NDG33" s="127"/>
      <c r="NDH33" s="127"/>
      <c r="NDI33" s="127"/>
      <c r="NDJ33" s="127"/>
      <c r="NDK33" s="127"/>
      <c r="NDL33" s="127"/>
      <c r="NDM33" s="127"/>
      <c r="NDN33" s="127"/>
      <c r="NDO33" s="127"/>
      <c r="NDP33" s="127"/>
      <c r="NDQ33" s="127"/>
      <c r="NDR33" s="127"/>
      <c r="NDS33" s="127"/>
      <c r="NDT33" s="127"/>
      <c r="NDU33" s="127"/>
      <c r="NDV33" s="127"/>
      <c r="NDW33" s="127"/>
      <c r="NDX33" s="127"/>
      <c r="NDY33" s="127"/>
      <c r="NDZ33" s="127"/>
      <c r="NEA33" s="127"/>
      <c r="NEB33" s="127"/>
      <c r="NEC33" s="127"/>
      <c r="NED33" s="127"/>
      <c r="NEE33" s="127"/>
      <c r="NEF33" s="127"/>
      <c r="NEG33" s="127"/>
      <c r="NEH33" s="127"/>
      <c r="NEI33" s="127"/>
      <c r="NEJ33" s="127"/>
      <c r="NEK33" s="127"/>
      <c r="NEL33" s="127"/>
      <c r="NEM33" s="127"/>
      <c r="NEN33" s="127"/>
      <c r="NEO33" s="127"/>
      <c r="NEP33" s="127"/>
      <c r="NEQ33" s="127"/>
      <c r="NER33" s="127"/>
      <c r="NES33" s="127"/>
      <c r="NET33" s="127"/>
      <c r="NEU33" s="127"/>
      <c r="NEV33" s="127"/>
      <c r="NEW33" s="127"/>
      <c r="NEX33" s="127"/>
      <c r="NEY33" s="127"/>
      <c r="NEZ33" s="127"/>
      <c r="NFA33" s="127"/>
      <c r="NFB33" s="127"/>
      <c r="NFC33" s="127"/>
      <c r="NFD33" s="127"/>
      <c r="NFE33" s="127"/>
      <c r="NFF33" s="127"/>
      <c r="NFG33" s="127"/>
      <c r="NFH33" s="127"/>
      <c r="NFI33" s="127"/>
      <c r="NFJ33" s="127"/>
      <c r="NFK33" s="127"/>
      <c r="NFL33" s="127"/>
      <c r="NFM33" s="127"/>
      <c r="NFN33" s="127"/>
      <c r="NFO33" s="127"/>
      <c r="NFP33" s="127"/>
      <c r="NFQ33" s="127"/>
      <c r="NFR33" s="127"/>
      <c r="NFS33" s="127"/>
      <c r="NFT33" s="127"/>
      <c r="NFU33" s="127"/>
      <c r="NFV33" s="127"/>
      <c r="NFW33" s="127"/>
      <c r="NFX33" s="127"/>
      <c r="NFY33" s="127"/>
      <c r="NFZ33" s="127"/>
      <c r="NGA33" s="127"/>
      <c r="NGB33" s="127"/>
      <c r="NGC33" s="127"/>
      <c r="NGD33" s="127"/>
      <c r="NGE33" s="127"/>
      <c r="NGF33" s="127"/>
      <c r="NGG33" s="127"/>
      <c r="NGH33" s="127"/>
      <c r="NGI33" s="127"/>
      <c r="NGJ33" s="127"/>
      <c r="NGK33" s="127"/>
      <c r="NGL33" s="127"/>
      <c r="NGM33" s="127"/>
      <c r="NGN33" s="127"/>
      <c r="NGO33" s="127"/>
      <c r="NGP33" s="127"/>
      <c r="NGQ33" s="127"/>
      <c r="NGR33" s="127"/>
      <c r="NGS33" s="127"/>
      <c r="NGT33" s="127"/>
      <c r="NGU33" s="127"/>
      <c r="NGV33" s="127"/>
      <c r="NGW33" s="127"/>
      <c r="NGX33" s="127"/>
      <c r="NGY33" s="127"/>
      <c r="NGZ33" s="127"/>
      <c r="NHA33" s="127"/>
      <c r="NHB33" s="127"/>
      <c r="NHC33" s="127"/>
      <c r="NHD33" s="127"/>
      <c r="NHE33" s="127"/>
      <c r="NHF33" s="127"/>
      <c r="NHG33" s="127"/>
      <c r="NHH33" s="127"/>
      <c r="NHI33" s="127"/>
      <c r="NHJ33" s="127"/>
      <c r="NHK33" s="127"/>
      <c r="NHL33" s="127"/>
      <c r="NHM33" s="127"/>
      <c r="NHN33" s="127"/>
      <c r="NHO33" s="127"/>
      <c r="NHP33" s="127"/>
      <c r="NHQ33" s="127"/>
      <c r="NHR33" s="127"/>
      <c r="NHS33" s="127"/>
      <c r="NHT33" s="127"/>
      <c r="NHU33" s="127"/>
      <c r="NHV33" s="127"/>
      <c r="NHW33" s="127"/>
      <c r="NHX33" s="127"/>
      <c r="NHY33" s="127"/>
      <c r="NHZ33" s="127"/>
      <c r="NIA33" s="127"/>
      <c r="NIB33" s="127"/>
      <c r="NIC33" s="127"/>
      <c r="NID33" s="127"/>
      <c r="NIE33" s="127"/>
      <c r="NIF33" s="127"/>
      <c r="NIG33" s="127"/>
      <c r="NIH33" s="127"/>
      <c r="NII33" s="127"/>
      <c r="NIJ33" s="127"/>
      <c r="NIK33" s="127"/>
      <c r="NIL33" s="127"/>
      <c r="NIM33" s="127"/>
      <c r="NIN33" s="127"/>
      <c r="NIO33" s="127"/>
      <c r="NIP33" s="127"/>
      <c r="NIQ33" s="127"/>
      <c r="NIR33" s="127"/>
      <c r="NIS33" s="127"/>
      <c r="NIT33" s="127"/>
      <c r="NIU33" s="127"/>
      <c r="NIV33" s="127"/>
      <c r="NIW33" s="127"/>
      <c r="NIX33" s="127"/>
      <c r="NIY33" s="127"/>
      <c r="NIZ33" s="127"/>
      <c r="NJA33" s="127"/>
      <c r="NJB33" s="127"/>
      <c r="NJC33" s="127"/>
      <c r="NJD33" s="127"/>
      <c r="NJE33" s="127"/>
      <c r="NJF33" s="127"/>
      <c r="NJG33" s="127"/>
      <c r="NJH33" s="127"/>
      <c r="NJI33" s="127"/>
      <c r="NJJ33" s="127"/>
      <c r="NJK33" s="127"/>
      <c r="NJL33" s="127"/>
      <c r="NJM33" s="127"/>
      <c r="NJN33" s="127"/>
      <c r="NJO33" s="127"/>
      <c r="NJP33" s="127"/>
      <c r="NJQ33" s="127"/>
      <c r="NJR33" s="127"/>
      <c r="NJS33" s="127"/>
      <c r="NJT33" s="127"/>
      <c r="NJU33" s="127"/>
      <c r="NJV33" s="127"/>
      <c r="NJW33" s="127"/>
      <c r="NJX33" s="127"/>
      <c r="NJY33" s="127"/>
      <c r="NJZ33" s="127"/>
      <c r="NKA33" s="127"/>
      <c r="NKB33" s="127"/>
      <c r="NKC33" s="127"/>
      <c r="NKD33" s="127"/>
      <c r="NKE33" s="127"/>
      <c r="NKF33" s="127"/>
      <c r="NKG33" s="127"/>
      <c r="NKH33" s="127"/>
      <c r="NKI33" s="127"/>
      <c r="NKJ33" s="127"/>
      <c r="NKK33" s="127"/>
      <c r="NKL33" s="127"/>
      <c r="NKM33" s="127"/>
      <c r="NKN33" s="127"/>
      <c r="NKO33" s="127"/>
      <c r="NKP33" s="127"/>
      <c r="NKQ33" s="127"/>
      <c r="NKR33" s="127"/>
      <c r="NKS33" s="127"/>
      <c r="NKT33" s="127"/>
      <c r="NKU33" s="127"/>
      <c r="NKV33" s="127"/>
      <c r="NKW33" s="127"/>
      <c r="NKX33" s="127"/>
      <c r="NKY33" s="127"/>
      <c r="NKZ33" s="127"/>
      <c r="NLA33" s="127"/>
      <c r="NLB33" s="127"/>
      <c r="NLC33" s="127"/>
      <c r="NLD33" s="127"/>
      <c r="NLE33" s="127"/>
      <c r="NLF33" s="127"/>
      <c r="NLG33" s="127"/>
      <c r="NLH33" s="127"/>
      <c r="NLI33" s="127"/>
      <c r="NLJ33" s="127"/>
      <c r="NLK33" s="127"/>
      <c r="NLL33" s="127"/>
      <c r="NLM33" s="127"/>
      <c r="NLN33" s="127"/>
      <c r="NLO33" s="127"/>
      <c r="NLP33" s="127"/>
      <c r="NLQ33" s="127"/>
      <c r="NLR33" s="127"/>
      <c r="NLS33" s="127"/>
      <c r="NLT33" s="127"/>
      <c r="NLU33" s="127"/>
      <c r="NLV33" s="127"/>
      <c r="NLW33" s="127"/>
      <c r="NLX33" s="127"/>
      <c r="NLY33" s="127"/>
      <c r="NLZ33" s="127"/>
      <c r="NMA33" s="127"/>
      <c r="NMB33" s="127"/>
      <c r="NMC33" s="127"/>
      <c r="NMD33" s="127"/>
      <c r="NME33" s="127"/>
      <c r="NMF33" s="127"/>
      <c r="NMG33" s="127"/>
      <c r="NMH33" s="127"/>
      <c r="NMI33" s="127"/>
      <c r="NMJ33" s="127"/>
      <c r="NMK33" s="127"/>
      <c r="NML33" s="127"/>
      <c r="NMM33" s="127"/>
      <c r="NMN33" s="127"/>
      <c r="NMO33" s="127"/>
      <c r="NMP33" s="127"/>
      <c r="NMQ33" s="127"/>
      <c r="NMR33" s="127"/>
      <c r="NMS33" s="127"/>
      <c r="NMT33" s="127"/>
      <c r="NMU33" s="127"/>
      <c r="NMV33" s="127"/>
      <c r="NMW33" s="127"/>
      <c r="NMX33" s="127"/>
      <c r="NMY33" s="127"/>
      <c r="NMZ33" s="127"/>
      <c r="NNA33" s="127"/>
      <c r="NNB33" s="127"/>
      <c r="NNC33" s="127"/>
      <c r="NND33" s="127"/>
      <c r="NNE33" s="127"/>
      <c r="NNF33" s="127"/>
      <c r="NNG33" s="127"/>
      <c r="NNH33" s="127"/>
      <c r="NNI33" s="127"/>
      <c r="NNJ33" s="127"/>
      <c r="NNK33" s="127"/>
      <c r="NNL33" s="127"/>
      <c r="NNM33" s="127"/>
      <c r="NNN33" s="127"/>
      <c r="NNO33" s="127"/>
      <c r="NNP33" s="127"/>
      <c r="NNQ33" s="127"/>
      <c r="NNR33" s="127"/>
      <c r="NNS33" s="127"/>
      <c r="NNT33" s="127"/>
      <c r="NNU33" s="127"/>
      <c r="NNV33" s="127"/>
      <c r="NNW33" s="127"/>
      <c r="NNX33" s="127"/>
      <c r="NNY33" s="127"/>
      <c r="NNZ33" s="127"/>
      <c r="NOA33" s="127"/>
      <c r="NOB33" s="127"/>
      <c r="NOC33" s="127"/>
      <c r="NOD33" s="127"/>
      <c r="NOE33" s="127"/>
      <c r="NOF33" s="127"/>
      <c r="NOG33" s="127"/>
      <c r="NOH33" s="127"/>
      <c r="NOI33" s="127"/>
      <c r="NOJ33" s="127"/>
      <c r="NOK33" s="127"/>
      <c r="NOL33" s="127"/>
      <c r="NOM33" s="127"/>
      <c r="NON33" s="127"/>
      <c r="NOO33" s="127"/>
      <c r="NOP33" s="127"/>
      <c r="NOQ33" s="127"/>
      <c r="NOR33" s="127"/>
      <c r="NOS33" s="127"/>
      <c r="NOT33" s="127"/>
      <c r="NOU33" s="127"/>
      <c r="NOV33" s="127"/>
      <c r="NOW33" s="127"/>
      <c r="NOX33" s="127"/>
      <c r="NOY33" s="127"/>
      <c r="NOZ33" s="127"/>
      <c r="NPA33" s="127"/>
      <c r="NPB33" s="127"/>
      <c r="NPC33" s="127"/>
      <c r="NPD33" s="127"/>
      <c r="NPE33" s="127"/>
      <c r="NPF33" s="127"/>
      <c r="NPG33" s="127"/>
      <c r="NPH33" s="127"/>
      <c r="NPI33" s="127"/>
      <c r="NPJ33" s="127"/>
      <c r="NPK33" s="127"/>
      <c r="NPL33" s="127"/>
      <c r="NPM33" s="127"/>
      <c r="NPN33" s="127"/>
      <c r="NPO33" s="127"/>
      <c r="NPP33" s="127"/>
      <c r="NPQ33" s="127"/>
      <c r="NPR33" s="127"/>
      <c r="NPS33" s="127"/>
      <c r="NPT33" s="127"/>
      <c r="NPU33" s="127"/>
      <c r="NPV33" s="127"/>
      <c r="NPW33" s="127"/>
      <c r="NPX33" s="127"/>
      <c r="NPY33" s="127"/>
      <c r="NPZ33" s="127"/>
      <c r="NQA33" s="127"/>
      <c r="NQB33" s="127"/>
      <c r="NQC33" s="127"/>
      <c r="NQD33" s="127"/>
      <c r="NQE33" s="127"/>
      <c r="NQF33" s="127"/>
      <c r="NQG33" s="127"/>
      <c r="NQH33" s="127"/>
      <c r="NQI33" s="127"/>
      <c r="NQJ33" s="127"/>
      <c r="NQK33" s="127"/>
      <c r="NQL33" s="127"/>
      <c r="NQM33" s="127"/>
      <c r="NQN33" s="127"/>
      <c r="NQO33" s="127"/>
      <c r="NQP33" s="127"/>
      <c r="NQQ33" s="127"/>
      <c r="NQR33" s="127"/>
      <c r="NQS33" s="127"/>
      <c r="NQT33" s="127"/>
      <c r="NQU33" s="127"/>
      <c r="NQV33" s="127"/>
      <c r="NQW33" s="127"/>
      <c r="NQX33" s="127"/>
      <c r="NQY33" s="127"/>
      <c r="NQZ33" s="127"/>
      <c r="NRA33" s="127"/>
      <c r="NRB33" s="127"/>
      <c r="NRC33" s="127"/>
      <c r="NRD33" s="127"/>
      <c r="NRE33" s="127"/>
      <c r="NRF33" s="127"/>
      <c r="NRG33" s="127"/>
      <c r="NRH33" s="127"/>
      <c r="NRI33" s="127"/>
      <c r="NRJ33" s="127"/>
      <c r="NRK33" s="127"/>
      <c r="NRL33" s="127"/>
      <c r="NRM33" s="127"/>
      <c r="NRN33" s="127"/>
      <c r="NRO33" s="127"/>
      <c r="NRP33" s="127"/>
      <c r="NRQ33" s="127"/>
      <c r="NRR33" s="127"/>
      <c r="NRS33" s="127"/>
      <c r="NRT33" s="127"/>
      <c r="NRU33" s="127"/>
      <c r="NRV33" s="127"/>
      <c r="NRW33" s="127"/>
      <c r="NRX33" s="127"/>
      <c r="NRY33" s="127"/>
      <c r="NRZ33" s="127"/>
      <c r="NSA33" s="127"/>
      <c r="NSB33" s="127"/>
      <c r="NSC33" s="127"/>
      <c r="NSD33" s="127"/>
      <c r="NSE33" s="127"/>
      <c r="NSF33" s="127"/>
      <c r="NSG33" s="127"/>
      <c r="NSH33" s="127"/>
      <c r="NSI33" s="127"/>
      <c r="NSJ33" s="127"/>
      <c r="NSK33" s="127"/>
      <c r="NSL33" s="127"/>
      <c r="NSM33" s="127"/>
      <c r="NSN33" s="127"/>
      <c r="NSO33" s="127"/>
      <c r="NSP33" s="127"/>
      <c r="NSQ33" s="127"/>
      <c r="NSR33" s="127"/>
      <c r="NSS33" s="127"/>
      <c r="NST33" s="127"/>
      <c r="NSU33" s="127"/>
      <c r="NSV33" s="127"/>
      <c r="NSW33" s="127"/>
      <c r="NSX33" s="127"/>
      <c r="NSY33" s="127"/>
      <c r="NSZ33" s="127"/>
      <c r="NTA33" s="127"/>
      <c r="NTB33" s="127"/>
      <c r="NTC33" s="127"/>
      <c r="NTD33" s="127"/>
      <c r="NTE33" s="127"/>
      <c r="NTF33" s="127"/>
      <c r="NTG33" s="127"/>
      <c r="NTH33" s="127"/>
      <c r="NTI33" s="127"/>
      <c r="NTJ33" s="127"/>
      <c r="NTK33" s="127"/>
      <c r="NTL33" s="127"/>
      <c r="NTM33" s="127"/>
      <c r="NTN33" s="127"/>
      <c r="NTO33" s="127"/>
      <c r="NTP33" s="127"/>
      <c r="NTQ33" s="127"/>
      <c r="NTR33" s="127"/>
      <c r="NTS33" s="127"/>
      <c r="NTT33" s="127"/>
      <c r="NTU33" s="127"/>
      <c r="NTV33" s="127"/>
      <c r="NTW33" s="127"/>
      <c r="NTX33" s="127"/>
      <c r="NTY33" s="127"/>
      <c r="NTZ33" s="127"/>
      <c r="NUA33" s="127"/>
      <c r="NUB33" s="127"/>
      <c r="NUC33" s="127"/>
      <c r="NUD33" s="127"/>
      <c r="NUE33" s="127"/>
      <c r="NUF33" s="127"/>
      <c r="NUG33" s="127"/>
      <c r="NUH33" s="127"/>
      <c r="NUI33" s="127"/>
      <c r="NUJ33" s="127"/>
      <c r="NUK33" s="127"/>
      <c r="NUL33" s="127"/>
      <c r="NUM33" s="127"/>
      <c r="NUN33" s="127"/>
      <c r="NUO33" s="127"/>
      <c r="NUP33" s="127"/>
      <c r="NUQ33" s="127"/>
      <c r="NUR33" s="127"/>
      <c r="NUS33" s="127"/>
      <c r="NUT33" s="127"/>
      <c r="NUU33" s="127"/>
      <c r="NUV33" s="127"/>
      <c r="NUW33" s="127"/>
      <c r="NUX33" s="127"/>
      <c r="NUY33" s="127"/>
      <c r="NUZ33" s="127"/>
      <c r="NVA33" s="127"/>
      <c r="NVB33" s="127"/>
      <c r="NVC33" s="127"/>
      <c r="NVD33" s="127"/>
      <c r="NVE33" s="127"/>
      <c r="NVF33" s="127"/>
      <c r="NVG33" s="127"/>
      <c r="NVH33" s="127"/>
      <c r="NVI33" s="127"/>
      <c r="NVJ33" s="127"/>
      <c r="NVK33" s="127"/>
      <c r="NVL33" s="127"/>
      <c r="NVM33" s="127"/>
      <c r="NVN33" s="127"/>
      <c r="NVO33" s="127"/>
      <c r="NVP33" s="127"/>
      <c r="NVQ33" s="127"/>
      <c r="NVR33" s="127"/>
      <c r="NVS33" s="127"/>
      <c r="NVT33" s="127"/>
      <c r="NVU33" s="127"/>
      <c r="NVV33" s="127"/>
      <c r="NVW33" s="127"/>
      <c r="NVX33" s="127"/>
      <c r="NVY33" s="127"/>
      <c r="NVZ33" s="127"/>
      <c r="NWA33" s="127"/>
      <c r="NWB33" s="127"/>
      <c r="NWC33" s="127"/>
      <c r="NWD33" s="127"/>
      <c r="NWE33" s="127"/>
      <c r="NWF33" s="127"/>
      <c r="NWG33" s="127"/>
      <c r="NWH33" s="127"/>
      <c r="NWI33" s="127"/>
      <c r="NWJ33" s="127"/>
      <c r="NWK33" s="127"/>
      <c r="NWL33" s="127"/>
      <c r="NWM33" s="127"/>
      <c r="NWN33" s="127"/>
      <c r="NWO33" s="127"/>
      <c r="NWP33" s="127"/>
      <c r="NWQ33" s="127"/>
      <c r="NWR33" s="127"/>
      <c r="NWS33" s="127"/>
      <c r="NWT33" s="127"/>
      <c r="NWU33" s="127"/>
      <c r="NWV33" s="127"/>
      <c r="NWW33" s="127"/>
      <c r="NWX33" s="127"/>
      <c r="NWY33" s="127"/>
      <c r="NWZ33" s="127"/>
      <c r="NXA33" s="127"/>
      <c r="NXB33" s="127"/>
      <c r="NXC33" s="127"/>
      <c r="NXD33" s="127"/>
      <c r="NXE33" s="127"/>
      <c r="NXF33" s="127"/>
      <c r="NXG33" s="127"/>
      <c r="NXH33" s="127"/>
      <c r="NXI33" s="127"/>
      <c r="NXJ33" s="127"/>
      <c r="NXK33" s="127"/>
      <c r="NXL33" s="127"/>
      <c r="NXM33" s="127"/>
      <c r="NXN33" s="127"/>
      <c r="NXO33" s="127"/>
      <c r="NXP33" s="127"/>
      <c r="NXQ33" s="127"/>
      <c r="NXR33" s="127"/>
      <c r="NXS33" s="127"/>
      <c r="NXT33" s="127"/>
      <c r="NXU33" s="127"/>
      <c r="NXV33" s="127"/>
      <c r="NXW33" s="127"/>
      <c r="NXX33" s="127"/>
      <c r="NXY33" s="127"/>
      <c r="NXZ33" s="127"/>
      <c r="NYA33" s="127"/>
      <c r="NYB33" s="127"/>
      <c r="NYC33" s="127"/>
      <c r="NYD33" s="127"/>
      <c r="NYE33" s="127"/>
      <c r="NYF33" s="127"/>
      <c r="NYG33" s="127"/>
      <c r="NYH33" s="127"/>
      <c r="NYI33" s="127"/>
      <c r="NYJ33" s="127"/>
      <c r="NYK33" s="127"/>
      <c r="NYL33" s="127"/>
      <c r="NYM33" s="127"/>
      <c r="NYN33" s="127"/>
      <c r="NYO33" s="127"/>
      <c r="NYP33" s="127"/>
      <c r="NYQ33" s="127"/>
      <c r="NYR33" s="127"/>
      <c r="NYS33" s="127"/>
      <c r="NYT33" s="127"/>
      <c r="NYU33" s="127"/>
      <c r="NYV33" s="127"/>
      <c r="NYW33" s="127"/>
      <c r="NYX33" s="127"/>
      <c r="NYY33" s="127"/>
      <c r="NYZ33" s="127"/>
      <c r="NZA33" s="127"/>
      <c r="NZB33" s="127"/>
      <c r="NZC33" s="127"/>
      <c r="NZD33" s="127"/>
      <c r="NZE33" s="127"/>
      <c r="NZF33" s="127"/>
      <c r="NZG33" s="127"/>
      <c r="NZH33" s="127"/>
      <c r="NZI33" s="127"/>
      <c r="NZJ33" s="127"/>
      <c r="NZK33" s="127"/>
      <c r="NZL33" s="127"/>
      <c r="NZM33" s="127"/>
      <c r="NZN33" s="127"/>
      <c r="NZO33" s="127"/>
      <c r="NZP33" s="127"/>
      <c r="NZQ33" s="127"/>
      <c r="NZR33" s="127"/>
      <c r="NZS33" s="127"/>
      <c r="NZT33" s="127"/>
      <c r="NZU33" s="127"/>
      <c r="NZV33" s="127"/>
      <c r="NZW33" s="127"/>
      <c r="NZX33" s="127"/>
      <c r="NZY33" s="127"/>
      <c r="NZZ33" s="127"/>
      <c r="OAA33" s="127"/>
      <c r="OAB33" s="127"/>
      <c r="OAC33" s="127"/>
      <c r="OAD33" s="127"/>
      <c r="OAE33" s="127"/>
      <c r="OAF33" s="127"/>
      <c r="OAG33" s="127"/>
      <c r="OAH33" s="127"/>
      <c r="OAI33" s="127"/>
      <c r="OAJ33" s="127"/>
      <c r="OAK33" s="127"/>
      <c r="OAL33" s="127"/>
      <c r="OAM33" s="127"/>
      <c r="OAN33" s="127"/>
      <c r="OAO33" s="127"/>
      <c r="OAP33" s="127"/>
      <c r="OAQ33" s="127"/>
      <c r="OAR33" s="127"/>
      <c r="OAS33" s="127"/>
      <c r="OAT33" s="127"/>
      <c r="OAU33" s="127"/>
      <c r="OAV33" s="127"/>
      <c r="OAW33" s="127"/>
      <c r="OAX33" s="127"/>
      <c r="OAY33" s="127"/>
      <c r="OAZ33" s="127"/>
      <c r="OBA33" s="127"/>
      <c r="OBB33" s="127"/>
      <c r="OBC33" s="127"/>
      <c r="OBD33" s="127"/>
      <c r="OBE33" s="127"/>
      <c r="OBF33" s="127"/>
      <c r="OBG33" s="127"/>
      <c r="OBH33" s="127"/>
      <c r="OBI33" s="127"/>
      <c r="OBJ33" s="127"/>
      <c r="OBK33" s="127"/>
      <c r="OBL33" s="127"/>
      <c r="OBM33" s="127"/>
      <c r="OBN33" s="127"/>
      <c r="OBO33" s="127"/>
      <c r="OBP33" s="127"/>
      <c r="OBQ33" s="127"/>
      <c r="OBR33" s="127"/>
      <c r="OBS33" s="127"/>
      <c r="OBT33" s="127"/>
      <c r="OBU33" s="127"/>
      <c r="OBV33" s="127"/>
      <c r="OBW33" s="127"/>
      <c r="OBX33" s="127"/>
      <c r="OBY33" s="127"/>
      <c r="OBZ33" s="127"/>
      <c r="OCA33" s="127"/>
      <c r="OCB33" s="127"/>
      <c r="OCC33" s="127"/>
      <c r="OCD33" s="127"/>
      <c r="OCE33" s="127"/>
      <c r="OCF33" s="127"/>
      <c r="OCG33" s="127"/>
      <c r="OCH33" s="127"/>
      <c r="OCI33" s="127"/>
      <c r="OCJ33" s="127"/>
      <c r="OCK33" s="127"/>
      <c r="OCL33" s="127"/>
      <c r="OCM33" s="127"/>
      <c r="OCN33" s="127"/>
      <c r="OCO33" s="127"/>
      <c r="OCP33" s="127"/>
      <c r="OCQ33" s="127"/>
      <c r="OCR33" s="127"/>
      <c r="OCS33" s="127"/>
      <c r="OCT33" s="127"/>
      <c r="OCU33" s="127"/>
      <c r="OCV33" s="127"/>
      <c r="OCW33" s="127"/>
      <c r="OCX33" s="127"/>
      <c r="OCY33" s="127"/>
      <c r="OCZ33" s="127"/>
      <c r="ODA33" s="127"/>
      <c r="ODB33" s="127"/>
      <c r="ODC33" s="127"/>
      <c r="ODD33" s="127"/>
      <c r="ODE33" s="127"/>
      <c r="ODF33" s="127"/>
      <c r="ODG33" s="127"/>
      <c r="ODH33" s="127"/>
      <c r="ODI33" s="127"/>
      <c r="ODJ33" s="127"/>
      <c r="ODK33" s="127"/>
      <c r="ODL33" s="127"/>
      <c r="ODM33" s="127"/>
      <c r="ODN33" s="127"/>
      <c r="ODO33" s="127"/>
      <c r="ODP33" s="127"/>
      <c r="ODQ33" s="127"/>
      <c r="ODR33" s="127"/>
      <c r="ODS33" s="127"/>
      <c r="ODT33" s="127"/>
      <c r="ODU33" s="127"/>
      <c r="ODV33" s="127"/>
      <c r="ODW33" s="127"/>
      <c r="ODX33" s="127"/>
      <c r="ODY33" s="127"/>
      <c r="ODZ33" s="127"/>
      <c r="OEA33" s="127"/>
      <c r="OEB33" s="127"/>
      <c r="OEC33" s="127"/>
      <c r="OED33" s="127"/>
      <c r="OEE33" s="127"/>
      <c r="OEF33" s="127"/>
      <c r="OEG33" s="127"/>
      <c r="OEH33" s="127"/>
      <c r="OEI33" s="127"/>
      <c r="OEJ33" s="127"/>
      <c r="OEK33" s="127"/>
      <c r="OEL33" s="127"/>
      <c r="OEM33" s="127"/>
      <c r="OEN33" s="127"/>
      <c r="OEO33" s="127"/>
      <c r="OEP33" s="127"/>
      <c r="OEQ33" s="127"/>
      <c r="OER33" s="127"/>
      <c r="OES33" s="127"/>
      <c r="OET33" s="127"/>
      <c r="OEU33" s="127"/>
      <c r="OEV33" s="127"/>
      <c r="OEW33" s="127"/>
      <c r="OEX33" s="127"/>
      <c r="OEY33" s="127"/>
      <c r="OEZ33" s="127"/>
      <c r="OFA33" s="127"/>
      <c r="OFB33" s="127"/>
      <c r="OFC33" s="127"/>
      <c r="OFD33" s="127"/>
      <c r="OFE33" s="127"/>
      <c r="OFF33" s="127"/>
      <c r="OFG33" s="127"/>
      <c r="OFH33" s="127"/>
      <c r="OFI33" s="127"/>
      <c r="OFJ33" s="127"/>
      <c r="OFK33" s="127"/>
      <c r="OFL33" s="127"/>
      <c r="OFM33" s="127"/>
      <c r="OFN33" s="127"/>
      <c r="OFO33" s="127"/>
      <c r="OFP33" s="127"/>
      <c r="OFQ33" s="127"/>
      <c r="OFR33" s="127"/>
      <c r="OFS33" s="127"/>
      <c r="OFT33" s="127"/>
      <c r="OFU33" s="127"/>
      <c r="OFV33" s="127"/>
      <c r="OFW33" s="127"/>
      <c r="OFX33" s="127"/>
      <c r="OFY33" s="127"/>
      <c r="OFZ33" s="127"/>
      <c r="OGA33" s="127"/>
      <c r="OGB33" s="127"/>
      <c r="OGC33" s="127"/>
      <c r="OGD33" s="127"/>
      <c r="OGE33" s="127"/>
      <c r="OGF33" s="127"/>
      <c r="OGG33" s="127"/>
      <c r="OGH33" s="127"/>
      <c r="OGI33" s="127"/>
      <c r="OGJ33" s="127"/>
      <c r="OGK33" s="127"/>
      <c r="OGL33" s="127"/>
      <c r="OGM33" s="127"/>
      <c r="OGN33" s="127"/>
      <c r="OGO33" s="127"/>
      <c r="OGP33" s="127"/>
      <c r="OGQ33" s="127"/>
      <c r="OGR33" s="127"/>
      <c r="OGS33" s="127"/>
      <c r="OGT33" s="127"/>
      <c r="OGU33" s="127"/>
      <c r="OGV33" s="127"/>
      <c r="OGW33" s="127"/>
      <c r="OGX33" s="127"/>
      <c r="OGY33" s="127"/>
      <c r="OGZ33" s="127"/>
      <c r="OHA33" s="127"/>
      <c r="OHB33" s="127"/>
      <c r="OHC33" s="127"/>
      <c r="OHD33" s="127"/>
      <c r="OHE33" s="127"/>
      <c r="OHF33" s="127"/>
      <c r="OHG33" s="127"/>
      <c r="OHH33" s="127"/>
      <c r="OHI33" s="127"/>
      <c r="OHJ33" s="127"/>
      <c r="OHK33" s="127"/>
      <c r="OHL33" s="127"/>
      <c r="OHM33" s="127"/>
      <c r="OHN33" s="127"/>
      <c r="OHO33" s="127"/>
      <c r="OHP33" s="127"/>
      <c r="OHQ33" s="127"/>
      <c r="OHR33" s="127"/>
      <c r="OHS33" s="127"/>
      <c r="OHT33" s="127"/>
      <c r="OHU33" s="127"/>
      <c r="OHV33" s="127"/>
      <c r="OHW33" s="127"/>
      <c r="OHX33" s="127"/>
      <c r="OHY33" s="127"/>
      <c r="OHZ33" s="127"/>
      <c r="OIA33" s="127"/>
      <c r="OIB33" s="127"/>
      <c r="OIC33" s="127"/>
      <c r="OID33" s="127"/>
      <c r="OIE33" s="127"/>
      <c r="OIF33" s="127"/>
      <c r="OIG33" s="127"/>
      <c r="OIH33" s="127"/>
      <c r="OII33" s="127"/>
      <c r="OIJ33" s="127"/>
      <c r="OIK33" s="127"/>
      <c r="OIL33" s="127"/>
      <c r="OIM33" s="127"/>
      <c r="OIN33" s="127"/>
      <c r="OIO33" s="127"/>
      <c r="OIP33" s="127"/>
      <c r="OIQ33" s="127"/>
      <c r="OIR33" s="127"/>
      <c r="OIS33" s="127"/>
      <c r="OIT33" s="127"/>
      <c r="OIU33" s="127"/>
      <c r="OIV33" s="127"/>
      <c r="OIW33" s="127"/>
      <c r="OIX33" s="127"/>
      <c r="OIY33" s="127"/>
      <c r="OIZ33" s="127"/>
      <c r="OJA33" s="127"/>
      <c r="OJB33" s="127"/>
      <c r="OJC33" s="127"/>
      <c r="OJD33" s="127"/>
      <c r="OJE33" s="127"/>
      <c r="OJF33" s="127"/>
      <c r="OJG33" s="127"/>
      <c r="OJH33" s="127"/>
      <c r="OJI33" s="127"/>
      <c r="OJJ33" s="127"/>
      <c r="OJK33" s="127"/>
      <c r="OJL33" s="127"/>
      <c r="OJM33" s="127"/>
      <c r="OJN33" s="127"/>
      <c r="OJO33" s="127"/>
      <c r="OJP33" s="127"/>
      <c r="OJQ33" s="127"/>
      <c r="OJR33" s="127"/>
      <c r="OJS33" s="127"/>
      <c r="OJT33" s="127"/>
      <c r="OJU33" s="127"/>
      <c r="OJV33" s="127"/>
      <c r="OJW33" s="127"/>
      <c r="OJX33" s="127"/>
      <c r="OJY33" s="127"/>
      <c r="OJZ33" s="127"/>
      <c r="OKA33" s="127"/>
      <c r="OKB33" s="127"/>
      <c r="OKC33" s="127"/>
      <c r="OKD33" s="127"/>
      <c r="OKE33" s="127"/>
      <c r="OKF33" s="127"/>
      <c r="OKG33" s="127"/>
      <c r="OKH33" s="127"/>
      <c r="OKI33" s="127"/>
      <c r="OKJ33" s="127"/>
      <c r="OKK33" s="127"/>
      <c r="OKL33" s="127"/>
      <c r="OKM33" s="127"/>
      <c r="OKN33" s="127"/>
      <c r="OKO33" s="127"/>
      <c r="OKP33" s="127"/>
      <c r="OKQ33" s="127"/>
      <c r="OKR33" s="127"/>
      <c r="OKS33" s="127"/>
      <c r="OKT33" s="127"/>
      <c r="OKU33" s="127"/>
      <c r="OKV33" s="127"/>
      <c r="OKW33" s="127"/>
      <c r="OKX33" s="127"/>
      <c r="OKY33" s="127"/>
      <c r="OKZ33" s="127"/>
      <c r="OLA33" s="127"/>
      <c r="OLB33" s="127"/>
      <c r="OLC33" s="127"/>
      <c r="OLD33" s="127"/>
      <c r="OLE33" s="127"/>
      <c r="OLF33" s="127"/>
      <c r="OLG33" s="127"/>
      <c r="OLH33" s="127"/>
      <c r="OLI33" s="127"/>
      <c r="OLJ33" s="127"/>
      <c r="OLK33" s="127"/>
      <c r="OLL33" s="127"/>
      <c r="OLM33" s="127"/>
      <c r="OLN33" s="127"/>
      <c r="OLO33" s="127"/>
      <c r="OLP33" s="127"/>
      <c r="OLQ33" s="127"/>
      <c r="OLR33" s="127"/>
      <c r="OLS33" s="127"/>
      <c r="OLT33" s="127"/>
      <c r="OLU33" s="127"/>
      <c r="OLV33" s="127"/>
      <c r="OLW33" s="127"/>
      <c r="OLX33" s="127"/>
      <c r="OLY33" s="127"/>
      <c r="OLZ33" s="127"/>
      <c r="OMA33" s="127"/>
      <c r="OMB33" s="127"/>
      <c r="OMC33" s="127"/>
      <c r="OMD33" s="127"/>
      <c r="OME33" s="127"/>
      <c r="OMF33" s="127"/>
      <c r="OMG33" s="127"/>
      <c r="OMH33" s="127"/>
      <c r="OMI33" s="127"/>
      <c r="OMJ33" s="127"/>
      <c r="OMK33" s="127"/>
      <c r="OML33" s="127"/>
      <c r="OMM33" s="127"/>
      <c r="OMN33" s="127"/>
      <c r="OMO33" s="127"/>
      <c r="OMP33" s="127"/>
      <c r="OMQ33" s="127"/>
      <c r="OMR33" s="127"/>
      <c r="OMS33" s="127"/>
      <c r="OMT33" s="127"/>
      <c r="OMU33" s="127"/>
      <c r="OMV33" s="127"/>
      <c r="OMW33" s="127"/>
      <c r="OMX33" s="127"/>
      <c r="OMY33" s="127"/>
      <c r="OMZ33" s="127"/>
      <c r="ONA33" s="127"/>
      <c r="ONB33" s="127"/>
      <c r="ONC33" s="127"/>
      <c r="OND33" s="127"/>
      <c r="ONE33" s="127"/>
      <c r="ONF33" s="127"/>
      <c r="ONG33" s="127"/>
      <c r="ONH33" s="127"/>
      <c r="ONI33" s="127"/>
      <c r="ONJ33" s="127"/>
      <c r="ONK33" s="127"/>
      <c r="ONL33" s="127"/>
      <c r="ONM33" s="127"/>
      <c r="ONN33" s="127"/>
      <c r="ONO33" s="127"/>
      <c r="ONP33" s="127"/>
      <c r="ONQ33" s="127"/>
      <c r="ONR33" s="127"/>
      <c r="ONS33" s="127"/>
      <c r="ONT33" s="127"/>
      <c r="ONU33" s="127"/>
      <c r="ONV33" s="127"/>
      <c r="ONW33" s="127"/>
      <c r="ONX33" s="127"/>
      <c r="ONY33" s="127"/>
      <c r="ONZ33" s="127"/>
      <c r="OOA33" s="127"/>
      <c r="OOB33" s="127"/>
      <c r="OOC33" s="127"/>
      <c r="OOD33" s="127"/>
      <c r="OOE33" s="127"/>
      <c r="OOF33" s="127"/>
      <c r="OOG33" s="127"/>
      <c r="OOH33" s="127"/>
      <c r="OOI33" s="127"/>
      <c r="OOJ33" s="127"/>
      <c r="OOK33" s="127"/>
      <c r="OOL33" s="127"/>
      <c r="OOM33" s="127"/>
      <c r="OON33" s="127"/>
      <c r="OOO33" s="127"/>
      <c r="OOP33" s="127"/>
      <c r="OOQ33" s="127"/>
      <c r="OOR33" s="127"/>
      <c r="OOS33" s="127"/>
      <c r="OOT33" s="127"/>
      <c r="OOU33" s="127"/>
      <c r="OOV33" s="127"/>
      <c r="OOW33" s="127"/>
      <c r="OOX33" s="127"/>
      <c r="OOY33" s="127"/>
      <c r="OOZ33" s="127"/>
      <c r="OPA33" s="127"/>
      <c r="OPB33" s="127"/>
      <c r="OPC33" s="127"/>
      <c r="OPD33" s="127"/>
      <c r="OPE33" s="127"/>
      <c r="OPF33" s="127"/>
      <c r="OPG33" s="127"/>
      <c r="OPH33" s="127"/>
      <c r="OPI33" s="127"/>
      <c r="OPJ33" s="127"/>
      <c r="OPK33" s="127"/>
      <c r="OPL33" s="127"/>
      <c r="OPM33" s="127"/>
      <c r="OPN33" s="127"/>
      <c r="OPO33" s="127"/>
      <c r="OPP33" s="127"/>
      <c r="OPQ33" s="127"/>
      <c r="OPR33" s="127"/>
      <c r="OPS33" s="127"/>
      <c r="OPT33" s="127"/>
      <c r="OPU33" s="127"/>
      <c r="OPV33" s="127"/>
      <c r="OPW33" s="127"/>
      <c r="OPX33" s="127"/>
      <c r="OPY33" s="127"/>
      <c r="OPZ33" s="127"/>
      <c r="OQA33" s="127"/>
      <c r="OQB33" s="127"/>
      <c r="OQC33" s="127"/>
      <c r="OQD33" s="127"/>
      <c r="OQE33" s="127"/>
      <c r="OQF33" s="127"/>
      <c r="OQG33" s="127"/>
      <c r="OQH33" s="127"/>
      <c r="OQI33" s="127"/>
      <c r="OQJ33" s="127"/>
      <c r="OQK33" s="127"/>
      <c r="OQL33" s="127"/>
      <c r="OQM33" s="127"/>
      <c r="OQN33" s="127"/>
      <c r="OQO33" s="127"/>
      <c r="OQP33" s="127"/>
      <c r="OQQ33" s="127"/>
      <c r="OQR33" s="127"/>
      <c r="OQS33" s="127"/>
      <c r="OQT33" s="127"/>
      <c r="OQU33" s="127"/>
      <c r="OQV33" s="127"/>
      <c r="OQW33" s="127"/>
      <c r="OQX33" s="127"/>
      <c r="OQY33" s="127"/>
      <c r="OQZ33" s="127"/>
      <c r="ORA33" s="127"/>
      <c r="ORB33" s="127"/>
      <c r="ORC33" s="127"/>
      <c r="ORD33" s="127"/>
      <c r="ORE33" s="127"/>
      <c r="ORF33" s="127"/>
      <c r="ORG33" s="127"/>
      <c r="ORH33" s="127"/>
      <c r="ORI33" s="127"/>
      <c r="ORJ33" s="127"/>
      <c r="ORK33" s="127"/>
      <c r="ORL33" s="127"/>
      <c r="ORM33" s="127"/>
      <c r="ORN33" s="127"/>
      <c r="ORO33" s="127"/>
      <c r="ORP33" s="127"/>
      <c r="ORQ33" s="127"/>
      <c r="ORR33" s="127"/>
      <c r="ORS33" s="127"/>
      <c r="ORT33" s="127"/>
      <c r="ORU33" s="127"/>
      <c r="ORV33" s="127"/>
      <c r="ORW33" s="127"/>
      <c r="ORX33" s="127"/>
      <c r="ORY33" s="127"/>
      <c r="ORZ33" s="127"/>
      <c r="OSA33" s="127"/>
      <c r="OSB33" s="127"/>
      <c r="OSC33" s="127"/>
      <c r="OSD33" s="127"/>
      <c r="OSE33" s="127"/>
      <c r="OSF33" s="127"/>
      <c r="OSG33" s="127"/>
      <c r="OSH33" s="127"/>
      <c r="OSI33" s="127"/>
      <c r="OSJ33" s="127"/>
      <c r="OSK33" s="127"/>
      <c r="OSL33" s="127"/>
      <c r="OSM33" s="127"/>
      <c r="OSN33" s="127"/>
      <c r="OSO33" s="127"/>
      <c r="OSP33" s="127"/>
      <c r="OSQ33" s="127"/>
      <c r="OSR33" s="127"/>
      <c r="OSS33" s="127"/>
      <c r="OST33" s="127"/>
      <c r="OSU33" s="127"/>
      <c r="OSV33" s="127"/>
      <c r="OSW33" s="127"/>
      <c r="OSX33" s="127"/>
      <c r="OSY33" s="127"/>
      <c r="OSZ33" s="127"/>
      <c r="OTA33" s="127"/>
      <c r="OTB33" s="127"/>
      <c r="OTC33" s="127"/>
      <c r="OTD33" s="127"/>
      <c r="OTE33" s="127"/>
      <c r="OTF33" s="127"/>
      <c r="OTG33" s="127"/>
      <c r="OTH33" s="127"/>
      <c r="OTI33" s="127"/>
      <c r="OTJ33" s="127"/>
      <c r="OTK33" s="127"/>
      <c r="OTL33" s="127"/>
      <c r="OTM33" s="127"/>
      <c r="OTN33" s="127"/>
      <c r="OTO33" s="127"/>
      <c r="OTP33" s="127"/>
      <c r="OTQ33" s="127"/>
      <c r="OTR33" s="127"/>
      <c r="OTS33" s="127"/>
      <c r="OTT33" s="127"/>
      <c r="OTU33" s="127"/>
      <c r="OTV33" s="127"/>
      <c r="OTW33" s="127"/>
      <c r="OTX33" s="127"/>
      <c r="OTY33" s="127"/>
      <c r="OTZ33" s="127"/>
      <c r="OUA33" s="127"/>
      <c r="OUB33" s="127"/>
      <c r="OUC33" s="127"/>
      <c r="OUD33" s="127"/>
      <c r="OUE33" s="127"/>
      <c r="OUF33" s="127"/>
      <c r="OUG33" s="127"/>
      <c r="OUH33" s="127"/>
      <c r="OUI33" s="127"/>
      <c r="OUJ33" s="127"/>
      <c r="OUK33" s="127"/>
      <c r="OUL33" s="127"/>
      <c r="OUM33" s="127"/>
      <c r="OUN33" s="127"/>
      <c r="OUO33" s="127"/>
      <c r="OUP33" s="127"/>
      <c r="OUQ33" s="127"/>
      <c r="OUR33" s="127"/>
      <c r="OUS33" s="127"/>
      <c r="OUT33" s="127"/>
      <c r="OUU33" s="127"/>
      <c r="OUV33" s="127"/>
      <c r="OUW33" s="127"/>
      <c r="OUX33" s="127"/>
      <c r="OUY33" s="127"/>
      <c r="OUZ33" s="127"/>
      <c r="OVA33" s="127"/>
      <c r="OVB33" s="127"/>
      <c r="OVC33" s="127"/>
      <c r="OVD33" s="127"/>
      <c r="OVE33" s="127"/>
      <c r="OVF33" s="127"/>
      <c r="OVG33" s="127"/>
      <c r="OVH33" s="127"/>
      <c r="OVI33" s="127"/>
      <c r="OVJ33" s="127"/>
      <c r="OVK33" s="127"/>
      <c r="OVL33" s="127"/>
      <c r="OVM33" s="127"/>
      <c r="OVN33" s="127"/>
      <c r="OVO33" s="127"/>
      <c r="OVP33" s="127"/>
      <c r="OVQ33" s="127"/>
      <c r="OVR33" s="127"/>
      <c r="OVS33" s="127"/>
      <c r="OVT33" s="127"/>
      <c r="OVU33" s="127"/>
      <c r="OVV33" s="127"/>
      <c r="OVW33" s="127"/>
      <c r="OVX33" s="127"/>
      <c r="OVY33" s="127"/>
      <c r="OVZ33" s="127"/>
      <c r="OWA33" s="127"/>
      <c r="OWB33" s="127"/>
      <c r="OWC33" s="127"/>
      <c r="OWD33" s="127"/>
      <c r="OWE33" s="127"/>
      <c r="OWF33" s="127"/>
      <c r="OWG33" s="127"/>
      <c r="OWH33" s="127"/>
      <c r="OWI33" s="127"/>
      <c r="OWJ33" s="127"/>
      <c r="OWK33" s="127"/>
      <c r="OWL33" s="127"/>
      <c r="OWM33" s="127"/>
      <c r="OWN33" s="127"/>
      <c r="OWO33" s="127"/>
      <c r="OWP33" s="127"/>
      <c r="OWQ33" s="127"/>
      <c r="OWR33" s="127"/>
      <c r="OWS33" s="127"/>
      <c r="OWT33" s="127"/>
      <c r="OWU33" s="127"/>
      <c r="OWV33" s="127"/>
      <c r="OWW33" s="127"/>
      <c r="OWX33" s="127"/>
      <c r="OWY33" s="127"/>
      <c r="OWZ33" s="127"/>
      <c r="OXA33" s="127"/>
      <c r="OXB33" s="127"/>
      <c r="OXC33" s="127"/>
      <c r="OXD33" s="127"/>
      <c r="OXE33" s="127"/>
      <c r="OXF33" s="127"/>
      <c r="OXG33" s="127"/>
      <c r="OXH33" s="127"/>
      <c r="OXI33" s="127"/>
      <c r="OXJ33" s="127"/>
      <c r="OXK33" s="127"/>
      <c r="OXL33" s="127"/>
      <c r="OXM33" s="127"/>
      <c r="OXN33" s="127"/>
      <c r="OXO33" s="127"/>
      <c r="OXP33" s="127"/>
      <c r="OXQ33" s="127"/>
      <c r="OXR33" s="127"/>
      <c r="OXS33" s="127"/>
      <c r="OXT33" s="127"/>
      <c r="OXU33" s="127"/>
      <c r="OXV33" s="127"/>
      <c r="OXW33" s="127"/>
      <c r="OXX33" s="127"/>
      <c r="OXY33" s="127"/>
      <c r="OXZ33" s="127"/>
      <c r="OYA33" s="127"/>
      <c r="OYB33" s="127"/>
      <c r="OYC33" s="127"/>
      <c r="OYD33" s="127"/>
      <c r="OYE33" s="127"/>
      <c r="OYF33" s="127"/>
      <c r="OYG33" s="127"/>
      <c r="OYH33" s="127"/>
      <c r="OYI33" s="127"/>
      <c r="OYJ33" s="127"/>
      <c r="OYK33" s="127"/>
      <c r="OYL33" s="127"/>
      <c r="OYM33" s="127"/>
      <c r="OYN33" s="127"/>
      <c r="OYO33" s="127"/>
      <c r="OYP33" s="127"/>
      <c r="OYQ33" s="127"/>
      <c r="OYR33" s="127"/>
      <c r="OYS33" s="127"/>
      <c r="OYT33" s="127"/>
      <c r="OYU33" s="127"/>
      <c r="OYV33" s="127"/>
      <c r="OYW33" s="127"/>
      <c r="OYX33" s="127"/>
      <c r="OYY33" s="127"/>
      <c r="OYZ33" s="127"/>
      <c r="OZA33" s="127"/>
      <c r="OZB33" s="127"/>
      <c r="OZC33" s="127"/>
      <c r="OZD33" s="127"/>
      <c r="OZE33" s="127"/>
      <c r="OZF33" s="127"/>
      <c r="OZG33" s="127"/>
      <c r="OZH33" s="127"/>
      <c r="OZI33" s="127"/>
      <c r="OZJ33" s="127"/>
      <c r="OZK33" s="127"/>
      <c r="OZL33" s="127"/>
      <c r="OZM33" s="127"/>
      <c r="OZN33" s="127"/>
      <c r="OZO33" s="127"/>
      <c r="OZP33" s="127"/>
      <c r="OZQ33" s="127"/>
      <c r="OZR33" s="127"/>
      <c r="OZS33" s="127"/>
      <c r="OZT33" s="127"/>
      <c r="OZU33" s="127"/>
      <c r="OZV33" s="127"/>
      <c r="OZW33" s="127"/>
      <c r="OZX33" s="127"/>
      <c r="OZY33" s="127"/>
      <c r="OZZ33" s="127"/>
      <c r="PAA33" s="127"/>
      <c r="PAB33" s="127"/>
      <c r="PAC33" s="127"/>
      <c r="PAD33" s="127"/>
      <c r="PAE33" s="127"/>
      <c r="PAF33" s="127"/>
      <c r="PAG33" s="127"/>
      <c r="PAH33" s="127"/>
      <c r="PAI33" s="127"/>
      <c r="PAJ33" s="127"/>
      <c r="PAK33" s="127"/>
      <c r="PAL33" s="127"/>
      <c r="PAM33" s="127"/>
      <c r="PAN33" s="127"/>
      <c r="PAO33" s="127"/>
      <c r="PAP33" s="127"/>
      <c r="PAQ33" s="127"/>
      <c r="PAR33" s="127"/>
      <c r="PAS33" s="127"/>
      <c r="PAT33" s="127"/>
      <c r="PAU33" s="127"/>
      <c r="PAV33" s="127"/>
      <c r="PAW33" s="127"/>
      <c r="PAX33" s="127"/>
      <c r="PAY33" s="127"/>
      <c r="PAZ33" s="127"/>
      <c r="PBA33" s="127"/>
      <c r="PBB33" s="127"/>
      <c r="PBC33" s="127"/>
      <c r="PBD33" s="127"/>
      <c r="PBE33" s="127"/>
      <c r="PBF33" s="127"/>
      <c r="PBG33" s="127"/>
      <c r="PBH33" s="127"/>
      <c r="PBI33" s="127"/>
      <c r="PBJ33" s="127"/>
      <c r="PBK33" s="127"/>
      <c r="PBL33" s="127"/>
      <c r="PBM33" s="127"/>
      <c r="PBN33" s="127"/>
      <c r="PBO33" s="127"/>
      <c r="PBP33" s="127"/>
      <c r="PBQ33" s="127"/>
      <c r="PBR33" s="127"/>
      <c r="PBS33" s="127"/>
      <c r="PBT33" s="127"/>
      <c r="PBU33" s="127"/>
      <c r="PBV33" s="127"/>
      <c r="PBW33" s="127"/>
      <c r="PBX33" s="127"/>
      <c r="PBY33" s="127"/>
      <c r="PBZ33" s="127"/>
      <c r="PCA33" s="127"/>
      <c r="PCB33" s="127"/>
      <c r="PCC33" s="127"/>
      <c r="PCD33" s="127"/>
      <c r="PCE33" s="127"/>
      <c r="PCF33" s="127"/>
      <c r="PCG33" s="127"/>
      <c r="PCH33" s="127"/>
      <c r="PCI33" s="127"/>
      <c r="PCJ33" s="127"/>
      <c r="PCK33" s="127"/>
      <c r="PCL33" s="127"/>
      <c r="PCM33" s="127"/>
      <c r="PCN33" s="127"/>
      <c r="PCO33" s="127"/>
      <c r="PCP33" s="127"/>
      <c r="PCQ33" s="127"/>
      <c r="PCR33" s="127"/>
      <c r="PCS33" s="127"/>
      <c r="PCT33" s="127"/>
      <c r="PCU33" s="127"/>
      <c r="PCV33" s="127"/>
      <c r="PCW33" s="127"/>
      <c r="PCX33" s="127"/>
      <c r="PCY33" s="127"/>
      <c r="PCZ33" s="127"/>
      <c r="PDA33" s="127"/>
      <c r="PDB33" s="127"/>
      <c r="PDC33" s="127"/>
      <c r="PDD33" s="127"/>
      <c r="PDE33" s="127"/>
      <c r="PDF33" s="127"/>
      <c r="PDG33" s="127"/>
      <c r="PDH33" s="127"/>
      <c r="PDI33" s="127"/>
      <c r="PDJ33" s="127"/>
      <c r="PDK33" s="127"/>
      <c r="PDL33" s="127"/>
      <c r="PDM33" s="127"/>
      <c r="PDN33" s="127"/>
      <c r="PDO33" s="127"/>
      <c r="PDP33" s="127"/>
      <c r="PDQ33" s="127"/>
      <c r="PDR33" s="127"/>
      <c r="PDS33" s="127"/>
      <c r="PDT33" s="127"/>
      <c r="PDU33" s="127"/>
      <c r="PDV33" s="127"/>
      <c r="PDW33" s="127"/>
      <c r="PDX33" s="127"/>
      <c r="PDY33" s="127"/>
      <c r="PDZ33" s="127"/>
      <c r="PEA33" s="127"/>
      <c r="PEB33" s="127"/>
      <c r="PEC33" s="127"/>
      <c r="PED33" s="127"/>
      <c r="PEE33" s="127"/>
      <c r="PEF33" s="127"/>
      <c r="PEG33" s="127"/>
      <c r="PEH33" s="127"/>
      <c r="PEI33" s="127"/>
      <c r="PEJ33" s="127"/>
      <c r="PEK33" s="127"/>
      <c r="PEL33" s="127"/>
      <c r="PEM33" s="127"/>
      <c r="PEN33" s="127"/>
      <c r="PEO33" s="127"/>
      <c r="PEP33" s="127"/>
      <c r="PEQ33" s="127"/>
      <c r="PER33" s="127"/>
      <c r="PES33" s="127"/>
      <c r="PET33" s="127"/>
      <c r="PEU33" s="127"/>
      <c r="PEV33" s="127"/>
      <c r="PEW33" s="127"/>
      <c r="PEX33" s="127"/>
      <c r="PEY33" s="127"/>
      <c r="PEZ33" s="127"/>
      <c r="PFA33" s="127"/>
      <c r="PFB33" s="127"/>
      <c r="PFC33" s="127"/>
      <c r="PFD33" s="127"/>
      <c r="PFE33" s="127"/>
      <c r="PFF33" s="127"/>
      <c r="PFG33" s="127"/>
      <c r="PFH33" s="127"/>
      <c r="PFI33" s="127"/>
      <c r="PFJ33" s="127"/>
      <c r="PFK33" s="127"/>
      <c r="PFL33" s="127"/>
      <c r="PFM33" s="127"/>
      <c r="PFN33" s="127"/>
      <c r="PFO33" s="127"/>
      <c r="PFP33" s="127"/>
      <c r="PFQ33" s="127"/>
      <c r="PFR33" s="127"/>
      <c r="PFS33" s="127"/>
      <c r="PFT33" s="127"/>
      <c r="PFU33" s="127"/>
      <c r="PFV33" s="127"/>
      <c r="PFW33" s="127"/>
      <c r="PFX33" s="127"/>
      <c r="PFY33" s="127"/>
      <c r="PFZ33" s="127"/>
      <c r="PGA33" s="127"/>
      <c r="PGB33" s="127"/>
      <c r="PGC33" s="127"/>
      <c r="PGD33" s="127"/>
      <c r="PGE33" s="127"/>
      <c r="PGF33" s="127"/>
      <c r="PGG33" s="127"/>
      <c r="PGH33" s="127"/>
      <c r="PGI33" s="127"/>
      <c r="PGJ33" s="127"/>
      <c r="PGK33" s="127"/>
      <c r="PGL33" s="127"/>
      <c r="PGM33" s="127"/>
      <c r="PGN33" s="127"/>
      <c r="PGO33" s="127"/>
      <c r="PGP33" s="127"/>
      <c r="PGQ33" s="127"/>
      <c r="PGR33" s="127"/>
      <c r="PGS33" s="127"/>
      <c r="PGT33" s="127"/>
      <c r="PGU33" s="127"/>
      <c r="PGV33" s="127"/>
      <c r="PGW33" s="127"/>
      <c r="PGX33" s="127"/>
      <c r="PGY33" s="127"/>
      <c r="PGZ33" s="127"/>
      <c r="PHA33" s="127"/>
      <c r="PHB33" s="127"/>
      <c r="PHC33" s="127"/>
      <c r="PHD33" s="127"/>
      <c r="PHE33" s="127"/>
      <c r="PHF33" s="127"/>
      <c r="PHG33" s="127"/>
      <c r="PHH33" s="127"/>
      <c r="PHI33" s="127"/>
      <c r="PHJ33" s="127"/>
      <c r="PHK33" s="127"/>
      <c r="PHL33" s="127"/>
      <c r="PHM33" s="127"/>
      <c r="PHN33" s="127"/>
      <c r="PHO33" s="127"/>
      <c r="PHP33" s="127"/>
      <c r="PHQ33" s="127"/>
      <c r="PHR33" s="127"/>
      <c r="PHS33" s="127"/>
      <c r="PHT33" s="127"/>
      <c r="PHU33" s="127"/>
      <c r="PHV33" s="127"/>
      <c r="PHW33" s="127"/>
      <c r="PHX33" s="127"/>
      <c r="PHY33" s="127"/>
      <c r="PHZ33" s="127"/>
      <c r="PIA33" s="127"/>
      <c r="PIB33" s="127"/>
      <c r="PIC33" s="127"/>
      <c r="PID33" s="127"/>
      <c r="PIE33" s="127"/>
      <c r="PIF33" s="127"/>
      <c r="PIG33" s="127"/>
      <c r="PIH33" s="127"/>
      <c r="PII33" s="127"/>
      <c r="PIJ33" s="127"/>
      <c r="PIK33" s="127"/>
      <c r="PIL33" s="127"/>
      <c r="PIM33" s="127"/>
      <c r="PIN33" s="127"/>
      <c r="PIO33" s="127"/>
      <c r="PIP33" s="127"/>
      <c r="PIQ33" s="127"/>
      <c r="PIR33" s="127"/>
      <c r="PIS33" s="127"/>
      <c r="PIT33" s="127"/>
      <c r="PIU33" s="127"/>
      <c r="PIV33" s="127"/>
      <c r="PIW33" s="127"/>
      <c r="PIX33" s="127"/>
      <c r="PIY33" s="127"/>
      <c r="PIZ33" s="127"/>
      <c r="PJA33" s="127"/>
      <c r="PJB33" s="127"/>
      <c r="PJC33" s="127"/>
      <c r="PJD33" s="127"/>
      <c r="PJE33" s="127"/>
      <c r="PJF33" s="127"/>
      <c r="PJG33" s="127"/>
      <c r="PJH33" s="127"/>
      <c r="PJI33" s="127"/>
      <c r="PJJ33" s="127"/>
      <c r="PJK33" s="127"/>
      <c r="PJL33" s="127"/>
      <c r="PJM33" s="127"/>
      <c r="PJN33" s="127"/>
      <c r="PJO33" s="127"/>
      <c r="PJP33" s="127"/>
      <c r="PJQ33" s="127"/>
      <c r="PJR33" s="127"/>
      <c r="PJS33" s="127"/>
      <c r="PJT33" s="127"/>
      <c r="PJU33" s="127"/>
      <c r="PJV33" s="127"/>
      <c r="PJW33" s="127"/>
      <c r="PJX33" s="127"/>
      <c r="PJY33" s="127"/>
      <c r="PJZ33" s="127"/>
      <c r="PKA33" s="127"/>
      <c r="PKB33" s="127"/>
      <c r="PKC33" s="127"/>
      <c r="PKD33" s="127"/>
      <c r="PKE33" s="127"/>
      <c r="PKF33" s="127"/>
      <c r="PKG33" s="127"/>
      <c r="PKH33" s="127"/>
      <c r="PKI33" s="127"/>
      <c r="PKJ33" s="127"/>
      <c r="PKK33" s="127"/>
      <c r="PKL33" s="127"/>
      <c r="PKM33" s="127"/>
      <c r="PKN33" s="127"/>
      <c r="PKO33" s="127"/>
      <c r="PKP33" s="127"/>
      <c r="PKQ33" s="127"/>
      <c r="PKR33" s="127"/>
      <c r="PKS33" s="127"/>
      <c r="PKT33" s="127"/>
      <c r="PKU33" s="127"/>
      <c r="PKV33" s="127"/>
      <c r="PKW33" s="127"/>
      <c r="PKX33" s="127"/>
      <c r="PKY33" s="127"/>
      <c r="PKZ33" s="127"/>
      <c r="PLA33" s="127"/>
      <c r="PLB33" s="127"/>
      <c r="PLC33" s="127"/>
      <c r="PLD33" s="127"/>
      <c r="PLE33" s="127"/>
      <c r="PLF33" s="127"/>
      <c r="PLG33" s="127"/>
      <c r="PLH33" s="127"/>
      <c r="PLI33" s="127"/>
      <c r="PLJ33" s="127"/>
      <c r="PLK33" s="127"/>
      <c r="PLL33" s="127"/>
      <c r="PLM33" s="127"/>
      <c r="PLN33" s="127"/>
      <c r="PLO33" s="127"/>
      <c r="PLP33" s="127"/>
      <c r="PLQ33" s="127"/>
      <c r="PLR33" s="127"/>
      <c r="PLS33" s="127"/>
      <c r="PLT33" s="127"/>
      <c r="PLU33" s="127"/>
      <c r="PLV33" s="127"/>
      <c r="PLW33" s="127"/>
      <c r="PLX33" s="127"/>
      <c r="PLY33" s="127"/>
      <c r="PLZ33" s="127"/>
      <c r="PMA33" s="127"/>
      <c r="PMB33" s="127"/>
      <c r="PMC33" s="127"/>
      <c r="PMD33" s="127"/>
      <c r="PME33" s="127"/>
      <c r="PMF33" s="127"/>
      <c r="PMG33" s="127"/>
      <c r="PMH33" s="127"/>
      <c r="PMI33" s="127"/>
      <c r="PMJ33" s="127"/>
      <c r="PMK33" s="127"/>
      <c r="PML33" s="127"/>
      <c r="PMM33" s="127"/>
      <c r="PMN33" s="127"/>
      <c r="PMO33" s="127"/>
      <c r="PMP33" s="127"/>
      <c r="PMQ33" s="127"/>
      <c r="PMR33" s="127"/>
      <c r="PMS33" s="127"/>
      <c r="PMT33" s="127"/>
      <c r="PMU33" s="127"/>
      <c r="PMV33" s="127"/>
      <c r="PMW33" s="127"/>
      <c r="PMX33" s="127"/>
      <c r="PMY33" s="127"/>
      <c r="PMZ33" s="127"/>
      <c r="PNA33" s="127"/>
      <c r="PNB33" s="127"/>
      <c r="PNC33" s="127"/>
      <c r="PND33" s="127"/>
      <c r="PNE33" s="127"/>
      <c r="PNF33" s="127"/>
      <c r="PNG33" s="127"/>
      <c r="PNH33" s="127"/>
      <c r="PNI33" s="127"/>
      <c r="PNJ33" s="127"/>
      <c r="PNK33" s="127"/>
      <c r="PNL33" s="127"/>
      <c r="PNM33" s="127"/>
      <c r="PNN33" s="127"/>
      <c r="PNO33" s="127"/>
      <c r="PNP33" s="127"/>
      <c r="PNQ33" s="127"/>
      <c r="PNR33" s="127"/>
      <c r="PNS33" s="127"/>
      <c r="PNT33" s="127"/>
      <c r="PNU33" s="127"/>
      <c r="PNV33" s="127"/>
      <c r="PNW33" s="127"/>
      <c r="PNX33" s="127"/>
      <c r="PNY33" s="127"/>
      <c r="PNZ33" s="127"/>
      <c r="POA33" s="127"/>
      <c r="POB33" s="127"/>
      <c r="POC33" s="127"/>
      <c r="POD33" s="127"/>
      <c r="POE33" s="127"/>
      <c r="POF33" s="127"/>
      <c r="POG33" s="127"/>
      <c r="POH33" s="127"/>
      <c r="POI33" s="127"/>
      <c r="POJ33" s="127"/>
      <c r="POK33" s="127"/>
      <c r="POL33" s="127"/>
      <c r="POM33" s="127"/>
      <c r="PON33" s="127"/>
      <c r="POO33" s="127"/>
      <c r="POP33" s="127"/>
      <c r="POQ33" s="127"/>
      <c r="POR33" s="127"/>
      <c r="POS33" s="127"/>
      <c r="POT33" s="127"/>
      <c r="POU33" s="127"/>
      <c r="POV33" s="127"/>
      <c r="POW33" s="127"/>
      <c r="POX33" s="127"/>
      <c r="POY33" s="127"/>
      <c r="POZ33" s="127"/>
      <c r="PPA33" s="127"/>
      <c r="PPB33" s="127"/>
      <c r="PPC33" s="127"/>
      <c r="PPD33" s="127"/>
      <c r="PPE33" s="127"/>
      <c r="PPF33" s="127"/>
      <c r="PPG33" s="127"/>
      <c r="PPH33" s="127"/>
      <c r="PPI33" s="127"/>
      <c r="PPJ33" s="127"/>
      <c r="PPK33" s="127"/>
      <c r="PPL33" s="127"/>
      <c r="PPM33" s="127"/>
      <c r="PPN33" s="127"/>
      <c r="PPO33" s="127"/>
      <c r="PPP33" s="127"/>
      <c r="PPQ33" s="127"/>
      <c r="PPR33" s="127"/>
      <c r="PPS33" s="127"/>
      <c r="PPT33" s="127"/>
      <c r="PPU33" s="127"/>
      <c r="PPV33" s="127"/>
      <c r="PPW33" s="127"/>
      <c r="PPX33" s="127"/>
      <c r="PPY33" s="127"/>
      <c r="PPZ33" s="127"/>
      <c r="PQA33" s="127"/>
      <c r="PQB33" s="127"/>
      <c r="PQC33" s="127"/>
      <c r="PQD33" s="127"/>
      <c r="PQE33" s="127"/>
      <c r="PQF33" s="127"/>
      <c r="PQG33" s="127"/>
      <c r="PQH33" s="127"/>
      <c r="PQI33" s="127"/>
      <c r="PQJ33" s="127"/>
      <c r="PQK33" s="127"/>
      <c r="PQL33" s="127"/>
      <c r="PQM33" s="127"/>
      <c r="PQN33" s="127"/>
      <c r="PQO33" s="127"/>
      <c r="PQP33" s="127"/>
      <c r="PQQ33" s="127"/>
      <c r="PQR33" s="127"/>
      <c r="PQS33" s="127"/>
      <c r="PQT33" s="127"/>
      <c r="PQU33" s="127"/>
      <c r="PQV33" s="127"/>
      <c r="PQW33" s="127"/>
      <c r="PQX33" s="127"/>
      <c r="PQY33" s="127"/>
      <c r="PQZ33" s="127"/>
      <c r="PRA33" s="127"/>
      <c r="PRB33" s="127"/>
      <c r="PRC33" s="127"/>
      <c r="PRD33" s="127"/>
      <c r="PRE33" s="127"/>
      <c r="PRF33" s="127"/>
      <c r="PRG33" s="127"/>
      <c r="PRH33" s="127"/>
      <c r="PRI33" s="127"/>
      <c r="PRJ33" s="127"/>
      <c r="PRK33" s="127"/>
      <c r="PRL33" s="127"/>
      <c r="PRM33" s="127"/>
      <c r="PRN33" s="127"/>
      <c r="PRO33" s="127"/>
      <c r="PRP33" s="127"/>
      <c r="PRQ33" s="127"/>
      <c r="PRR33" s="127"/>
      <c r="PRS33" s="127"/>
      <c r="PRT33" s="127"/>
      <c r="PRU33" s="127"/>
      <c r="PRV33" s="127"/>
      <c r="PRW33" s="127"/>
      <c r="PRX33" s="127"/>
      <c r="PRY33" s="127"/>
      <c r="PRZ33" s="127"/>
      <c r="PSA33" s="127"/>
      <c r="PSB33" s="127"/>
      <c r="PSC33" s="127"/>
      <c r="PSD33" s="127"/>
      <c r="PSE33" s="127"/>
      <c r="PSF33" s="127"/>
      <c r="PSG33" s="127"/>
      <c r="PSH33" s="127"/>
      <c r="PSI33" s="127"/>
      <c r="PSJ33" s="127"/>
      <c r="PSK33" s="127"/>
      <c r="PSL33" s="127"/>
      <c r="PSM33" s="127"/>
      <c r="PSN33" s="127"/>
      <c r="PSO33" s="127"/>
      <c r="PSP33" s="127"/>
      <c r="PSQ33" s="127"/>
      <c r="PSR33" s="127"/>
      <c r="PSS33" s="127"/>
      <c r="PST33" s="127"/>
      <c r="PSU33" s="127"/>
      <c r="PSV33" s="127"/>
      <c r="PSW33" s="127"/>
      <c r="PSX33" s="127"/>
      <c r="PSY33" s="127"/>
      <c r="PSZ33" s="127"/>
      <c r="PTA33" s="127"/>
      <c r="PTB33" s="127"/>
      <c r="PTC33" s="127"/>
      <c r="PTD33" s="127"/>
      <c r="PTE33" s="127"/>
      <c r="PTF33" s="127"/>
      <c r="PTG33" s="127"/>
      <c r="PTH33" s="127"/>
      <c r="PTI33" s="127"/>
      <c r="PTJ33" s="127"/>
      <c r="PTK33" s="127"/>
      <c r="PTL33" s="127"/>
      <c r="PTM33" s="127"/>
      <c r="PTN33" s="127"/>
      <c r="PTO33" s="127"/>
      <c r="PTP33" s="127"/>
      <c r="PTQ33" s="127"/>
      <c r="PTR33" s="127"/>
      <c r="PTS33" s="127"/>
      <c r="PTT33" s="127"/>
      <c r="PTU33" s="127"/>
      <c r="PTV33" s="127"/>
      <c r="PTW33" s="127"/>
      <c r="PTX33" s="127"/>
      <c r="PTY33" s="127"/>
      <c r="PTZ33" s="127"/>
      <c r="PUA33" s="127"/>
      <c r="PUB33" s="127"/>
      <c r="PUC33" s="127"/>
      <c r="PUD33" s="127"/>
      <c r="PUE33" s="127"/>
      <c r="PUF33" s="127"/>
      <c r="PUG33" s="127"/>
      <c r="PUH33" s="127"/>
      <c r="PUI33" s="127"/>
      <c r="PUJ33" s="127"/>
      <c r="PUK33" s="127"/>
      <c r="PUL33" s="127"/>
      <c r="PUM33" s="127"/>
      <c r="PUN33" s="127"/>
      <c r="PUO33" s="127"/>
      <c r="PUP33" s="127"/>
      <c r="PUQ33" s="127"/>
      <c r="PUR33" s="127"/>
      <c r="PUS33" s="127"/>
      <c r="PUT33" s="127"/>
      <c r="PUU33" s="127"/>
      <c r="PUV33" s="127"/>
      <c r="PUW33" s="127"/>
      <c r="PUX33" s="127"/>
      <c r="PUY33" s="127"/>
      <c r="PUZ33" s="127"/>
      <c r="PVA33" s="127"/>
      <c r="PVB33" s="127"/>
      <c r="PVC33" s="127"/>
      <c r="PVD33" s="127"/>
      <c r="PVE33" s="127"/>
      <c r="PVF33" s="127"/>
      <c r="PVG33" s="127"/>
      <c r="PVH33" s="127"/>
      <c r="PVI33" s="127"/>
      <c r="PVJ33" s="127"/>
      <c r="PVK33" s="127"/>
      <c r="PVL33" s="127"/>
      <c r="PVM33" s="127"/>
      <c r="PVN33" s="127"/>
      <c r="PVO33" s="127"/>
      <c r="PVP33" s="127"/>
      <c r="PVQ33" s="127"/>
      <c r="PVR33" s="127"/>
      <c r="PVS33" s="127"/>
      <c r="PVT33" s="127"/>
      <c r="PVU33" s="127"/>
      <c r="PVV33" s="127"/>
      <c r="PVW33" s="127"/>
      <c r="PVX33" s="127"/>
      <c r="PVY33" s="127"/>
      <c r="PVZ33" s="127"/>
      <c r="PWA33" s="127"/>
      <c r="PWB33" s="127"/>
      <c r="PWC33" s="127"/>
      <c r="PWD33" s="127"/>
      <c r="PWE33" s="127"/>
      <c r="PWF33" s="127"/>
      <c r="PWG33" s="127"/>
      <c r="PWH33" s="127"/>
      <c r="PWI33" s="127"/>
      <c r="PWJ33" s="127"/>
      <c r="PWK33" s="127"/>
      <c r="PWL33" s="127"/>
      <c r="PWM33" s="127"/>
      <c r="PWN33" s="127"/>
      <c r="PWO33" s="127"/>
      <c r="PWP33" s="127"/>
      <c r="PWQ33" s="127"/>
      <c r="PWR33" s="127"/>
      <c r="PWS33" s="127"/>
      <c r="PWT33" s="127"/>
      <c r="PWU33" s="127"/>
      <c r="PWV33" s="127"/>
      <c r="PWW33" s="127"/>
      <c r="PWX33" s="127"/>
      <c r="PWY33" s="127"/>
      <c r="PWZ33" s="127"/>
      <c r="PXA33" s="127"/>
      <c r="PXB33" s="127"/>
      <c r="PXC33" s="127"/>
      <c r="PXD33" s="127"/>
      <c r="PXE33" s="127"/>
      <c r="PXF33" s="127"/>
      <c r="PXG33" s="127"/>
      <c r="PXH33" s="127"/>
      <c r="PXI33" s="127"/>
      <c r="PXJ33" s="127"/>
      <c r="PXK33" s="127"/>
      <c r="PXL33" s="127"/>
      <c r="PXM33" s="127"/>
      <c r="PXN33" s="127"/>
      <c r="PXO33" s="127"/>
      <c r="PXP33" s="127"/>
      <c r="PXQ33" s="127"/>
      <c r="PXR33" s="127"/>
      <c r="PXS33" s="127"/>
      <c r="PXT33" s="127"/>
      <c r="PXU33" s="127"/>
      <c r="PXV33" s="127"/>
      <c r="PXW33" s="127"/>
      <c r="PXX33" s="127"/>
      <c r="PXY33" s="127"/>
      <c r="PXZ33" s="127"/>
      <c r="PYA33" s="127"/>
      <c r="PYB33" s="127"/>
      <c r="PYC33" s="127"/>
      <c r="PYD33" s="127"/>
      <c r="PYE33" s="127"/>
      <c r="PYF33" s="127"/>
      <c r="PYG33" s="127"/>
      <c r="PYH33" s="127"/>
      <c r="PYI33" s="127"/>
      <c r="PYJ33" s="127"/>
      <c r="PYK33" s="127"/>
      <c r="PYL33" s="127"/>
      <c r="PYM33" s="127"/>
      <c r="PYN33" s="127"/>
      <c r="PYO33" s="127"/>
      <c r="PYP33" s="127"/>
      <c r="PYQ33" s="127"/>
      <c r="PYR33" s="127"/>
      <c r="PYS33" s="127"/>
      <c r="PYT33" s="127"/>
      <c r="PYU33" s="127"/>
      <c r="PYV33" s="127"/>
      <c r="PYW33" s="127"/>
      <c r="PYX33" s="127"/>
      <c r="PYY33" s="127"/>
      <c r="PYZ33" s="127"/>
      <c r="PZA33" s="127"/>
      <c r="PZB33" s="127"/>
      <c r="PZC33" s="127"/>
      <c r="PZD33" s="127"/>
      <c r="PZE33" s="127"/>
      <c r="PZF33" s="127"/>
      <c r="PZG33" s="127"/>
      <c r="PZH33" s="127"/>
      <c r="PZI33" s="127"/>
      <c r="PZJ33" s="127"/>
      <c r="PZK33" s="127"/>
      <c r="PZL33" s="127"/>
      <c r="PZM33" s="127"/>
      <c r="PZN33" s="127"/>
      <c r="PZO33" s="127"/>
      <c r="PZP33" s="127"/>
      <c r="PZQ33" s="127"/>
      <c r="PZR33" s="127"/>
      <c r="PZS33" s="127"/>
      <c r="PZT33" s="127"/>
      <c r="PZU33" s="127"/>
      <c r="PZV33" s="127"/>
      <c r="PZW33" s="127"/>
      <c r="PZX33" s="127"/>
      <c r="PZY33" s="127"/>
      <c r="PZZ33" s="127"/>
      <c r="QAA33" s="127"/>
      <c r="QAB33" s="127"/>
      <c r="QAC33" s="127"/>
      <c r="QAD33" s="127"/>
      <c r="QAE33" s="127"/>
      <c r="QAF33" s="127"/>
      <c r="QAG33" s="127"/>
      <c r="QAH33" s="127"/>
      <c r="QAI33" s="127"/>
      <c r="QAJ33" s="127"/>
      <c r="QAK33" s="127"/>
      <c r="QAL33" s="127"/>
      <c r="QAM33" s="127"/>
      <c r="QAN33" s="127"/>
      <c r="QAO33" s="127"/>
      <c r="QAP33" s="127"/>
      <c r="QAQ33" s="127"/>
      <c r="QAR33" s="127"/>
      <c r="QAS33" s="127"/>
      <c r="QAT33" s="127"/>
      <c r="QAU33" s="127"/>
      <c r="QAV33" s="127"/>
      <c r="QAW33" s="127"/>
      <c r="QAX33" s="127"/>
      <c r="QAY33" s="127"/>
      <c r="QAZ33" s="127"/>
      <c r="QBA33" s="127"/>
      <c r="QBB33" s="127"/>
      <c r="QBC33" s="127"/>
      <c r="QBD33" s="127"/>
      <c r="QBE33" s="127"/>
      <c r="QBF33" s="127"/>
      <c r="QBG33" s="127"/>
      <c r="QBH33" s="127"/>
      <c r="QBI33" s="127"/>
      <c r="QBJ33" s="127"/>
      <c r="QBK33" s="127"/>
      <c r="QBL33" s="127"/>
      <c r="QBM33" s="127"/>
      <c r="QBN33" s="127"/>
      <c r="QBO33" s="127"/>
      <c r="QBP33" s="127"/>
      <c r="QBQ33" s="127"/>
      <c r="QBR33" s="127"/>
      <c r="QBS33" s="127"/>
      <c r="QBT33" s="127"/>
      <c r="QBU33" s="127"/>
      <c r="QBV33" s="127"/>
      <c r="QBW33" s="127"/>
      <c r="QBX33" s="127"/>
      <c r="QBY33" s="127"/>
      <c r="QBZ33" s="127"/>
      <c r="QCA33" s="127"/>
      <c r="QCB33" s="127"/>
      <c r="QCC33" s="127"/>
      <c r="QCD33" s="127"/>
      <c r="QCE33" s="127"/>
      <c r="QCF33" s="127"/>
      <c r="QCG33" s="127"/>
      <c r="QCH33" s="127"/>
      <c r="QCI33" s="127"/>
      <c r="QCJ33" s="127"/>
      <c r="QCK33" s="127"/>
      <c r="QCL33" s="127"/>
      <c r="QCM33" s="127"/>
      <c r="QCN33" s="127"/>
      <c r="QCO33" s="127"/>
      <c r="QCP33" s="127"/>
      <c r="QCQ33" s="127"/>
      <c r="QCR33" s="127"/>
      <c r="QCS33" s="127"/>
      <c r="QCT33" s="127"/>
      <c r="QCU33" s="127"/>
      <c r="QCV33" s="127"/>
      <c r="QCW33" s="127"/>
      <c r="QCX33" s="127"/>
      <c r="QCY33" s="127"/>
      <c r="QCZ33" s="127"/>
      <c r="QDA33" s="127"/>
      <c r="QDB33" s="127"/>
      <c r="QDC33" s="127"/>
      <c r="QDD33" s="127"/>
      <c r="QDE33" s="127"/>
      <c r="QDF33" s="127"/>
      <c r="QDG33" s="127"/>
      <c r="QDH33" s="127"/>
      <c r="QDI33" s="127"/>
      <c r="QDJ33" s="127"/>
      <c r="QDK33" s="127"/>
      <c r="QDL33" s="127"/>
      <c r="QDM33" s="127"/>
      <c r="QDN33" s="127"/>
      <c r="QDO33" s="127"/>
      <c r="QDP33" s="127"/>
      <c r="QDQ33" s="127"/>
      <c r="QDR33" s="127"/>
      <c r="QDS33" s="127"/>
      <c r="QDT33" s="127"/>
      <c r="QDU33" s="127"/>
      <c r="QDV33" s="127"/>
      <c r="QDW33" s="127"/>
      <c r="QDX33" s="127"/>
      <c r="QDY33" s="127"/>
      <c r="QDZ33" s="127"/>
      <c r="QEA33" s="127"/>
      <c r="QEB33" s="127"/>
      <c r="QEC33" s="127"/>
      <c r="QED33" s="127"/>
      <c r="QEE33" s="127"/>
      <c r="QEF33" s="127"/>
      <c r="QEG33" s="127"/>
      <c r="QEH33" s="127"/>
      <c r="QEI33" s="127"/>
      <c r="QEJ33" s="127"/>
      <c r="QEK33" s="127"/>
      <c r="QEL33" s="127"/>
      <c r="QEM33" s="127"/>
      <c r="QEN33" s="127"/>
      <c r="QEO33" s="127"/>
      <c r="QEP33" s="127"/>
      <c r="QEQ33" s="127"/>
      <c r="QER33" s="127"/>
      <c r="QES33" s="127"/>
      <c r="QET33" s="127"/>
      <c r="QEU33" s="127"/>
      <c r="QEV33" s="127"/>
      <c r="QEW33" s="127"/>
      <c r="QEX33" s="127"/>
      <c r="QEY33" s="127"/>
      <c r="QEZ33" s="127"/>
      <c r="QFA33" s="127"/>
      <c r="QFB33" s="127"/>
      <c r="QFC33" s="127"/>
      <c r="QFD33" s="127"/>
      <c r="QFE33" s="127"/>
      <c r="QFF33" s="127"/>
      <c r="QFG33" s="127"/>
      <c r="QFH33" s="127"/>
      <c r="QFI33" s="127"/>
      <c r="QFJ33" s="127"/>
      <c r="QFK33" s="127"/>
      <c r="QFL33" s="127"/>
      <c r="QFM33" s="127"/>
      <c r="QFN33" s="127"/>
      <c r="QFO33" s="127"/>
      <c r="QFP33" s="127"/>
      <c r="QFQ33" s="127"/>
      <c r="QFR33" s="127"/>
      <c r="QFS33" s="127"/>
      <c r="QFT33" s="127"/>
      <c r="QFU33" s="127"/>
      <c r="QFV33" s="127"/>
      <c r="QFW33" s="127"/>
      <c r="QFX33" s="127"/>
      <c r="QFY33" s="127"/>
      <c r="QFZ33" s="127"/>
      <c r="QGA33" s="127"/>
      <c r="QGB33" s="127"/>
      <c r="QGC33" s="127"/>
      <c r="QGD33" s="127"/>
      <c r="QGE33" s="127"/>
      <c r="QGF33" s="127"/>
      <c r="QGG33" s="127"/>
      <c r="QGH33" s="127"/>
      <c r="QGI33" s="127"/>
      <c r="QGJ33" s="127"/>
      <c r="QGK33" s="127"/>
      <c r="QGL33" s="127"/>
      <c r="QGM33" s="127"/>
      <c r="QGN33" s="127"/>
      <c r="QGO33" s="127"/>
      <c r="QGP33" s="127"/>
      <c r="QGQ33" s="127"/>
      <c r="QGR33" s="127"/>
      <c r="QGS33" s="127"/>
      <c r="QGT33" s="127"/>
      <c r="QGU33" s="127"/>
      <c r="QGV33" s="127"/>
      <c r="QGW33" s="127"/>
      <c r="QGX33" s="127"/>
      <c r="QGY33" s="127"/>
      <c r="QGZ33" s="127"/>
      <c r="QHA33" s="127"/>
      <c r="QHB33" s="127"/>
      <c r="QHC33" s="127"/>
      <c r="QHD33" s="127"/>
      <c r="QHE33" s="127"/>
      <c r="QHF33" s="127"/>
      <c r="QHG33" s="127"/>
      <c r="QHH33" s="127"/>
      <c r="QHI33" s="127"/>
      <c r="QHJ33" s="127"/>
      <c r="QHK33" s="127"/>
      <c r="QHL33" s="127"/>
      <c r="QHM33" s="127"/>
      <c r="QHN33" s="127"/>
      <c r="QHO33" s="127"/>
      <c r="QHP33" s="127"/>
      <c r="QHQ33" s="127"/>
      <c r="QHR33" s="127"/>
      <c r="QHS33" s="127"/>
      <c r="QHT33" s="127"/>
      <c r="QHU33" s="127"/>
      <c r="QHV33" s="127"/>
      <c r="QHW33" s="127"/>
      <c r="QHX33" s="127"/>
      <c r="QHY33" s="127"/>
      <c r="QHZ33" s="127"/>
      <c r="QIA33" s="127"/>
      <c r="QIB33" s="127"/>
      <c r="QIC33" s="127"/>
      <c r="QID33" s="127"/>
      <c r="QIE33" s="127"/>
      <c r="QIF33" s="127"/>
      <c r="QIG33" s="127"/>
      <c r="QIH33" s="127"/>
      <c r="QII33" s="127"/>
      <c r="QIJ33" s="127"/>
      <c r="QIK33" s="127"/>
      <c r="QIL33" s="127"/>
      <c r="QIM33" s="127"/>
      <c r="QIN33" s="127"/>
      <c r="QIO33" s="127"/>
      <c r="QIP33" s="127"/>
      <c r="QIQ33" s="127"/>
      <c r="QIR33" s="127"/>
      <c r="QIS33" s="127"/>
      <c r="QIT33" s="127"/>
      <c r="QIU33" s="127"/>
      <c r="QIV33" s="127"/>
      <c r="QIW33" s="127"/>
      <c r="QIX33" s="127"/>
      <c r="QIY33" s="127"/>
      <c r="QIZ33" s="127"/>
      <c r="QJA33" s="127"/>
      <c r="QJB33" s="127"/>
      <c r="QJC33" s="127"/>
      <c r="QJD33" s="127"/>
      <c r="QJE33" s="127"/>
      <c r="QJF33" s="127"/>
      <c r="QJG33" s="127"/>
      <c r="QJH33" s="127"/>
      <c r="QJI33" s="127"/>
      <c r="QJJ33" s="127"/>
      <c r="QJK33" s="127"/>
      <c r="QJL33" s="127"/>
      <c r="QJM33" s="127"/>
      <c r="QJN33" s="127"/>
      <c r="QJO33" s="127"/>
      <c r="QJP33" s="127"/>
      <c r="QJQ33" s="127"/>
      <c r="QJR33" s="127"/>
      <c r="QJS33" s="127"/>
      <c r="QJT33" s="127"/>
      <c r="QJU33" s="127"/>
      <c r="QJV33" s="127"/>
      <c r="QJW33" s="127"/>
      <c r="QJX33" s="127"/>
      <c r="QJY33" s="127"/>
      <c r="QJZ33" s="127"/>
      <c r="QKA33" s="127"/>
      <c r="QKB33" s="127"/>
      <c r="QKC33" s="127"/>
      <c r="QKD33" s="127"/>
      <c r="QKE33" s="127"/>
      <c r="QKF33" s="127"/>
      <c r="QKG33" s="127"/>
      <c r="QKH33" s="127"/>
      <c r="QKI33" s="127"/>
      <c r="QKJ33" s="127"/>
      <c r="QKK33" s="127"/>
      <c r="QKL33" s="127"/>
      <c r="QKM33" s="127"/>
      <c r="QKN33" s="127"/>
      <c r="QKO33" s="127"/>
      <c r="QKP33" s="127"/>
      <c r="QKQ33" s="127"/>
      <c r="QKR33" s="127"/>
      <c r="QKS33" s="127"/>
      <c r="QKT33" s="127"/>
      <c r="QKU33" s="127"/>
      <c r="QKV33" s="127"/>
      <c r="QKW33" s="127"/>
      <c r="QKX33" s="127"/>
      <c r="QKY33" s="127"/>
      <c r="QKZ33" s="127"/>
      <c r="QLA33" s="127"/>
      <c r="QLB33" s="127"/>
      <c r="QLC33" s="127"/>
      <c r="QLD33" s="127"/>
      <c r="QLE33" s="127"/>
      <c r="QLF33" s="127"/>
      <c r="QLG33" s="127"/>
      <c r="QLH33" s="127"/>
      <c r="QLI33" s="127"/>
      <c r="QLJ33" s="127"/>
      <c r="QLK33" s="127"/>
      <c r="QLL33" s="127"/>
      <c r="QLM33" s="127"/>
      <c r="QLN33" s="127"/>
      <c r="QLO33" s="127"/>
      <c r="QLP33" s="127"/>
      <c r="QLQ33" s="127"/>
      <c r="QLR33" s="127"/>
      <c r="QLS33" s="127"/>
      <c r="QLT33" s="127"/>
      <c r="QLU33" s="127"/>
      <c r="QLV33" s="127"/>
      <c r="QLW33" s="127"/>
      <c r="QLX33" s="127"/>
      <c r="QLY33" s="127"/>
      <c r="QLZ33" s="127"/>
      <c r="QMA33" s="127"/>
      <c r="QMB33" s="127"/>
      <c r="QMC33" s="127"/>
      <c r="QMD33" s="127"/>
      <c r="QME33" s="127"/>
      <c r="QMF33" s="127"/>
      <c r="QMG33" s="127"/>
      <c r="QMH33" s="127"/>
      <c r="QMI33" s="127"/>
      <c r="QMJ33" s="127"/>
      <c r="QMK33" s="127"/>
      <c r="QML33" s="127"/>
      <c r="QMM33" s="127"/>
      <c r="QMN33" s="127"/>
      <c r="QMO33" s="127"/>
      <c r="QMP33" s="127"/>
      <c r="QMQ33" s="127"/>
      <c r="QMR33" s="127"/>
      <c r="QMS33" s="127"/>
      <c r="QMT33" s="127"/>
      <c r="QMU33" s="127"/>
      <c r="QMV33" s="127"/>
      <c r="QMW33" s="127"/>
      <c r="QMX33" s="127"/>
      <c r="QMY33" s="127"/>
      <c r="QMZ33" s="127"/>
      <c r="QNA33" s="127"/>
      <c r="QNB33" s="127"/>
      <c r="QNC33" s="127"/>
      <c r="QND33" s="127"/>
      <c r="QNE33" s="127"/>
      <c r="QNF33" s="127"/>
      <c r="QNG33" s="127"/>
      <c r="QNH33" s="127"/>
      <c r="QNI33" s="127"/>
      <c r="QNJ33" s="127"/>
      <c r="QNK33" s="127"/>
      <c r="QNL33" s="127"/>
      <c r="QNM33" s="127"/>
      <c r="QNN33" s="127"/>
      <c r="QNO33" s="127"/>
      <c r="QNP33" s="127"/>
      <c r="QNQ33" s="127"/>
      <c r="QNR33" s="127"/>
      <c r="QNS33" s="127"/>
      <c r="QNT33" s="127"/>
      <c r="QNU33" s="127"/>
      <c r="QNV33" s="127"/>
      <c r="QNW33" s="127"/>
      <c r="QNX33" s="127"/>
      <c r="QNY33" s="127"/>
      <c r="QNZ33" s="127"/>
      <c r="QOA33" s="127"/>
      <c r="QOB33" s="127"/>
      <c r="QOC33" s="127"/>
      <c r="QOD33" s="127"/>
      <c r="QOE33" s="127"/>
      <c r="QOF33" s="127"/>
      <c r="QOG33" s="127"/>
      <c r="QOH33" s="127"/>
      <c r="QOI33" s="127"/>
      <c r="QOJ33" s="127"/>
      <c r="QOK33" s="127"/>
      <c r="QOL33" s="127"/>
      <c r="QOM33" s="127"/>
      <c r="QON33" s="127"/>
      <c r="QOO33" s="127"/>
      <c r="QOP33" s="127"/>
      <c r="QOQ33" s="127"/>
      <c r="QOR33" s="127"/>
      <c r="QOS33" s="127"/>
      <c r="QOT33" s="127"/>
      <c r="QOU33" s="127"/>
      <c r="QOV33" s="127"/>
      <c r="QOW33" s="127"/>
      <c r="QOX33" s="127"/>
      <c r="QOY33" s="127"/>
      <c r="QOZ33" s="127"/>
      <c r="QPA33" s="127"/>
      <c r="QPB33" s="127"/>
      <c r="QPC33" s="127"/>
      <c r="QPD33" s="127"/>
      <c r="QPE33" s="127"/>
      <c r="QPF33" s="127"/>
      <c r="QPG33" s="127"/>
      <c r="QPH33" s="127"/>
      <c r="QPI33" s="127"/>
      <c r="QPJ33" s="127"/>
      <c r="QPK33" s="127"/>
      <c r="QPL33" s="127"/>
      <c r="QPM33" s="127"/>
      <c r="QPN33" s="127"/>
      <c r="QPO33" s="127"/>
      <c r="QPP33" s="127"/>
      <c r="QPQ33" s="127"/>
      <c r="QPR33" s="127"/>
      <c r="QPS33" s="127"/>
      <c r="QPT33" s="127"/>
      <c r="QPU33" s="127"/>
      <c r="QPV33" s="127"/>
      <c r="QPW33" s="127"/>
      <c r="QPX33" s="127"/>
      <c r="QPY33" s="127"/>
      <c r="QPZ33" s="127"/>
      <c r="QQA33" s="127"/>
      <c r="QQB33" s="127"/>
      <c r="QQC33" s="127"/>
      <c r="QQD33" s="127"/>
      <c r="QQE33" s="127"/>
      <c r="QQF33" s="127"/>
      <c r="QQG33" s="127"/>
      <c r="QQH33" s="127"/>
      <c r="QQI33" s="127"/>
      <c r="QQJ33" s="127"/>
      <c r="QQK33" s="127"/>
      <c r="QQL33" s="127"/>
      <c r="QQM33" s="127"/>
      <c r="QQN33" s="127"/>
      <c r="QQO33" s="127"/>
      <c r="QQP33" s="127"/>
      <c r="QQQ33" s="127"/>
      <c r="QQR33" s="127"/>
      <c r="QQS33" s="127"/>
      <c r="QQT33" s="127"/>
      <c r="QQU33" s="127"/>
      <c r="QQV33" s="127"/>
      <c r="QQW33" s="127"/>
      <c r="QQX33" s="127"/>
      <c r="QQY33" s="127"/>
      <c r="QQZ33" s="127"/>
      <c r="QRA33" s="127"/>
      <c r="QRB33" s="127"/>
      <c r="QRC33" s="127"/>
      <c r="QRD33" s="127"/>
      <c r="QRE33" s="127"/>
      <c r="QRF33" s="127"/>
      <c r="QRG33" s="127"/>
      <c r="QRH33" s="127"/>
      <c r="QRI33" s="127"/>
      <c r="QRJ33" s="127"/>
      <c r="QRK33" s="127"/>
      <c r="QRL33" s="127"/>
      <c r="QRM33" s="127"/>
      <c r="QRN33" s="127"/>
      <c r="QRO33" s="127"/>
      <c r="QRP33" s="127"/>
      <c r="QRQ33" s="127"/>
      <c r="QRR33" s="127"/>
      <c r="QRS33" s="127"/>
      <c r="QRT33" s="127"/>
      <c r="QRU33" s="127"/>
      <c r="QRV33" s="127"/>
      <c r="QRW33" s="127"/>
      <c r="QRX33" s="127"/>
      <c r="QRY33" s="127"/>
      <c r="QRZ33" s="127"/>
      <c r="QSA33" s="127"/>
      <c r="QSB33" s="127"/>
      <c r="QSC33" s="127"/>
      <c r="QSD33" s="127"/>
      <c r="QSE33" s="127"/>
      <c r="QSF33" s="127"/>
      <c r="QSG33" s="127"/>
      <c r="QSH33" s="127"/>
      <c r="QSI33" s="127"/>
      <c r="QSJ33" s="127"/>
      <c r="QSK33" s="127"/>
      <c r="QSL33" s="127"/>
      <c r="QSM33" s="127"/>
      <c r="QSN33" s="127"/>
      <c r="QSO33" s="127"/>
      <c r="QSP33" s="127"/>
      <c r="QSQ33" s="127"/>
      <c r="QSR33" s="127"/>
      <c r="QSS33" s="127"/>
      <c r="QST33" s="127"/>
      <c r="QSU33" s="127"/>
      <c r="QSV33" s="127"/>
      <c r="QSW33" s="127"/>
      <c r="QSX33" s="127"/>
      <c r="QSY33" s="127"/>
      <c r="QSZ33" s="127"/>
      <c r="QTA33" s="127"/>
      <c r="QTB33" s="127"/>
      <c r="QTC33" s="127"/>
      <c r="QTD33" s="127"/>
      <c r="QTE33" s="127"/>
      <c r="QTF33" s="127"/>
      <c r="QTG33" s="127"/>
      <c r="QTH33" s="127"/>
      <c r="QTI33" s="127"/>
      <c r="QTJ33" s="127"/>
      <c r="QTK33" s="127"/>
      <c r="QTL33" s="127"/>
      <c r="QTM33" s="127"/>
      <c r="QTN33" s="127"/>
      <c r="QTO33" s="127"/>
      <c r="QTP33" s="127"/>
      <c r="QTQ33" s="127"/>
      <c r="QTR33" s="127"/>
      <c r="QTS33" s="127"/>
      <c r="QTT33" s="127"/>
      <c r="QTU33" s="127"/>
      <c r="QTV33" s="127"/>
      <c r="QTW33" s="127"/>
      <c r="QTX33" s="127"/>
      <c r="QTY33" s="127"/>
      <c r="QTZ33" s="127"/>
      <c r="QUA33" s="127"/>
      <c r="QUB33" s="127"/>
      <c r="QUC33" s="127"/>
      <c r="QUD33" s="127"/>
      <c r="QUE33" s="127"/>
      <c r="QUF33" s="127"/>
      <c r="QUG33" s="127"/>
      <c r="QUH33" s="127"/>
      <c r="QUI33" s="127"/>
      <c r="QUJ33" s="127"/>
      <c r="QUK33" s="127"/>
      <c r="QUL33" s="127"/>
      <c r="QUM33" s="127"/>
      <c r="QUN33" s="127"/>
      <c r="QUO33" s="127"/>
      <c r="QUP33" s="127"/>
      <c r="QUQ33" s="127"/>
      <c r="QUR33" s="127"/>
      <c r="QUS33" s="127"/>
      <c r="QUT33" s="127"/>
      <c r="QUU33" s="127"/>
      <c r="QUV33" s="127"/>
      <c r="QUW33" s="127"/>
      <c r="QUX33" s="127"/>
      <c r="QUY33" s="127"/>
      <c r="QUZ33" s="127"/>
      <c r="QVA33" s="127"/>
      <c r="QVB33" s="127"/>
      <c r="QVC33" s="127"/>
      <c r="QVD33" s="127"/>
      <c r="QVE33" s="127"/>
      <c r="QVF33" s="127"/>
      <c r="QVG33" s="127"/>
      <c r="QVH33" s="127"/>
      <c r="QVI33" s="127"/>
      <c r="QVJ33" s="127"/>
      <c r="QVK33" s="127"/>
      <c r="QVL33" s="127"/>
      <c r="QVM33" s="127"/>
      <c r="QVN33" s="127"/>
      <c r="QVO33" s="127"/>
      <c r="QVP33" s="127"/>
      <c r="QVQ33" s="127"/>
      <c r="QVR33" s="127"/>
      <c r="QVS33" s="127"/>
      <c r="QVT33" s="127"/>
      <c r="QVU33" s="127"/>
      <c r="QVV33" s="127"/>
      <c r="QVW33" s="127"/>
      <c r="QVX33" s="127"/>
      <c r="QVY33" s="127"/>
      <c r="QVZ33" s="127"/>
      <c r="QWA33" s="127"/>
      <c r="QWB33" s="127"/>
      <c r="QWC33" s="127"/>
      <c r="QWD33" s="127"/>
      <c r="QWE33" s="127"/>
      <c r="QWF33" s="127"/>
      <c r="QWG33" s="127"/>
      <c r="QWH33" s="127"/>
      <c r="QWI33" s="127"/>
      <c r="QWJ33" s="127"/>
      <c r="QWK33" s="127"/>
      <c r="QWL33" s="127"/>
      <c r="QWM33" s="127"/>
      <c r="QWN33" s="127"/>
      <c r="QWO33" s="127"/>
      <c r="QWP33" s="127"/>
      <c r="QWQ33" s="127"/>
      <c r="QWR33" s="127"/>
      <c r="QWS33" s="127"/>
      <c r="QWT33" s="127"/>
      <c r="QWU33" s="127"/>
      <c r="QWV33" s="127"/>
      <c r="QWW33" s="127"/>
      <c r="QWX33" s="127"/>
      <c r="QWY33" s="127"/>
      <c r="QWZ33" s="127"/>
      <c r="QXA33" s="127"/>
      <c r="QXB33" s="127"/>
      <c r="QXC33" s="127"/>
      <c r="QXD33" s="127"/>
      <c r="QXE33" s="127"/>
      <c r="QXF33" s="127"/>
      <c r="QXG33" s="127"/>
      <c r="QXH33" s="127"/>
      <c r="QXI33" s="127"/>
      <c r="QXJ33" s="127"/>
      <c r="QXK33" s="127"/>
      <c r="QXL33" s="127"/>
      <c r="QXM33" s="127"/>
      <c r="QXN33" s="127"/>
      <c r="QXO33" s="127"/>
      <c r="QXP33" s="127"/>
      <c r="QXQ33" s="127"/>
      <c r="QXR33" s="127"/>
      <c r="QXS33" s="127"/>
      <c r="QXT33" s="127"/>
      <c r="QXU33" s="127"/>
      <c r="QXV33" s="127"/>
      <c r="QXW33" s="127"/>
      <c r="QXX33" s="127"/>
      <c r="QXY33" s="127"/>
      <c r="QXZ33" s="127"/>
      <c r="QYA33" s="127"/>
      <c r="QYB33" s="127"/>
      <c r="QYC33" s="127"/>
      <c r="QYD33" s="127"/>
      <c r="QYE33" s="127"/>
      <c r="QYF33" s="127"/>
      <c r="QYG33" s="127"/>
      <c r="QYH33" s="127"/>
      <c r="QYI33" s="127"/>
      <c r="QYJ33" s="127"/>
      <c r="QYK33" s="127"/>
      <c r="QYL33" s="127"/>
      <c r="QYM33" s="127"/>
      <c r="QYN33" s="127"/>
      <c r="QYO33" s="127"/>
      <c r="QYP33" s="127"/>
      <c r="QYQ33" s="127"/>
      <c r="QYR33" s="127"/>
      <c r="QYS33" s="127"/>
      <c r="QYT33" s="127"/>
      <c r="QYU33" s="127"/>
      <c r="QYV33" s="127"/>
      <c r="QYW33" s="127"/>
      <c r="QYX33" s="127"/>
      <c r="QYY33" s="127"/>
      <c r="QYZ33" s="127"/>
      <c r="QZA33" s="127"/>
      <c r="QZB33" s="127"/>
      <c r="QZC33" s="127"/>
      <c r="QZD33" s="127"/>
      <c r="QZE33" s="127"/>
      <c r="QZF33" s="127"/>
      <c r="QZG33" s="127"/>
      <c r="QZH33" s="127"/>
      <c r="QZI33" s="127"/>
      <c r="QZJ33" s="127"/>
      <c r="QZK33" s="127"/>
      <c r="QZL33" s="127"/>
      <c r="QZM33" s="127"/>
      <c r="QZN33" s="127"/>
      <c r="QZO33" s="127"/>
      <c r="QZP33" s="127"/>
      <c r="QZQ33" s="127"/>
      <c r="QZR33" s="127"/>
      <c r="QZS33" s="127"/>
      <c r="QZT33" s="127"/>
      <c r="QZU33" s="127"/>
      <c r="QZV33" s="127"/>
      <c r="QZW33" s="127"/>
      <c r="QZX33" s="127"/>
      <c r="QZY33" s="127"/>
      <c r="QZZ33" s="127"/>
      <c r="RAA33" s="127"/>
      <c r="RAB33" s="127"/>
      <c r="RAC33" s="127"/>
      <c r="RAD33" s="127"/>
      <c r="RAE33" s="127"/>
      <c r="RAF33" s="127"/>
      <c r="RAG33" s="127"/>
      <c r="RAH33" s="127"/>
      <c r="RAI33" s="127"/>
      <c r="RAJ33" s="127"/>
      <c r="RAK33" s="127"/>
      <c r="RAL33" s="127"/>
      <c r="RAM33" s="127"/>
      <c r="RAN33" s="127"/>
      <c r="RAO33" s="127"/>
      <c r="RAP33" s="127"/>
      <c r="RAQ33" s="127"/>
      <c r="RAR33" s="127"/>
      <c r="RAS33" s="127"/>
      <c r="RAT33" s="127"/>
      <c r="RAU33" s="127"/>
      <c r="RAV33" s="127"/>
      <c r="RAW33" s="127"/>
      <c r="RAX33" s="127"/>
      <c r="RAY33" s="127"/>
      <c r="RAZ33" s="127"/>
      <c r="RBA33" s="127"/>
      <c r="RBB33" s="127"/>
      <c r="RBC33" s="127"/>
      <c r="RBD33" s="127"/>
      <c r="RBE33" s="127"/>
      <c r="RBF33" s="127"/>
      <c r="RBG33" s="127"/>
      <c r="RBH33" s="127"/>
      <c r="RBI33" s="127"/>
      <c r="RBJ33" s="127"/>
      <c r="RBK33" s="127"/>
      <c r="RBL33" s="127"/>
      <c r="RBM33" s="127"/>
      <c r="RBN33" s="127"/>
      <c r="RBO33" s="127"/>
      <c r="RBP33" s="127"/>
      <c r="RBQ33" s="127"/>
      <c r="RBR33" s="127"/>
      <c r="RBS33" s="127"/>
      <c r="RBT33" s="127"/>
      <c r="RBU33" s="127"/>
      <c r="RBV33" s="127"/>
      <c r="RBW33" s="127"/>
      <c r="RBX33" s="127"/>
      <c r="RBY33" s="127"/>
      <c r="RBZ33" s="127"/>
      <c r="RCA33" s="127"/>
      <c r="RCB33" s="127"/>
      <c r="RCC33" s="127"/>
      <c r="RCD33" s="127"/>
      <c r="RCE33" s="127"/>
      <c r="RCF33" s="127"/>
      <c r="RCG33" s="127"/>
      <c r="RCH33" s="127"/>
      <c r="RCI33" s="127"/>
      <c r="RCJ33" s="127"/>
      <c r="RCK33" s="127"/>
      <c r="RCL33" s="127"/>
      <c r="RCM33" s="127"/>
      <c r="RCN33" s="127"/>
      <c r="RCO33" s="127"/>
      <c r="RCP33" s="127"/>
      <c r="RCQ33" s="127"/>
      <c r="RCR33" s="127"/>
      <c r="RCS33" s="127"/>
      <c r="RCT33" s="127"/>
      <c r="RCU33" s="127"/>
      <c r="RCV33" s="127"/>
      <c r="RCW33" s="127"/>
      <c r="RCX33" s="127"/>
      <c r="RCY33" s="127"/>
      <c r="RCZ33" s="127"/>
      <c r="RDA33" s="127"/>
      <c r="RDB33" s="127"/>
      <c r="RDC33" s="127"/>
      <c r="RDD33" s="127"/>
      <c r="RDE33" s="127"/>
      <c r="RDF33" s="127"/>
      <c r="RDG33" s="127"/>
      <c r="RDH33" s="127"/>
      <c r="RDI33" s="127"/>
      <c r="RDJ33" s="127"/>
      <c r="RDK33" s="127"/>
      <c r="RDL33" s="127"/>
      <c r="RDM33" s="127"/>
      <c r="RDN33" s="127"/>
      <c r="RDO33" s="127"/>
      <c r="RDP33" s="127"/>
      <c r="RDQ33" s="127"/>
      <c r="RDR33" s="127"/>
      <c r="RDS33" s="127"/>
      <c r="RDT33" s="127"/>
      <c r="RDU33" s="127"/>
      <c r="RDV33" s="127"/>
      <c r="RDW33" s="127"/>
      <c r="RDX33" s="127"/>
      <c r="RDY33" s="127"/>
      <c r="RDZ33" s="127"/>
      <c r="REA33" s="127"/>
      <c r="REB33" s="127"/>
      <c r="REC33" s="127"/>
      <c r="RED33" s="127"/>
      <c r="REE33" s="127"/>
      <c r="REF33" s="127"/>
      <c r="REG33" s="127"/>
      <c r="REH33" s="127"/>
      <c r="REI33" s="127"/>
      <c r="REJ33" s="127"/>
      <c r="REK33" s="127"/>
      <c r="REL33" s="127"/>
      <c r="REM33" s="127"/>
      <c r="REN33" s="127"/>
      <c r="REO33" s="127"/>
      <c r="REP33" s="127"/>
      <c r="REQ33" s="127"/>
      <c r="RER33" s="127"/>
      <c r="RES33" s="127"/>
      <c r="RET33" s="127"/>
      <c r="REU33" s="127"/>
      <c r="REV33" s="127"/>
      <c r="REW33" s="127"/>
      <c r="REX33" s="127"/>
      <c r="REY33" s="127"/>
      <c r="REZ33" s="127"/>
      <c r="RFA33" s="127"/>
      <c r="RFB33" s="127"/>
      <c r="RFC33" s="127"/>
      <c r="RFD33" s="127"/>
      <c r="RFE33" s="127"/>
      <c r="RFF33" s="127"/>
      <c r="RFG33" s="127"/>
      <c r="RFH33" s="127"/>
      <c r="RFI33" s="127"/>
      <c r="RFJ33" s="127"/>
      <c r="RFK33" s="127"/>
      <c r="RFL33" s="127"/>
      <c r="RFM33" s="127"/>
      <c r="RFN33" s="127"/>
      <c r="RFO33" s="127"/>
      <c r="RFP33" s="127"/>
      <c r="RFQ33" s="127"/>
      <c r="RFR33" s="127"/>
      <c r="RFS33" s="127"/>
      <c r="RFT33" s="127"/>
      <c r="RFU33" s="127"/>
      <c r="RFV33" s="127"/>
      <c r="RFW33" s="127"/>
      <c r="RFX33" s="127"/>
      <c r="RFY33" s="127"/>
      <c r="RFZ33" s="127"/>
      <c r="RGA33" s="127"/>
      <c r="RGB33" s="127"/>
      <c r="RGC33" s="127"/>
      <c r="RGD33" s="127"/>
      <c r="RGE33" s="127"/>
      <c r="RGF33" s="127"/>
      <c r="RGG33" s="127"/>
      <c r="RGH33" s="127"/>
      <c r="RGI33" s="127"/>
      <c r="RGJ33" s="127"/>
      <c r="RGK33" s="127"/>
      <c r="RGL33" s="127"/>
      <c r="RGM33" s="127"/>
      <c r="RGN33" s="127"/>
      <c r="RGO33" s="127"/>
      <c r="RGP33" s="127"/>
      <c r="RGQ33" s="127"/>
      <c r="RGR33" s="127"/>
      <c r="RGS33" s="127"/>
      <c r="RGT33" s="127"/>
      <c r="RGU33" s="127"/>
      <c r="RGV33" s="127"/>
      <c r="RGW33" s="127"/>
      <c r="RGX33" s="127"/>
      <c r="RGY33" s="127"/>
      <c r="RGZ33" s="127"/>
      <c r="RHA33" s="127"/>
      <c r="RHB33" s="127"/>
      <c r="RHC33" s="127"/>
      <c r="RHD33" s="127"/>
      <c r="RHE33" s="127"/>
      <c r="RHF33" s="127"/>
      <c r="RHG33" s="127"/>
      <c r="RHH33" s="127"/>
      <c r="RHI33" s="127"/>
      <c r="RHJ33" s="127"/>
      <c r="RHK33" s="127"/>
      <c r="RHL33" s="127"/>
      <c r="RHM33" s="127"/>
      <c r="RHN33" s="127"/>
      <c r="RHO33" s="127"/>
      <c r="RHP33" s="127"/>
      <c r="RHQ33" s="127"/>
      <c r="RHR33" s="127"/>
      <c r="RHS33" s="127"/>
      <c r="RHT33" s="127"/>
      <c r="RHU33" s="127"/>
      <c r="RHV33" s="127"/>
      <c r="RHW33" s="127"/>
      <c r="RHX33" s="127"/>
      <c r="RHY33" s="127"/>
      <c r="RHZ33" s="127"/>
      <c r="RIA33" s="127"/>
      <c r="RIB33" s="127"/>
      <c r="RIC33" s="127"/>
      <c r="RID33" s="127"/>
      <c r="RIE33" s="127"/>
      <c r="RIF33" s="127"/>
      <c r="RIG33" s="127"/>
      <c r="RIH33" s="127"/>
      <c r="RII33" s="127"/>
      <c r="RIJ33" s="127"/>
      <c r="RIK33" s="127"/>
      <c r="RIL33" s="127"/>
      <c r="RIM33" s="127"/>
      <c r="RIN33" s="127"/>
      <c r="RIO33" s="127"/>
      <c r="RIP33" s="127"/>
      <c r="RIQ33" s="127"/>
      <c r="RIR33" s="127"/>
      <c r="RIS33" s="127"/>
      <c r="RIT33" s="127"/>
      <c r="RIU33" s="127"/>
      <c r="RIV33" s="127"/>
      <c r="RIW33" s="127"/>
      <c r="RIX33" s="127"/>
      <c r="RIY33" s="127"/>
      <c r="RIZ33" s="127"/>
      <c r="RJA33" s="127"/>
      <c r="RJB33" s="127"/>
      <c r="RJC33" s="127"/>
      <c r="RJD33" s="127"/>
      <c r="RJE33" s="127"/>
      <c r="RJF33" s="127"/>
      <c r="RJG33" s="127"/>
      <c r="RJH33" s="127"/>
      <c r="RJI33" s="127"/>
      <c r="RJJ33" s="127"/>
      <c r="RJK33" s="127"/>
      <c r="RJL33" s="127"/>
      <c r="RJM33" s="127"/>
      <c r="RJN33" s="127"/>
      <c r="RJO33" s="127"/>
      <c r="RJP33" s="127"/>
      <c r="RJQ33" s="127"/>
      <c r="RJR33" s="127"/>
      <c r="RJS33" s="127"/>
      <c r="RJT33" s="127"/>
      <c r="RJU33" s="127"/>
      <c r="RJV33" s="127"/>
      <c r="RJW33" s="127"/>
      <c r="RJX33" s="127"/>
      <c r="RJY33" s="127"/>
      <c r="RJZ33" s="127"/>
      <c r="RKA33" s="127"/>
      <c r="RKB33" s="127"/>
      <c r="RKC33" s="127"/>
      <c r="RKD33" s="127"/>
      <c r="RKE33" s="127"/>
      <c r="RKF33" s="127"/>
      <c r="RKG33" s="127"/>
      <c r="RKH33" s="127"/>
      <c r="RKI33" s="127"/>
      <c r="RKJ33" s="127"/>
      <c r="RKK33" s="127"/>
      <c r="RKL33" s="127"/>
      <c r="RKM33" s="127"/>
      <c r="RKN33" s="127"/>
      <c r="RKO33" s="127"/>
      <c r="RKP33" s="127"/>
      <c r="RKQ33" s="127"/>
      <c r="RKR33" s="127"/>
      <c r="RKS33" s="127"/>
      <c r="RKT33" s="127"/>
      <c r="RKU33" s="127"/>
      <c r="RKV33" s="127"/>
      <c r="RKW33" s="127"/>
      <c r="RKX33" s="127"/>
      <c r="RKY33" s="127"/>
      <c r="RKZ33" s="127"/>
      <c r="RLA33" s="127"/>
      <c r="RLB33" s="127"/>
      <c r="RLC33" s="127"/>
      <c r="RLD33" s="127"/>
      <c r="RLE33" s="127"/>
      <c r="RLF33" s="127"/>
      <c r="RLG33" s="127"/>
      <c r="RLH33" s="127"/>
      <c r="RLI33" s="127"/>
      <c r="RLJ33" s="127"/>
      <c r="RLK33" s="127"/>
      <c r="RLL33" s="127"/>
      <c r="RLM33" s="127"/>
      <c r="RLN33" s="127"/>
      <c r="RLO33" s="127"/>
      <c r="RLP33" s="127"/>
      <c r="RLQ33" s="127"/>
      <c r="RLR33" s="127"/>
      <c r="RLS33" s="127"/>
      <c r="RLT33" s="127"/>
      <c r="RLU33" s="127"/>
      <c r="RLV33" s="127"/>
      <c r="RLW33" s="127"/>
      <c r="RLX33" s="127"/>
      <c r="RLY33" s="127"/>
      <c r="RLZ33" s="127"/>
      <c r="RMA33" s="127"/>
      <c r="RMB33" s="127"/>
      <c r="RMC33" s="127"/>
      <c r="RMD33" s="127"/>
      <c r="RME33" s="127"/>
      <c r="RMF33" s="127"/>
      <c r="RMG33" s="127"/>
      <c r="RMH33" s="127"/>
      <c r="RMI33" s="127"/>
      <c r="RMJ33" s="127"/>
      <c r="RMK33" s="127"/>
      <c r="RML33" s="127"/>
      <c r="RMM33" s="127"/>
      <c r="RMN33" s="127"/>
      <c r="RMO33" s="127"/>
      <c r="RMP33" s="127"/>
      <c r="RMQ33" s="127"/>
      <c r="RMR33" s="127"/>
      <c r="RMS33" s="127"/>
      <c r="RMT33" s="127"/>
      <c r="RMU33" s="127"/>
      <c r="RMV33" s="127"/>
      <c r="RMW33" s="127"/>
      <c r="RMX33" s="127"/>
      <c r="RMY33" s="127"/>
      <c r="RMZ33" s="127"/>
      <c r="RNA33" s="127"/>
      <c r="RNB33" s="127"/>
      <c r="RNC33" s="127"/>
      <c r="RND33" s="127"/>
      <c r="RNE33" s="127"/>
      <c r="RNF33" s="127"/>
      <c r="RNG33" s="127"/>
      <c r="RNH33" s="127"/>
      <c r="RNI33" s="127"/>
      <c r="RNJ33" s="127"/>
      <c r="RNK33" s="127"/>
      <c r="RNL33" s="127"/>
      <c r="RNM33" s="127"/>
      <c r="RNN33" s="127"/>
      <c r="RNO33" s="127"/>
      <c r="RNP33" s="127"/>
      <c r="RNQ33" s="127"/>
      <c r="RNR33" s="127"/>
      <c r="RNS33" s="127"/>
      <c r="RNT33" s="127"/>
      <c r="RNU33" s="127"/>
      <c r="RNV33" s="127"/>
      <c r="RNW33" s="127"/>
      <c r="RNX33" s="127"/>
      <c r="RNY33" s="127"/>
      <c r="RNZ33" s="127"/>
      <c r="ROA33" s="127"/>
      <c r="ROB33" s="127"/>
      <c r="ROC33" s="127"/>
      <c r="ROD33" s="127"/>
      <c r="ROE33" s="127"/>
      <c r="ROF33" s="127"/>
      <c r="ROG33" s="127"/>
      <c r="ROH33" s="127"/>
      <c r="ROI33" s="127"/>
      <c r="ROJ33" s="127"/>
      <c r="ROK33" s="127"/>
      <c r="ROL33" s="127"/>
      <c r="ROM33" s="127"/>
      <c r="RON33" s="127"/>
      <c r="ROO33" s="127"/>
      <c r="ROP33" s="127"/>
      <c r="ROQ33" s="127"/>
      <c r="ROR33" s="127"/>
      <c r="ROS33" s="127"/>
      <c r="ROT33" s="127"/>
      <c r="ROU33" s="127"/>
      <c r="ROV33" s="127"/>
      <c r="ROW33" s="127"/>
      <c r="ROX33" s="127"/>
      <c r="ROY33" s="127"/>
      <c r="ROZ33" s="127"/>
      <c r="RPA33" s="127"/>
      <c r="RPB33" s="127"/>
      <c r="RPC33" s="127"/>
      <c r="RPD33" s="127"/>
      <c r="RPE33" s="127"/>
      <c r="RPF33" s="127"/>
      <c r="RPG33" s="127"/>
      <c r="RPH33" s="127"/>
      <c r="RPI33" s="127"/>
      <c r="RPJ33" s="127"/>
      <c r="RPK33" s="127"/>
      <c r="RPL33" s="127"/>
      <c r="RPM33" s="127"/>
      <c r="RPN33" s="127"/>
      <c r="RPO33" s="127"/>
      <c r="RPP33" s="127"/>
      <c r="RPQ33" s="127"/>
      <c r="RPR33" s="127"/>
      <c r="RPS33" s="127"/>
      <c r="RPT33" s="127"/>
      <c r="RPU33" s="127"/>
      <c r="RPV33" s="127"/>
      <c r="RPW33" s="127"/>
      <c r="RPX33" s="127"/>
      <c r="RPY33" s="127"/>
      <c r="RPZ33" s="127"/>
      <c r="RQA33" s="127"/>
      <c r="RQB33" s="127"/>
      <c r="RQC33" s="127"/>
      <c r="RQD33" s="127"/>
      <c r="RQE33" s="127"/>
      <c r="RQF33" s="127"/>
      <c r="RQG33" s="127"/>
      <c r="RQH33" s="127"/>
      <c r="RQI33" s="127"/>
      <c r="RQJ33" s="127"/>
      <c r="RQK33" s="127"/>
      <c r="RQL33" s="127"/>
      <c r="RQM33" s="127"/>
      <c r="RQN33" s="127"/>
      <c r="RQO33" s="127"/>
      <c r="RQP33" s="127"/>
      <c r="RQQ33" s="127"/>
      <c r="RQR33" s="127"/>
      <c r="RQS33" s="127"/>
      <c r="RQT33" s="127"/>
      <c r="RQU33" s="127"/>
      <c r="RQV33" s="127"/>
      <c r="RQW33" s="127"/>
      <c r="RQX33" s="127"/>
      <c r="RQY33" s="127"/>
      <c r="RQZ33" s="127"/>
      <c r="RRA33" s="127"/>
      <c r="RRB33" s="127"/>
      <c r="RRC33" s="127"/>
      <c r="RRD33" s="127"/>
      <c r="RRE33" s="127"/>
      <c r="RRF33" s="127"/>
      <c r="RRG33" s="127"/>
      <c r="RRH33" s="127"/>
      <c r="RRI33" s="127"/>
      <c r="RRJ33" s="127"/>
      <c r="RRK33" s="127"/>
      <c r="RRL33" s="127"/>
      <c r="RRM33" s="127"/>
      <c r="RRN33" s="127"/>
      <c r="RRO33" s="127"/>
      <c r="RRP33" s="127"/>
      <c r="RRQ33" s="127"/>
      <c r="RRR33" s="127"/>
      <c r="RRS33" s="127"/>
      <c r="RRT33" s="127"/>
      <c r="RRU33" s="127"/>
      <c r="RRV33" s="127"/>
      <c r="RRW33" s="127"/>
      <c r="RRX33" s="127"/>
      <c r="RRY33" s="127"/>
      <c r="RRZ33" s="127"/>
      <c r="RSA33" s="127"/>
      <c r="RSB33" s="127"/>
      <c r="RSC33" s="127"/>
      <c r="RSD33" s="127"/>
      <c r="RSE33" s="127"/>
      <c r="RSF33" s="127"/>
      <c r="RSG33" s="127"/>
      <c r="RSH33" s="127"/>
      <c r="RSI33" s="127"/>
      <c r="RSJ33" s="127"/>
      <c r="RSK33" s="127"/>
      <c r="RSL33" s="127"/>
      <c r="RSM33" s="127"/>
      <c r="RSN33" s="127"/>
      <c r="RSO33" s="127"/>
      <c r="RSP33" s="127"/>
      <c r="RSQ33" s="127"/>
      <c r="RSR33" s="127"/>
      <c r="RSS33" s="127"/>
      <c r="RST33" s="127"/>
      <c r="RSU33" s="127"/>
      <c r="RSV33" s="127"/>
      <c r="RSW33" s="127"/>
      <c r="RSX33" s="127"/>
      <c r="RSY33" s="127"/>
      <c r="RSZ33" s="127"/>
      <c r="RTA33" s="127"/>
      <c r="RTB33" s="127"/>
      <c r="RTC33" s="127"/>
      <c r="RTD33" s="127"/>
      <c r="RTE33" s="127"/>
      <c r="RTF33" s="127"/>
      <c r="RTG33" s="127"/>
      <c r="RTH33" s="127"/>
      <c r="RTI33" s="127"/>
      <c r="RTJ33" s="127"/>
      <c r="RTK33" s="127"/>
      <c r="RTL33" s="127"/>
      <c r="RTM33" s="127"/>
      <c r="RTN33" s="127"/>
      <c r="RTO33" s="127"/>
      <c r="RTP33" s="127"/>
      <c r="RTQ33" s="127"/>
      <c r="RTR33" s="127"/>
      <c r="RTS33" s="127"/>
      <c r="RTT33" s="127"/>
      <c r="RTU33" s="127"/>
      <c r="RTV33" s="127"/>
      <c r="RTW33" s="127"/>
      <c r="RTX33" s="127"/>
      <c r="RTY33" s="127"/>
      <c r="RTZ33" s="127"/>
      <c r="RUA33" s="127"/>
      <c r="RUB33" s="127"/>
      <c r="RUC33" s="127"/>
      <c r="RUD33" s="127"/>
      <c r="RUE33" s="127"/>
      <c r="RUF33" s="127"/>
      <c r="RUG33" s="127"/>
      <c r="RUH33" s="127"/>
      <c r="RUI33" s="127"/>
      <c r="RUJ33" s="127"/>
      <c r="RUK33" s="127"/>
      <c r="RUL33" s="127"/>
      <c r="RUM33" s="127"/>
      <c r="RUN33" s="127"/>
      <c r="RUO33" s="127"/>
      <c r="RUP33" s="127"/>
      <c r="RUQ33" s="127"/>
      <c r="RUR33" s="127"/>
      <c r="RUS33" s="127"/>
      <c r="RUT33" s="127"/>
      <c r="RUU33" s="127"/>
      <c r="RUV33" s="127"/>
      <c r="RUW33" s="127"/>
      <c r="RUX33" s="127"/>
      <c r="RUY33" s="127"/>
      <c r="RUZ33" s="127"/>
      <c r="RVA33" s="127"/>
      <c r="RVB33" s="127"/>
      <c r="RVC33" s="127"/>
      <c r="RVD33" s="127"/>
      <c r="RVE33" s="127"/>
      <c r="RVF33" s="127"/>
      <c r="RVG33" s="127"/>
      <c r="RVH33" s="127"/>
      <c r="RVI33" s="127"/>
      <c r="RVJ33" s="127"/>
      <c r="RVK33" s="127"/>
      <c r="RVL33" s="127"/>
      <c r="RVM33" s="127"/>
      <c r="RVN33" s="127"/>
      <c r="RVO33" s="127"/>
      <c r="RVP33" s="127"/>
      <c r="RVQ33" s="127"/>
      <c r="RVR33" s="127"/>
      <c r="RVS33" s="127"/>
      <c r="RVT33" s="127"/>
      <c r="RVU33" s="127"/>
      <c r="RVV33" s="127"/>
      <c r="RVW33" s="127"/>
      <c r="RVX33" s="127"/>
      <c r="RVY33" s="127"/>
      <c r="RVZ33" s="127"/>
      <c r="RWA33" s="127"/>
      <c r="RWB33" s="127"/>
      <c r="RWC33" s="127"/>
      <c r="RWD33" s="127"/>
      <c r="RWE33" s="127"/>
      <c r="RWF33" s="127"/>
      <c r="RWG33" s="127"/>
      <c r="RWH33" s="127"/>
      <c r="RWI33" s="127"/>
      <c r="RWJ33" s="127"/>
      <c r="RWK33" s="127"/>
      <c r="RWL33" s="127"/>
      <c r="RWM33" s="127"/>
      <c r="RWN33" s="127"/>
      <c r="RWO33" s="127"/>
      <c r="RWP33" s="127"/>
      <c r="RWQ33" s="127"/>
      <c r="RWR33" s="127"/>
      <c r="RWS33" s="127"/>
      <c r="RWT33" s="127"/>
      <c r="RWU33" s="127"/>
      <c r="RWV33" s="127"/>
      <c r="RWW33" s="127"/>
      <c r="RWX33" s="127"/>
      <c r="RWY33" s="127"/>
      <c r="RWZ33" s="127"/>
      <c r="RXA33" s="127"/>
      <c r="RXB33" s="127"/>
      <c r="RXC33" s="127"/>
      <c r="RXD33" s="127"/>
      <c r="RXE33" s="127"/>
      <c r="RXF33" s="127"/>
      <c r="RXG33" s="127"/>
      <c r="RXH33" s="127"/>
      <c r="RXI33" s="127"/>
      <c r="RXJ33" s="127"/>
      <c r="RXK33" s="127"/>
      <c r="RXL33" s="127"/>
      <c r="RXM33" s="127"/>
      <c r="RXN33" s="127"/>
      <c r="RXO33" s="127"/>
      <c r="RXP33" s="127"/>
      <c r="RXQ33" s="127"/>
      <c r="RXR33" s="127"/>
      <c r="RXS33" s="127"/>
      <c r="RXT33" s="127"/>
      <c r="RXU33" s="127"/>
      <c r="RXV33" s="127"/>
      <c r="RXW33" s="127"/>
      <c r="RXX33" s="127"/>
      <c r="RXY33" s="127"/>
      <c r="RXZ33" s="127"/>
      <c r="RYA33" s="127"/>
      <c r="RYB33" s="127"/>
      <c r="RYC33" s="127"/>
      <c r="RYD33" s="127"/>
      <c r="RYE33" s="127"/>
      <c r="RYF33" s="127"/>
      <c r="RYG33" s="127"/>
      <c r="RYH33" s="127"/>
      <c r="RYI33" s="127"/>
      <c r="RYJ33" s="127"/>
      <c r="RYK33" s="127"/>
      <c r="RYL33" s="127"/>
      <c r="RYM33" s="127"/>
      <c r="RYN33" s="127"/>
      <c r="RYO33" s="127"/>
      <c r="RYP33" s="127"/>
      <c r="RYQ33" s="127"/>
      <c r="RYR33" s="127"/>
      <c r="RYS33" s="127"/>
      <c r="RYT33" s="127"/>
      <c r="RYU33" s="127"/>
      <c r="RYV33" s="127"/>
      <c r="RYW33" s="127"/>
      <c r="RYX33" s="127"/>
      <c r="RYY33" s="127"/>
      <c r="RYZ33" s="127"/>
      <c r="RZA33" s="127"/>
      <c r="RZB33" s="127"/>
      <c r="RZC33" s="127"/>
      <c r="RZD33" s="127"/>
      <c r="RZE33" s="127"/>
      <c r="RZF33" s="127"/>
      <c r="RZG33" s="127"/>
      <c r="RZH33" s="127"/>
      <c r="RZI33" s="127"/>
      <c r="RZJ33" s="127"/>
      <c r="RZK33" s="127"/>
      <c r="RZL33" s="127"/>
      <c r="RZM33" s="127"/>
      <c r="RZN33" s="127"/>
      <c r="RZO33" s="127"/>
      <c r="RZP33" s="127"/>
      <c r="RZQ33" s="127"/>
      <c r="RZR33" s="127"/>
      <c r="RZS33" s="127"/>
      <c r="RZT33" s="127"/>
      <c r="RZU33" s="127"/>
      <c r="RZV33" s="127"/>
      <c r="RZW33" s="127"/>
      <c r="RZX33" s="127"/>
      <c r="RZY33" s="127"/>
      <c r="RZZ33" s="127"/>
      <c r="SAA33" s="127"/>
      <c r="SAB33" s="127"/>
      <c r="SAC33" s="127"/>
      <c r="SAD33" s="127"/>
      <c r="SAE33" s="127"/>
      <c r="SAF33" s="127"/>
      <c r="SAG33" s="127"/>
      <c r="SAH33" s="127"/>
      <c r="SAI33" s="127"/>
      <c r="SAJ33" s="127"/>
      <c r="SAK33" s="127"/>
      <c r="SAL33" s="127"/>
      <c r="SAM33" s="127"/>
      <c r="SAN33" s="127"/>
      <c r="SAO33" s="127"/>
      <c r="SAP33" s="127"/>
      <c r="SAQ33" s="127"/>
      <c r="SAR33" s="127"/>
      <c r="SAS33" s="127"/>
      <c r="SAT33" s="127"/>
      <c r="SAU33" s="127"/>
      <c r="SAV33" s="127"/>
      <c r="SAW33" s="127"/>
      <c r="SAX33" s="127"/>
      <c r="SAY33" s="127"/>
      <c r="SAZ33" s="127"/>
      <c r="SBA33" s="127"/>
      <c r="SBB33" s="127"/>
      <c r="SBC33" s="127"/>
      <c r="SBD33" s="127"/>
      <c r="SBE33" s="127"/>
      <c r="SBF33" s="127"/>
      <c r="SBG33" s="127"/>
      <c r="SBH33" s="127"/>
      <c r="SBI33" s="127"/>
      <c r="SBJ33" s="127"/>
      <c r="SBK33" s="127"/>
      <c r="SBL33" s="127"/>
      <c r="SBM33" s="127"/>
      <c r="SBN33" s="127"/>
      <c r="SBO33" s="127"/>
      <c r="SBP33" s="127"/>
      <c r="SBQ33" s="127"/>
      <c r="SBR33" s="127"/>
      <c r="SBS33" s="127"/>
      <c r="SBT33" s="127"/>
      <c r="SBU33" s="127"/>
      <c r="SBV33" s="127"/>
      <c r="SBW33" s="127"/>
      <c r="SBX33" s="127"/>
      <c r="SBY33" s="127"/>
      <c r="SBZ33" s="127"/>
      <c r="SCA33" s="127"/>
      <c r="SCB33" s="127"/>
      <c r="SCC33" s="127"/>
      <c r="SCD33" s="127"/>
      <c r="SCE33" s="127"/>
      <c r="SCF33" s="127"/>
      <c r="SCG33" s="127"/>
      <c r="SCH33" s="127"/>
      <c r="SCI33" s="127"/>
      <c r="SCJ33" s="127"/>
      <c r="SCK33" s="127"/>
      <c r="SCL33" s="127"/>
      <c r="SCM33" s="127"/>
      <c r="SCN33" s="127"/>
      <c r="SCO33" s="127"/>
      <c r="SCP33" s="127"/>
      <c r="SCQ33" s="127"/>
      <c r="SCR33" s="127"/>
      <c r="SCS33" s="127"/>
      <c r="SCT33" s="127"/>
      <c r="SCU33" s="127"/>
      <c r="SCV33" s="127"/>
      <c r="SCW33" s="127"/>
      <c r="SCX33" s="127"/>
      <c r="SCY33" s="127"/>
      <c r="SCZ33" s="127"/>
      <c r="SDA33" s="127"/>
      <c r="SDB33" s="127"/>
      <c r="SDC33" s="127"/>
      <c r="SDD33" s="127"/>
      <c r="SDE33" s="127"/>
      <c r="SDF33" s="127"/>
      <c r="SDG33" s="127"/>
      <c r="SDH33" s="127"/>
      <c r="SDI33" s="127"/>
      <c r="SDJ33" s="127"/>
      <c r="SDK33" s="127"/>
      <c r="SDL33" s="127"/>
      <c r="SDM33" s="127"/>
      <c r="SDN33" s="127"/>
      <c r="SDO33" s="127"/>
      <c r="SDP33" s="127"/>
      <c r="SDQ33" s="127"/>
      <c r="SDR33" s="127"/>
      <c r="SDS33" s="127"/>
      <c r="SDT33" s="127"/>
      <c r="SDU33" s="127"/>
      <c r="SDV33" s="127"/>
      <c r="SDW33" s="127"/>
      <c r="SDX33" s="127"/>
      <c r="SDY33" s="127"/>
      <c r="SDZ33" s="127"/>
      <c r="SEA33" s="127"/>
      <c r="SEB33" s="127"/>
      <c r="SEC33" s="127"/>
      <c r="SED33" s="127"/>
      <c r="SEE33" s="127"/>
      <c r="SEF33" s="127"/>
      <c r="SEG33" s="127"/>
      <c r="SEH33" s="127"/>
      <c r="SEI33" s="127"/>
      <c r="SEJ33" s="127"/>
      <c r="SEK33" s="127"/>
      <c r="SEL33" s="127"/>
      <c r="SEM33" s="127"/>
      <c r="SEN33" s="127"/>
      <c r="SEO33" s="127"/>
      <c r="SEP33" s="127"/>
      <c r="SEQ33" s="127"/>
      <c r="SER33" s="127"/>
      <c r="SES33" s="127"/>
      <c r="SET33" s="127"/>
      <c r="SEU33" s="127"/>
      <c r="SEV33" s="127"/>
      <c r="SEW33" s="127"/>
      <c r="SEX33" s="127"/>
      <c r="SEY33" s="127"/>
      <c r="SEZ33" s="127"/>
      <c r="SFA33" s="127"/>
      <c r="SFB33" s="127"/>
      <c r="SFC33" s="127"/>
      <c r="SFD33" s="127"/>
      <c r="SFE33" s="127"/>
      <c r="SFF33" s="127"/>
      <c r="SFG33" s="127"/>
      <c r="SFH33" s="127"/>
      <c r="SFI33" s="127"/>
      <c r="SFJ33" s="127"/>
      <c r="SFK33" s="127"/>
      <c r="SFL33" s="127"/>
      <c r="SFM33" s="127"/>
      <c r="SFN33" s="127"/>
      <c r="SFO33" s="127"/>
      <c r="SFP33" s="127"/>
      <c r="SFQ33" s="127"/>
      <c r="SFR33" s="127"/>
      <c r="SFS33" s="127"/>
      <c r="SFT33" s="127"/>
      <c r="SFU33" s="127"/>
      <c r="SFV33" s="127"/>
      <c r="SFW33" s="127"/>
      <c r="SFX33" s="127"/>
      <c r="SFY33" s="127"/>
      <c r="SFZ33" s="127"/>
      <c r="SGA33" s="127"/>
      <c r="SGB33" s="127"/>
      <c r="SGC33" s="127"/>
      <c r="SGD33" s="127"/>
      <c r="SGE33" s="127"/>
      <c r="SGF33" s="127"/>
      <c r="SGG33" s="127"/>
      <c r="SGH33" s="127"/>
      <c r="SGI33" s="127"/>
      <c r="SGJ33" s="127"/>
      <c r="SGK33" s="127"/>
      <c r="SGL33" s="127"/>
      <c r="SGM33" s="127"/>
      <c r="SGN33" s="127"/>
      <c r="SGO33" s="127"/>
      <c r="SGP33" s="127"/>
      <c r="SGQ33" s="127"/>
      <c r="SGR33" s="127"/>
      <c r="SGS33" s="127"/>
      <c r="SGT33" s="127"/>
      <c r="SGU33" s="127"/>
      <c r="SGV33" s="127"/>
      <c r="SGW33" s="127"/>
      <c r="SGX33" s="127"/>
      <c r="SGY33" s="127"/>
      <c r="SGZ33" s="127"/>
      <c r="SHA33" s="127"/>
      <c r="SHB33" s="127"/>
      <c r="SHC33" s="127"/>
      <c r="SHD33" s="127"/>
      <c r="SHE33" s="127"/>
      <c r="SHF33" s="127"/>
      <c r="SHG33" s="127"/>
      <c r="SHH33" s="127"/>
      <c r="SHI33" s="127"/>
      <c r="SHJ33" s="127"/>
      <c r="SHK33" s="127"/>
      <c r="SHL33" s="127"/>
      <c r="SHM33" s="127"/>
      <c r="SHN33" s="127"/>
      <c r="SHO33" s="127"/>
      <c r="SHP33" s="127"/>
      <c r="SHQ33" s="127"/>
      <c r="SHR33" s="127"/>
      <c r="SHS33" s="127"/>
      <c r="SHT33" s="127"/>
      <c r="SHU33" s="127"/>
      <c r="SHV33" s="127"/>
      <c r="SHW33" s="127"/>
      <c r="SHX33" s="127"/>
      <c r="SHY33" s="127"/>
      <c r="SHZ33" s="127"/>
      <c r="SIA33" s="127"/>
      <c r="SIB33" s="127"/>
      <c r="SIC33" s="127"/>
      <c r="SID33" s="127"/>
      <c r="SIE33" s="127"/>
      <c r="SIF33" s="127"/>
      <c r="SIG33" s="127"/>
      <c r="SIH33" s="127"/>
      <c r="SII33" s="127"/>
      <c r="SIJ33" s="127"/>
      <c r="SIK33" s="127"/>
      <c r="SIL33" s="127"/>
      <c r="SIM33" s="127"/>
      <c r="SIN33" s="127"/>
      <c r="SIO33" s="127"/>
      <c r="SIP33" s="127"/>
      <c r="SIQ33" s="127"/>
      <c r="SIR33" s="127"/>
      <c r="SIS33" s="127"/>
      <c r="SIT33" s="127"/>
      <c r="SIU33" s="127"/>
      <c r="SIV33" s="127"/>
      <c r="SIW33" s="127"/>
      <c r="SIX33" s="127"/>
      <c r="SIY33" s="127"/>
      <c r="SIZ33" s="127"/>
      <c r="SJA33" s="127"/>
      <c r="SJB33" s="127"/>
      <c r="SJC33" s="127"/>
      <c r="SJD33" s="127"/>
      <c r="SJE33" s="127"/>
      <c r="SJF33" s="127"/>
      <c r="SJG33" s="127"/>
      <c r="SJH33" s="127"/>
      <c r="SJI33" s="127"/>
      <c r="SJJ33" s="127"/>
      <c r="SJK33" s="127"/>
      <c r="SJL33" s="127"/>
      <c r="SJM33" s="127"/>
      <c r="SJN33" s="127"/>
      <c r="SJO33" s="127"/>
      <c r="SJP33" s="127"/>
      <c r="SJQ33" s="127"/>
      <c r="SJR33" s="127"/>
      <c r="SJS33" s="127"/>
      <c r="SJT33" s="127"/>
      <c r="SJU33" s="127"/>
      <c r="SJV33" s="127"/>
      <c r="SJW33" s="127"/>
      <c r="SJX33" s="127"/>
      <c r="SJY33" s="127"/>
      <c r="SJZ33" s="127"/>
      <c r="SKA33" s="127"/>
      <c r="SKB33" s="127"/>
      <c r="SKC33" s="127"/>
      <c r="SKD33" s="127"/>
      <c r="SKE33" s="127"/>
      <c r="SKF33" s="127"/>
      <c r="SKG33" s="127"/>
      <c r="SKH33" s="127"/>
      <c r="SKI33" s="127"/>
      <c r="SKJ33" s="127"/>
      <c r="SKK33" s="127"/>
      <c r="SKL33" s="127"/>
      <c r="SKM33" s="127"/>
      <c r="SKN33" s="127"/>
      <c r="SKO33" s="127"/>
      <c r="SKP33" s="127"/>
      <c r="SKQ33" s="127"/>
      <c r="SKR33" s="127"/>
      <c r="SKS33" s="127"/>
      <c r="SKT33" s="127"/>
      <c r="SKU33" s="127"/>
      <c r="SKV33" s="127"/>
      <c r="SKW33" s="127"/>
      <c r="SKX33" s="127"/>
      <c r="SKY33" s="127"/>
      <c r="SKZ33" s="127"/>
      <c r="SLA33" s="127"/>
      <c r="SLB33" s="127"/>
      <c r="SLC33" s="127"/>
      <c r="SLD33" s="127"/>
      <c r="SLE33" s="127"/>
      <c r="SLF33" s="127"/>
      <c r="SLG33" s="127"/>
      <c r="SLH33" s="127"/>
      <c r="SLI33" s="127"/>
      <c r="SLJ33" s="127"/>
      <c r="SLK33" s="127"/>
      <c r="SLL33" s="127"/>
      <c r="SLM33" s="127"/>
      <c r="SLN33" s="127"/>
      <c r="SLO33" s="127"/>
      <c r="SLP33" s="127"/>
      <c r="SLQ33" s="127"/>
      <c r="SLR33" s="127"/>
      <c r="SLS33" s="127"/>
      <c r="SLT33" s="127"/>
      <c r="SLU33" s="127"/>
      <c r="SLV33" s="127"/>
      <c r="SLW33" s="127"/>
      <c r="SLX33" s="127"/>
      <c r="SLY33" s="127"/>
      <c r="SLZ33" s="127"/>
      <c r="SMA33" s="127"/>
      <c r="SMB33" s="127"/>
      <c r="SMC33" s="127"/>
      <c r="SMD33" s="127"/>
      <c r="SME33" s="127"/>
      <c r="SMF33" s="127"/>
      <c r="SMG33" s="127"/>
      <c r="SMH33" s="127"/>
      <c r="SMI33" s="127"/>
      <c r="SMJ33" s="127"/>
      <c r="SMK33" s="127"/>
      <c r="SML33" s="127"/>
      <c r="SMM33" s="127"/>
      <c r="SMN33" s="127"/>
      <c r="SMO33" s="127"/>
      <c r="SMP33" s="127"/>
      <c r="SMQ33" s="127"/>
      <c r="SMR33" s="127"/>
      <c r="SMS33" s="127"/>
      <c r="SMT33" s="127"/>
      <c r="SMU33" s="127"/>
      <c r="SMV33" s="127"/>
      <c r="SMW33" s="127"/>
      <c r="SMX33" s="127"/>
      <c r="SMY33" s="127"/>
      <c r="SMZ33" s="127"/>
      <c r="SNA33" s="127"/>
      <c r="SNB33" s="127"/>
      <c r="SNC33" s="127"/>
      <c r="SND33" s="127"/>
      <c r="SNE33" s="127"/>
      <c r="SNF33" s="127"/>
      <c r="SNG33" s="127"/>
      <c r="SNH33" s="127"/>
      <c r="SNI33" s="127"/>
      <c r="SNJ33" s="127"/>
      <c r="SNK33" s="127"/>
      <c r="SNL33" s="127"/>
      <c r="SNM33" s="127"/>
      <c r="SNN33" s="127"/>
      <c r="SNO33" s="127"/>
      <c r="SNP33" s="127"/>
      <c r="SNQ33" s="127"/>
      <c r="SNR33" s="127"/>
      <c r="SNS33" s="127"/>
      <c r="SNT33" s="127"/>
      <c r="SNU33" s="127"/>
      <c r="SNV33" s="127"/>
      <c r="SNW33" s="127"/>
      <c r="SNX33" s="127"/>
      <c r="SNY33" s="127"/>
      <c r="SNZ33" s="127"/>
      <c r="SOA33" s="127"/>
      <c r="SOB33" s="127"/>
      <c r="SOC33" s="127"/>
      <c r="SOD33" s="127"/>
      <c r="SOE33" s="127"/>
      <c r="SOF33" s="127"/>
      <c r="SOG33" s="127"/>
      <c r="SOH33" s="127"/>
      <c r="SOI33" s="127"/>
      <c r="SOJ33" s="127"/>
      <c r="SOK33" s="127"/>
      <c r="SOL33" s="127"/>
      <c r="SOM33" s="127"/>
      <c r="SON33" s="127"/>
      <c r="SOO33" s="127"/>
      <c r="SOP33" s="127"/>
      <c r="SOQ33" s="127"/>
      <c r="SOR33" s="127"/>
      <c r="SOS33" s="127"/>
      <c r="SOT33" s="127"/>
      <c r="SOU33" s="127"/>
      <c r="SOV33" s="127"/>
      <c r="SOW33" s="127"/>
      <c r="SOX33" s="127"/>
      <c r="SOY33" s="127"/>
      <c r="SOZ33" s="127"/>
      <c r="SPA33" s="127"/>
      <c r="SPB33" s="127"/>
      <c r="SPC33" s="127"/>
      <c r="SPD33" s="127"/>
      <c r="SPE33" s="127"/>
      <c r="SPF33" s="127"/>
      <c r="SPG33" s="127"/>
      <c r="SPH33" s="127"/>
      <c r="SPI33" s="127"/>
      <c r="SPJ33" s="127"/>
      <c r="SPK33" s="127"/>
      <c r="SPL33" s="127"/>
      <c r="SPM33" s="127"/>
      <c r="SPN33" s="127"/>
      <c r="SPO33" s="127"/>
      <c r="SPP33" s="127"/>
      <c r="SPQ33" s="127"/>
      <c r="SPR33" s="127"/>
      <c r="SPS33" s="127"/>
      <c r="SPT33" s="127"/>
      <c r="SPU33" s="127"/>
      <c r="SPV33" s="127"/>
      <c r="SPW33" s="127"/>
      <c r="SPX33" s="127"/>
      <c r="SPY33" s="127"/>
      <c r="SPZ33" s="127"/>
      <c r="SQA33" s="127"/>
      <c r="SQB33" s="127"/>
      <c r="SQC33" s="127"/>
      <c r="SQD33" s="127"/>
      <c r="SQE33" s="127"/>
      <c r="SQF33" s="127"/>
      <c r="SQG33" s="127"/>
      <c r="SQH33" s="127"/>
      <c r="SQI33" s="127"/>
      <c r="SQJ33" s="127"/>
      <c r="SQK33" s="127"/>
      <c r="SQL33" s="127"/>
      <c r="SQM33" s="127"/>
      <c r="SQN33" s="127"/>
      <c r="SQO33" s="127"/>
      <c r="SQP33" s="127"/>
      <c r="SQQ33" s="127"/>
      <c r="SQR33" s="127"/>
      <c r="SQS33" s="127"/>
      <c r="SQT33" s="127"/>
      <c r="SQU33" s="127"/>
      <c r="SQV33" s="127"/>
      <c r="SQW33" s="127"/>
      <c r="SQX33" s="127"/>
      <c r="SQY33" s="127"/>
      <c r="SQZ33" s="127"/>
      <c r="SRA33" s="127"/>
      <c r="SRB33" s="127"/>
      <c r="SRC33" s="127"/>
      <c r="SRD33" s="127"/>
      <c r="SRE33" s="127"/>
      <c r="SRF33" s="127"/>
      <c r="SRG33" s="127"/>
      <c r="SRH33" s="127"/>
      <c r="SRI33" s="127"/>
      <c r="SRJ33" s="127"/>
      <c r="SRK33" s="127"/>
      <c r="SRL33" s="127"/>
      <c r="SRM33" s="127"/>
      <c r="SRN33" s="127"/>
      <c r="SRO33" s="127"/>
      <c r="SRP33" s="127"/>
      <c r="SRQ33" s="127"/>
      <c r="SRR33" s="127"/>
      <c r="SRS33" s="127"/>
      <c r="SRT33" s="127"/>
      <c r="SRU33" s="127"/>
      <c r="SRV33" s="127"/>
      <c r="SRW33" s="127"/>
      <c r="SRX33" s="127"/>
      <c r="SRY33" s="127"/>
      <c r="SRZ33" s="127"/>
      <c r="SSA33" s="127"/>
      <c r="SSB33" s="127"/>
      <c r="SSC33" s="127"/>
      <c r="SSD33" s="127"/>
      <c r="SSE33" s="127"/>
      <c r="SSF33" s="127"/>
      <c r="SSG33" s="127"/>
      <c r="SSH33" s="127"/>
      <c r="SSI33" s="127"/>
      <c r="SSJ33" s="127"/>
      <c r="SSK33" s="127"/>
      <c r="SSL33" s="127"/>
      <c r="SSM33" s="127"/>
      <c r="SSN33" s="127"/>
      <c r="SSO33" s="127"/>
      <c r="SSP33" s="127"/>
      <c r="SSQ33" s="127"/>
      <c r="SSR33" s="127"/>
      <c r="SSS33" s="127"/>
      <c r="SST33" s="127"/>
      <c r="SSU33" s="127"/>
      <c r="SSV33" s="127"/>
      <c r="SSW33" s="127"/>
      <c r="SSX33" s="127"/>
      <c r="SSY33" s="127"/>
      <c r="SSZ33" s="127"/>
      <c r="STA33" s="127"/>
      <c r="STB33" s="127"/>
      <c r="STC33" s="127"/>
      <c r="STD33" s="127"/>
      <c r="STE33" s="127"/>
      <c r="STF33" s="127"/>
      <c r="STG33" s="127"/>
      <c r="STH33" s="127"/>
      <c r="STI33" s="127"/>
      <c r="STJ33" s="127"/>
      <c r="STK33" s="127"/>
      <c r="STL33" s="127"/>
      <c r="STM33" s="127"/>
      <c r="STN33" s="127"/>
      <c r="STO33" s="127"/>
      <c r="STP33" s="127"/>
      <c r="STQ33" s="127"/>
      <c r="STR33" s="127"/>
      <c r="STS33" s="127"/>
      <c r="STT33" s="127"/>
      <c r="STU33" s="127"/>
      <c r="STV33" s="127"/>
      <c r="STW33" s="127"/>
      <c r="STX33" s="127"/>
      <c r="STY33" s="127"/>
      <c r="STZ33" s="127"/>
      <c r="SUA33" s="127"/>
      <c r="SUB33" s="127"/>
      <c r="SUC33" s="127"/>
      <c r="SUD33" s="127"/>
      <c r="SUE33" s="127"/>
      <c r="SUF33" s="127"/>
      <c r="SUG33" s="127"/>
      <c r="SUH33" s="127"/>
      <c r="SUI33" s="127"/>
      <c r="SUJ33" s="127"/>
      <c r="SUK33" s="127"/>
      <c r="SUL33" s="127"/>
      <c r="SUM33" s="127"/>
      <c r="SUN33" s="127"/>
      <c r="SUO33" s="127"/>
      <c r="SUP33" s="127"/>
      <c r="SUQ33" s="127"/>
      <c r="SUR33" s="127"/>
      <c r="SUS33" s="127"/>
      <c r="SUT33" s="127"/>
      <c r="SUU33" s="127"/>
      <c r="SUV33" s="127"/>
      <c r="SUW33" s="127"/>
      <c r="SUX33" s="127"/>
      <c r="SUY33" s="127"/>
      <c r="SUZ33" s="127"/>
      <c r="SVA33" s="127"/>
      <c r="SVB33" s="127"/>
      <c r="SVC33" s="127"/>
      <c r="SVD33" s="127"/>
      <c r="SVE33" s="127"/>
      <c r="SVF33" s="127"/>
      <c r="SVG33" s="127"/>
      <c r="SVH33" s="127"/>
      <c r="SVI33" s="127"/>
      <c r="SVJ33" s="127"/>
      <c r="SVK33" s="127"/>
      <c r="SVL33" s="127"/>
      <c r="SVM33" s="127"/>
      <c r="SVN33" s="127"/>
      <c r="SVO33" s="127"/>
      <c r="SVP33" s="127"/>
      <c r="SVQ33" s="127"/>
      <c r="SVR33" s="127"/>
      <c r="SVS33" s="127"/>
      <c r="SVT33" s="127"/>
      <c r="SVU33" s="127"/>
      <c r="SVV33" s="127"/>
      <c r="SVW33" s="127"/>
      <c r="SVX33" s="127"/>
      <c r="SVY33" s="127"/>
      <c r="SVZ33" s="127"/>
      <c r="SWA33" s="127"/>
      <c r="SWB33" s="127"/>
      <c r="SWC33" s="127"/>
      <c r="SWD33" s="127"/>
      <c r="SWE33" s="127"/>
      <c r="SWF33" s="127"/>
      <c r="SWG33" s="127"/>
      <c r="SWH33" s="127"/>
      <c r="SWI33" s="127"/>
      <c r="SWJ33" s="127"/>
      <c r="SWK33" s="127"/>
      <c r="SWL33" s="127"/>
      <c r="SWM33" s="127"/>
      <c r="SWN33" s="127"/>
      <c r="SWO33" s="127"/>
      <c r="SWP33" s="127"/>
      <c r="SWQ33" s="127"/>
      <c r="SWR33" s="127"/>
      <c r="SWS33" s="127"/>
      <c r="SWT33" s="127"/>
      <c r="SWU33" s="127"/>
      <c r="SWV33" s="127"/>
      <c r="SWW33" s="127"/>
      <c r="SWX33" s="127"/>
      <c r="SWY33" s="127"/>
      <c r="SWZ33" s="127"/>
      <c r="SXA33" s="127"/>
      <c r="SXB33" s="127"/>
      <c r="SXC33" s="127"/>
      <c r="SXD33" s="127"/>
      <c r="SXE33" s="127"/>
      <c r="SXF33" s="127"/>
      <c r="SXG33" s="127"/>
      <c r="SXH33" s="127"/>
      <c r="SXI33" s="127"/>
      <c r="SXJ33" s="127"/>
      <c r="SXK33" s="127"/>
      <c r="SXL33" s="127"/>
      <c r="SXM33" s="127"/>
      <c r="SXN33" s="127"/>
      <c r="SXO33" s="127"/>
      <c r="SXP33" s="127"/>
      <c r="SXQ33" s="127"/>
      <c r="SXR33" s="127"/>
      <c r="SXS33" s="127"/>
      <c r="SXT33" s="127"/>
      <c r="SXU33" s="127"/>
      <c r="SXV33" s="127"/>
      <c r="SXW33" s="127"/>
      <c r="SXX33" s="127"/>
      <c r="SXY33" s="127"/>
      <c r="SXZ33" s="127"/>
      <c r="SYA33" s="127"/>
      <c r="SYB33" s="127"/>
      <c r="SYC33" s="127"/>
      <c r="SYD33" s="127"/>
      <c r="SYE33" s="127"/>
      <c r="SYF33" s="127"/>
      <c r="SYG33" s="127"/>
      <c r="SYH33" s="127"/>
      <c r="SYI33" s="127"/>
      <c r="SYJ33" s="127"/>
      <c r="SYK33" s="127"/>
      <c r="SYL33" s="127"/>
      <c r="SYM33" s="127"/>
      <c r="SYN33" s="127"/>
      <c r="SYO33" s="127"/>
      <c r="SYP33" s="127"/>
      <c r="SYQ33" s="127"/>
      <c r="SYR33" s="127"/>
      <c r="SYS33" s="127"/>
      <c r="SYT33" s="127"/>
      <c r="SYU33" s="127"/>
      <c r="SYV33" s="127"/>
      <c r="SYW33" s="127"/>
      <c r="SYX33" s="127"/>
      <c r="SYY33" s="127"/>
      <c r="SYZ33" s="127"/>
      <c r="SZA33" s="127"/>
      <c r="SZB33" s="127"/>
      <c r="SZC33" s="127"/>
      <c r="SZD33" s="127"/>
      <c r="SZE33" s="127"/>
      <c r="SZF33" s="127"/>
      <c r="SZG33" s="127"/>
      <c r="SZH33" s="127"/>
      <c r="SZI33" s="127"/>
      <c r="SZJ33" s="127"/>
      <c r="SZK33" s="127"/>
      <c r="SZL33" s="127"/>
      <c r="SZM33" s="127"/>
      <c r="SZN33" s="127"/>
      <c r="SZO33" s="127"/>
      <c r="SZP33" s="127"/>
      <c r="SZQ33" s="127"/>
      <c r="SZR33" s="127"/>
      <c r="SZS33" s="127"/>
      <c r="SZT33" s="127"/>
      <c r="SZU33" s="127"/>
      <c r="SZV33" s="127"/>
      <c r="SZW33" s="127"/>
      <c r="SZX33" s="127"/>
      <c r="SZY33" s="127"/>
      <c r="SZZ33" s="127"/>
      <c r="TAA33" s="127"/>
      <c r="TAB33" s="127"/>
      <c r="TAC33" s="127"/>
      <c r="TAD33" s="127"/>
      <c r="TAE33" s="127"/>
      <c r="TAF33" s="127"/>
      <c r="TAG33" s="127"/>
      <c r="TAH33" s="127"/>
      <c r="TAI33" s="127"/>
      <c r="TAJ33" s="127"/>
      <c r="TAK33" s="127"/>
      <c r="TAL33" s="127"/>
      <c r="TAM33" s="127"/>
      <c r="TAN33" s="127"/>
      <c r="TAO33" s="127"/>
      <c r="TAP33" s="127"/>
      <c r="TAQ33" s="127"/>
      <c r="TAR33" s="127"/>
      <c r="TAS33" s="127"/>
      <c r="TAT33" s="127"/>
      <c r="TAU33" s="127"/>
      <c r="TAV33" s="127"/>
      <c r="TAW33" s="127"/>
      <c r="TAX33" s="127"/>
      <c r="TAY33" s="127"/>
      <c r="TAZ33" s="127"/>
      <c r="TBA33" s="127"/>
      <c r="TBB33" s="127"/>
      <c r="TBC33" s="127"/>
      <c r="TBD33" s="127"/>
      <c r="TBE33" s="127"/>
      <c r="TBF33" s="127"/>
      <c r="TBG33" s="127"/>
      <c r="TBH33" s="127"/>
      <c r="TBI33" s="127"/>
      <c r="TBJ33" s="127"/>
      <c r="TBK33" s="127"/>
      <c r="TBL33" s="127"/>
      <c r="TBM33" s="127"/>
      <c r="TBN33" s="127"/>
      <c r="TBO33" s="127"/>
      <c r="TBP33" s="127"/>
      <c r="TBQ33" s="127"/>
      <c r="TBR33" s="127"/>
      <c r="TBS33" s="127"/>
      <c r="TBT33" s="127"/>
      <c r="TBU33" s="127"/>
      <c r="TBV33" s="127"/>
      <c r="TBW33" s="127"/>
      <c r="TBX33" s="127"/>
      <c r="TBY33" s="127"/>
      <c r="TBZ33" s="127"/>
      <c r="TCA33" s="127"/>
      <c r="TCB33" s="127"/>
      <c r="TCC33" s="127"/>
      <c r="TCD33" s="127"/>
      <c r="TCE33" s="127"/>
      <c r="TCF33" s="127"/>
      <c r="TCG33" s="127"/>
      <c r="TCH33" s="127"/>
      <c r="TCI33" s="127"/>
      <c r="TCJ33" s="127"/>
      <c r="TCK33" s="127"/>
      <c r="TCL33" s="127"/>
      <c r="TCM33" s="127"/>
      <c r="TCN33" s="127"/>
      <c r="TCO33" s="127"/>
      <c r="TCP33" s="127"/>
      <c r="TCQ33" s="127"/>
      <c r="TCR33" s="127"/>
      <c r="TCS33" s="127"/>
      <c r="TCT33" s="127"/>
      <c r="TCU33" s="127"/>
      <c r="TCV33" s="127"/>
      <c r="TCW33" s="127"/>
      <c r="TCX33" s="127"/>
      <c r="TCY33" s="127"/>
      <c r="TCZ33" s="127"/>
      <c r="TDA33" s="127"/>
      <c r="TDB33" s="127"/>
      <c r="TDC33" s="127"/>
      <c r="TDD33" s="127"/>
      <c r="TDE33" s="127"/>
      <c r="TDF33" s="127"/>
      <c r="TDG33" s="127"/>
      <c r="TDH33" s="127"/>
      <c r="TDI33" s="127"/>
      <c r="TDJ33" s="127"/>
      <c r="TDK33" s="127"/>
      <c r="TDL33" s="127"/>
      <c r="TDM33" s="127"/>
      <c r="TDN33" s="127"/>
      <c r="TDO33" s="127"/>
      <c r="TDP33" s="127"/>
      <c r="TDQ33" s="127"/>
      <c r="TDR33" s="127"/>
      <c r="TDS33" s="127"/>
      <c r="TDT33" s="127"/>
      <c r="TDU33" s="127"/>
      <c r="TDV33" s="127"/>
      <c r="TDW33" s="127"/>
      <c r="TDX33" s="127"/>
      <c r="TDY33" s="127"/>
      <c r="TDZ33" s="127"/>
      <c r="TEA33" s="127"/>
      <c r="TEB33" s="127"/>
      <c r="TEC33" s="127"/>
      <c r="TED33" s="127"/>
      <c r="TEE33" s="127"/>
      <c r="TEF33" s="127"/>
      <c r="TEG33" s="127"/>
      <c r="TEH33" s="127"/>
      <c r="TEI33" s="127"/>
      <c r="TEJ33" s="127"/>
      <c r="TEK33" s="127"/>
      <c r="TEL33" s="127"/>
      <c r="TEM33" s="127"/>
      <c r="TEN33" s="127"/>
      <c r="TEO33" s="127"/>
      <c r="TEP33" s="127"/>
      <c r="TEQ33" s="127"/>
      <c r="TER33" s="127"/>
      <c r="TES33" s="127"/>
      <c r="TET33" s="127"/>
      <c r="TEU33" s="127"/>
      <c r="TEV33" s="127"/>
      <c r="TEW33" s="127"/>
      <c r="TEX33" s="127"/>
      <c r="TEY33" s="127"/>
      <c r="TEZ33" s="127"/>
      <c r="TFA33" s="127"/>
      <c r="TFB33" s="127"/>
      <c r="TFC33" s="127"/>
      <c r="TFD33" s="127"/>
      <c r="TFE33" s="127"/>
      <c r="TFF33" s="127"/>
      <c r="TFG33" s="127"/>
      <c r="TFH33" s="127"/>
      <c r="TFI33" s="127"/>
      <c r="TFJ33" s="127"/>
      <c r="TFK33" s="127"/>
      <c r="TFL33" s="127"/>
      <c r="TFM33" s="127"/>
      <c r="TFN33" s="127"/>
      <c r="TFO33" s="127"/>
      <c r="TFP33" s="127"/>
      <c r="TFQ33" s="127"/>
      <c r="TFR33" s="127"/>
      <c r="TFS33" s="127"/>
      <c r="TFT33" s="127"/>
      <c r="TFU33" s="127"/>
      <c r="TFV33" s="127"/>
      <c r="TFW33" s="127"/>
      <c r="TFX33" s="127"/>
      <c r="TFY33" s="127"/>
      <c r="TFZ33" s="127"/>
      <c r="TGA33" s="127"/>
      <c r="TGB33" s="127"/>
      <c r="TGC33" s="127"/>
      <c r="TGD33" s="127"/>
      <c r="TGE33" s="127"/>
      <c r="TGF33" s="127"/>
      <c r="TGG33" s="127"/>
      <c r="TGH33" s="127"/>
      <c r="TGI33" s="127"/>
      <c r="TGJ33" s="127"/>
      <c r="TGK33" s="127"/>
      <c r="TGL33" s="127"/>
      <c r="TGM33" s="127"/>
      <c r="TGN33" s="127"/>
      <c r="TGO33" s="127"/>
      <c r="TGP33" s="127"/>
      <c r="TGQ33" s="127"/>
      <c r="TGR33" s="127"/>
      <c r="TGS33" s="127"/>
      <c r="TGT33" s="127"/>
      <c r="TGU33" s="127"/>
      <c r="TGV33" s="127"/>
      <c r="TGW33" s="127"/>
      <c r="TGX33" s="127"/>
      <c r="TGY33" s="127"/>
      <c r="TGZ33" s="127"/>
      <c r="THA33" s="127"/>
      <c r="THB33" s="127"/>
      <c r="THC33" s="127"/>
      <c r="THD33" s="127"/>
      <c r="THE33" s="127"/>
      <c r="THF33" s="127"/>
      <c r="THG33" s="127"/>
      <c r="THH33" s="127"/>
      <c r="THI33" s="127"/>
      <c r="THJ33" s="127"/>
      <c r="THK33" s="127"/>
      <c r="THL33" s="127"/>
      <c r="THM33" s="127"/>
      <c r="THN33" s="127"/>
      <c r="THO33" s="127"/>
      <c r="THP33" s="127"/>
      <c r="THQ33" s="127"/>
      <c r="THR33" s="127"/>
      <c r="THS33" s="127"/>
      <c r="THT33" s="127"/>
      <c r="THU33" s="127"/>
      <c r="THV33" s="127"/>
      <c r="THW33" s="127"/>
      <c r="THX33" s="127"/>
      <c r="THY33" s="127"/>
      <c r="THZ33" s="127"/>
      <c r="TIA33" s="127"/>
      <c r="TIB33" s="127"/>
      <c r="TIC33" s="127"/>
      <c r="TID33" s="127"/>
      <c r="TIE33" s="127"/>
      <c r="TIF33" s="127"/>
      <c r="TIG33" s="127"/>
      <c r="TIH33" s="127"/>
      <c r="TII33" s="127"/>
      <c r="TIJ33" s="127"/>
      <c r="TIK33" s="127"/>
      <c r="TIL33" s="127"/>
      <c r="TIM33" s="127"/>
      <c r="TIN33" s="127"/>
      <c r="TIO33" s="127"/>
      <c r="TIP33" s="127"/>
      <c r="TIQ33" s="127"/>
      <c r="TIR33" s="127"/>
      <c r="TIS33" s="127"/>
      <c r="TIT33" s="127"/>
      <c r="TIU33" s="127"/>
      <c r="TIV33" s="127"/>
      <c r="TIW33" s="127"/>
      <c r="TIX33" s="127"/>
      <c r="TIY33" s="127"/>
      <c r="TIZ33" s="127"/>
      <c r="TJA33" s="127"/>
      <c r="TJB33" s="127"/>
      <c r="TJC33" s="127"/>
      <c r="TJD33" s="127"/>
      <c r="TJE33" s="127"/>
      <c r="TJF33" s="127"/>
      <c r="TJG33" s="127"/>
      <c r="TJH33" s="127"/>
      <c r="TJI33" s="127"/>
      <c r="TJJ33" s="127"/>
      <c r="TJK33" s="127"/>
      <c r="TJL33" s="127"/>
      <c r="TJM33" s="127"/>
      <c r="TJN33" s="127"/>
      <c r="TJO33" s="127"/>
      <c r="TJP33" s="127"/>
      <c r="TJQ33" s="127"/>
      <c r="TJR33" s="127"/>
      <c r="TJS33" s="127"/>
      <c r="TJT33" s="127"/>
      <c r="TJU33" s="127"/>
      <c r="TJV33" s="127"/>
      <c r="TJW33" s="127"/>
      <c r="TJX33" s="127"/>
      <c r="TJY33" s="127"/>
      <c r="TJZ33" s="127"/>
      <c r="TKA33" s="127"/>
      <c r="TKB33" s="127"/>
      <c r="TKC33" s="127"/>
      <c r="TKD33" s="127"/>
      <c r="TKE33" s="127"/>
      <c r="TKF33" s="127"/>
      <c r="TKG33" s="127"/>
      <c r="TKH33" s="127"/>
      <c r="TKI33" s="127"/>
      <c r="TKJ33" s="127"/>
      <c r="TKK33" s="127"/>
      <c r="TKL33" s="127"/>
      <c r="TKM33" s="127"/>
      <c r="TKN33" s="127"/>
      <c r="TKO33" s="127"/>
      <c r="TKP33" s="127"/>
      <c r="TKQ33" s="127"/>
      <c r="TKR33" s="127"/>
      <c r="TKS33" s="127"/>
      <c r="TKT33" s="127"/>
      <c r="TKU33" s="127"/>
      <c r="TKV33" s="127"/>
      <c r="TKW33" s="127"/>
      <c r="TKX33" s="127"/>
      <c r="TKY33" s="127"/>
      <c r="TKZ33" s="127"/>
      <c r="TLA33" s="127"/>
      <c r="TLB33" s="127"/>
      <c r="TLC33" s="127"/>
      <c r="TLD33" s="127"/>
      <c r="TLE33" s="127"/>
      <c r="TLF33" s="127"/>
      <c r="TLG33" s="127"/>
      <c r="TLH33" s="127"/>
      <c r="TLI33" s="127"/>
      <c r="TLJ33" s="127"/>
      <c r="TLK33" s="127"/>
      <c r="TLL33" s="127"/>
      <c r="TLM33" s="127"/>
      <c r="TLN33" s="127"/>
      <c r="TLO33" s="127"/>
      <c r="TLP33" s="127"/>
      <c r="TLQ33" s="127"/>
      <c r="TLR33" s="127"/>
      <c r="TLS33" s="127"/>
      <c r="TLT33" s="127"/>
      <c r="TLU33" s="127"/>
      <c r="TLV33" s="127"/>
      <c r="TLW33" s="127"/>
      <c r="TLX33" s="127"/>
      <c r="TLY33" s="127"/>
      <c r="TLZ33" s="127"/>
      <c r="TMA33" s="127"/>
      <c r="TMB33" s="127"/>
      <c r="TMC33" s="127"/>
      <c r="TMD33" s="127"/>
      <c r="TME33" s="127"/>
      <c r="TMF33" s="127"/>
      <c r="TMG33" s="127"/>
      <c r="TMH33" s="127"/>
      <c r="TMI33" s="127"/>
      <c r="TMJ33" s="127"/>
      <c r="TMK33" s="127"/>
      <c r="TML33" s="127"/>
      <c r="TMM33" s="127"/>
      <c r="TMN33" s="127"/>
      <c r="TMO33" s="127"/>
      <c r="TMP33" s="127"/>
      <c r="TMQ33" s="127"/>
      <c r="TMR33" s="127"/>
      <c r="TMS33" s="127"/>
      <c r="TMT33" s="127"/>
      <c r="TMU33" s="127"/>
      <c r="TMV33" s="127"/>
      <c r="TMW33" s="127"/>
      <c r="TMX33" s="127"/>
      <c r="TMY33" s="127"/>
      <c r="TMZ33" s="127"/>
      <c r="TNA33" s="127"/>
      <c r="TNB33" s="127"/>
      <c r="TNC33" s="127"/>
      <c r="TND33" s="127"/>
      <c r="TNE33" s="127"/>
      <c r="TNF33" s="127"/>
      <c r="TNG33" s="127"/>
      <c r="TNH33" s="127"/>
      <c r="TNI33" s="127"/>
      <c r="TNJ33" s="127"/>
      <c r="TNK33" s="127"/>
      <c r="TNL33" s="127"/>
      <c r="TNM33" s="127"/>
      <c r="TNN33" s="127"/>
      <c r="TNO33" s="127"/>
      <c r="TNP33" s="127"/>
      <c r="TNQ33" s="127"/>
      <c r="TNR33" s="127"/>
      <c r="TNS33" s="127"/>
      <c r="TNT33" s="127"/>
      <c r="TNU33" s="127"/>
      <c r="TNV33" s="127"/>
      <c r="TNW33" s="127"/>
      <c r="TNX33" s="127"/>
      <c r="TNY33" s="127"/>
      <c r="TNZ33" s="127"/>
      <c r="TOA33" s="127"/>
      <c r="TOB33" s="127"/>
      <c r="TOC33" s="127"/>
      <c r="TOD33" s="127"/>
      <c r="TOE33" s="127"/>
      <c r="TOF33" s="127"/>
      <c r="TOG33" s="127"/>
      <c r="TOH33" s="127"/>
      <c r="TOI33" s="127"/>
      <c r="TOJ33" s="127"/>
      <c r="TOK33" s="127"/>
      <c r="TOL33" s="127"/>
      <c r="TOM33" s="127"/>
      <c r="TON33" s="127"/>
      <c r="TOO33" s="127"/>
      <c r="TOP33" s="127"/>
      <c r="TOQ33" s="127"/>
      <c r="TOR33" s="127"/>
      <c r="TOS33" s="127"/>
      <c r="TOT33" s="127"/>
      <c r="TOU33" s="127"/>
      <c r="TOV33" s="127"/>
      <c r="TOW33" s="127"/>
      <c r="TOX33" s="127"/>
      <c r="TOY33" s="127"/>
      <c r="TOZ33" s="127"/>
      <c r="TPA33" s="127"/>
      <c r="TPB33" s="127"/>
      <c r="TPC33" s="127"/>
      <c r="TPD33" s="127"/>
      <c r="TPE33" s="127"/>
      <c r="TPF33" s="127"/>
      <c r="TPG33" s="127"/>
      <c r="TPH33" s="127"/>
      <c r="TPI33" s="127"/>
      <c r="TPJ33" s="127"/>
      <c r="TPK33" s="127"/>
      <c r="TPL33" s="127"/>
      <c r="TPM33" s="127"/>
      <c r="TPN33" s="127"/>
      <c r="TPO33" s="127"/>
      <c r="TPP33" s="127"/>
      <c r="TPQ33" s="127"/>
      <c r="TPR33" s="127"/>
      <c r="TPS33" s="127"/>
      <c r="TPT33" s="127"/>
      <c r="TPU33" s="127"/>
      <c r="TPV33" s="127"/>
      <c r="TPW33" s="127"/>
      <c r="TPX33" s="127"/>
      <c r="TPY33" s="127"/>
      <c r="TPZ33" s="127"/>
      <c r="TQA33" s="127"/>
      <c r="TQB33" s="127"/>
      <c r="TQC33" s="127"/>
      <c r="TQD33" s="127"/>
      <c r="TQE33" s="127"/>
      <c r="TQF33" s="127"/>
      <c r="TQG33" s="127"/>
      <c r="TQH33" s="127"/>
      <c r="TQI33" s="127"/>
      <c r="TQJ33" s="127"/>
      <c r="TQK33" s="127"/>
      <c r="TQL33" s="127"/>
      <c r="TQM33" s="127"/>
      <c r="TQN33" s="127"/>
      <c r="TQO33" s="127"/>
      <c r="TQP33" s="127"/>
      <c r="TQQ33" s="127"/>
      <c r="TQR33" s="127"/>
      <c r="TQS33" s="127"/>
      <c r="TQT33" s="127"/>
      <c r="TQU33" s="127"/>
      <c r="TQV33" s="127"/>
      <c r="TQW33" s="127"/>
      <c r="TQX33" s="127"/>
      <c r="TQY33" s="127"/>
      <c r="TQZ33" s="127"/>
      <c r="TRA33" s="127"/>
      <c r="TRB33" s="127"/>
      <c r="TRC33" s="127"/>
      <c r="TRD33" s="127"/>
      <c r="TRE33" s="127"/>
      <c r="TRF33" s="127"/>
      <c r="TRG33" s="127"/>
      <c r="TRH33" s="127"/>
      <c r="TRI33" s="127"/>
      <c r="TRJ33" s="127"/>
      <c r="TRK33" s="127"/>
      <c r="TRL33" s="127"/>
      <c r="TRM33" s="127"/>
      <c r="TRN33" s="127"/>
      <c r="TRO33" s="127"/>
      <c r="TRP33" s="127"/>
      <c r="TRQ33" s="127"/>
      <c r="TRR33" s="127"/>
      <c r="TRS33" s="127"/>
      <c r="TRT33" s="127"/>
      <c r="TRU33" s="127"/>
      <c r="TRV33" s="127"/>
      <c r="TRW33" s="127"/>
      <c r="TRX33" s="127"/>
      <c r="TRY33" s="127"/>
      <c r="TRZ33" s="127"/>
      <c r="TSA33" s="127"/>
      <c r="TSB33" s="127"/>
      <c r="TSC33" s="127"/>
      <c r="TSD33" s="127"/>
      <c r="TSE33" s="127"/>
      <c r="TSF33" s="127"/>
      <c r="TSG33" s="127"/>
      <c r="TSH33" s="127"/>
      <c r="TSI33" s="127"/>
      <c r="TSJ33" s="127"/>
      <c r="TSK33" s="127"/>
      <c r="TSL33" s="127"/>
      <c r="TSM33" s="127"/>
      <c r="TSN33" s="127"/>
      <c r="TSO33" s="127"/>
      <c r="TSP33" s="127"/>
      <c r="TSQ33" s="127"/>
      <c r="TSR33" s="127"/>
      <c r="TSS33" s="127"/>
      <c r="TST33" s="127"/>
      <c r="TSU33" s="127"/>
      <c r="TSV33" s="127"/>
      <c r="TSW33" s="127"/>
      <c r="TSX33" s="127"/>
      <c r="TSY33" s="127"/>
      <c r="TSZ33" s="127"/>
      <c r="TTA33" s="127"/>
      <c r="TTB33" s="127"/>
      <c r="TTC33" s="127"/>
      <c r="TTD33" s="127"/>
      <c r="TTE33" s="127"/>
      <c r="TTF33" s="127"/>
      <c r="TTG33" s="127"/>
      <c r="TTH33" s="127"/>
      <c r="TTI33" s="127"/>
      <c r="TTJ33" s="127"/>
      <c r="TTK33" s="127"/>
      <c r="TTL33" s="127"/>
      <c r="TTM33" s="127"/>
      <c r="TTN33" s="127"/>
      <c r="TTO33" s="127"/>
      <c r="TTP33" s="127"/>
      <c r="TTQ33" s="127"/>
      <c r="TTR33" s="127"/>
      <c r="TTS33" s="127"/>
      <c r="TTT33" s="127"/>
      <c r="TTU33" s="127"/>
      <c r="TTV33" s="127"/>
      <c r="TTW33" s="127"/>
      <c r="TTX33" s="127"/>
      <c r="TTY33" s="127"/>
      <c r="TTZ33" s="127"/>
      <c r="TUA33" s="127"/>
      <c r="TUB33" s="127"/>
      <c r="TUC33" s="127"/>
      <c r="TUD33" s="127"/>
      <c r="TUE33" s="127"/>
      <c r="TUF33" s="127"/>
      <c r="TUG33" s="127"/>
      <c r="TUH33" s="127"/>
      <c r="TUI33" s="127"/>
      <c r="TUJ33" s="127"/>
      <c r="TUK33" s="127"/>
      <c r="TUL33" s="127"/>
      <c r="TUM33" s="127"/>
      <c r="TUN33" s="127"/>
      <c r="TUO33" s="127"/>
      <c r="TUP33" s="127"/>
      <c r="TUQ33" s="127"/>
      <c r="TUR33" s="127"/>
      <c r="TUS33" s="127"/>
      <c r="TUT33" s="127"/>
      <c r="TUU33" s="127"/>
      <c r="TUV33" s="127"/>
      <c r="TUW33" s="127"/>
      <c r="TUX33" s="127"/>
      <c r="TUY33" s="127"/>
      <c r="TUZ33" s="127"/>
      <c r="TVA33" s="127"/>
      <c r="TVB33" s="127"/>
      <c r="TVC33" s="127"/>
      <c r="TVD33" s="127"/>
      <c r="TVE33" s="127"/>
      <c r="TVF33" s="127"/>
      <c r="TVG33" s="127"/>
      <c r="TVH33" s="127"/>
      <c r="TVI33" s="127"/>
      <c r="TVJ33" s="127"/>
      <c r="TVK33" s="127"/>
      <c r="TVL33" s="127"/>
      <c r="TVM33" s="127"/>
      <c r="TVN33" s="127"/>
      <c r="TVO33" s="127"/>
      <c r="TVP33" s="127"/>
      <c r="TVQ33" s="127"/>
      <c r="TVR33" s="127"/>
      <c r="TVS33" s="127"/>
      <c r="TVT33" s="127"/>
      <c r="TVU33" s="127"/>
      <c r="TVV33" s="127"/>
      <c r="TVW33" s="127"/>
      <c r="TVX33" s="127"/>
      <c r="TVY33" s="127"/>
      <c r="TVZ33" s="127"/>
      <c r="TWA33" s="127"/>
      <c r="TWB33" s="127"/>
      <c r="TWC33" s="127"/>
      <c r="TWD33" s="127"/>
      <c r="TWE33" s="127"/>
      <c r="TWF33" s="127"/>
      <c r="TWG33" s="127"/>
      <c r="TWH33" s="127"/>
      <c r="TWI33" s="127"/>
      <c r="TWJ33" s="127"/>
      <c r="TWK33" s="127"/>
      <c r="TWL33" s="127"/>
      <c r="TWM33" s="127"/>
      <c r="TWN33" s="127"/>
      <c r="TWO33" s="127"/>
      <c r="TWP33" s="127"/>
      <c r="TWQ33" s="127"/>
      <c r="TWR33" s="127"/>
      <c r="TWS33" s="127"/>
      <c r="TWT33" s="127"/>
      <c r="TWU33" s="127"/>
      <c r="TWV33" s="127"/>
      <c r="TWW33" s="127"/>
      <c r="TWX33" s="127"/>
      <c r="TWY33" s="127"/>
      <c r="TWZ33" s="127"/>
      <c r="TXA33" s="127"/>
      <c r="TXB33" s="127"/>
      <c r="TXC33" s="127"/>
      <c r="TXD33" s="127"/>
      <c r="TXE33" s="127"/>
      <c r="TXF33" s="127"/>
      <c r="TXG33" s="127"/>
      <c r="TXH33" s="127"/>
      <c r="TXI33" s="127"/>
      <c r="TXJ33" s="127"/>
      <c r="TXK33" s="127"/>
      <c r="TXL33" s="127"/>
      <c r="TXM33" s="127"/>
      <c r="TXN33" s="127"/>
      <c r="TXO33" s="127"/>
      <c r="TXP33" s="127"/>
      <c r="TXQ33" s="127"/>
      <c r="TXR33" s="127"/>
      <c r="TXS33" s="127"/>
      <c r="TXT33" s="127"/>
      <c r="TXU33" s="127"/>
      <c r="TXV33" s="127"/>
      <c r="TXW33" s="127"/>
      <c r="TXX33" s="127"/>
      <c r="TXY33" s="127"/>
      <c r="TXZ33" s="127"/>
      <c r="TYA33" s="127"/>
      <c r="TYB33" s="127"/>
      <c r="TYC33" s="127"/>
      <c r="TYD33" s="127"/>
      <c r="TYE33" s="127"/>
      <c r="TYF33" s="127"/>
      <c r="TYG33" s="127"/>
      <c r="TYH33" s="127"/>
      <c r="TYI33" s="127"/>
      <c r="TYJ33" s="127"/>
      <c r="TYK33" s="127"/>
      <c r="TYL33" s="127"/>
      <c r="TYM33" s="127"/>
      <c r="TYN33" s="127"/>
      <c r="TYO33" s="127"/>
      <c r="TYP33" s="127"/>
      <c r="TYQ33" s="127"/>
      <c r="TYR33" s="127"/>
      <c r="TYS33" s="127"/>
      <c r="TYT33" s="127"/>
      <c r="TYU33" s="127"/>
      <c r="TYV33" s="127"/>
      <c r="TYW33" s="127"/>
      <c r="TYX33" s="127"/>
      <c r="TYY33" s="127"/>
      <c r="TYZ33" s="127"/>
      <c r="TZA33" s="127"/>
      <c r="TZB33" s="127"/>
      <c r="TZC33" s="127"/>
      <c r="TZD33" s="127"/>
      <c r="TZE33" s="127"/>
      <c r="TZF33" s="127"/>
      <c r="TZG33" s="127"/>
      <c r="TZH33" s="127"/>
      <c r="TZI33" s="127"/>
      <c r="TZJ33" s="127"/>
      <c r="TZK33" s="127"/>
      <c r="TZL33" s="127"/>
      <c r="TZM33" s="127"/>
      <c r="TZN33" s="127"/>
      <c r="TZO33" s="127"/>
      <c r="TZP33" s="127"/>
      <c r="TZQ33" s="127"/>
      <c r="TZR33" s="127"/>
      <c r="TZS33" s="127"/>
      <c r="TZT33" s="127"/>
      <c r="TZU33" s="127"/>
      <c r="TZV33" s="127"/>
      <c r="TZW33" s="127"/>
      <c r="TZX33" s="127"/>
      <c r="TZY33" s="127"/>
      <c r="TZZ33" s="127"/>
      <c r="UAA33" s="127"/>
      <c r="UAB33" s="127"/>
      <c r="UAC33" s="127"/>
      <c r="UAD33" s="127"/>
      <c r="UAE33" s="127"/>
      <c r="UAF33" s="127"/>
      <c r="UAG33" s="127"/>
      <c r="UAH33" s="127"/>
      <c r="UAI33" s="127"/>
      <c r="UAJ33" s="127"/>
      <c r="UAK33" s="127"/>
      <c r="UAL33" s="127"/>
      <c r="UAM33" s="127"/>
      <c r="UAN33" s="127"/>
      <c r="UAO33" s="127"/>
      <c r="UAP33" s="127"/>
      <c r="UAQ33" s="127"/>
      <c r="UAR33" s="127"/>
      <c r="UAS33" s="127"/>
      <c r="UAT33" s="127"/>
      <c r="UAU33" s="127"/>
      <c r="UAV33" s="127"/>
      <c r="UAW33" s="127"/>
      <c r="UAX33" s="127"/>
      <c r="UAY33" s="127"/>
      <c r="UAZ33" s="127"/>
      <c r="UBA33" s="127"/>
      <c r="UBB33" s="127"/>
      <c r="UBC33" s="127"/>
      <c r="UBD33" s="127"/>
      <c r="UBE33" s="127"/>
      <c r="UBF33" s="127"/>
      <c r="UBG33" s="127"/>
      <c r="UBH33" s="127"/>
      <c r="UBI33" s="127"/>
      <c r="UBJ33" s="127"/>
      <c r="UBK33" s="127"/>
      <c r="UBL33" s="127"/>
      <c r="UBM33" s="127"/>
      <c r="UBN33" s="127"/>
      <c r="UBO33" s="127"/>
      <c r="UBP33" s="127"/>
      <c r="UBQ33" s="127"/>
      <c r="UBR33" s="127"/>
      <c r="UBS33" s="127"/>
      <c r="UBT33" s="127"/>
      <c r="UBU33" s="127"/>
      <c r="UBV33" s="127"/>
      <c r="UBW33" s="127"/>
      <c r="UBX33" s="127"/>
      <c r="UBY33" s="127"/>
      <c r="UBZ33" s="127"/>
      <c r="UCA33" s="127"/>
      <c r="UCB33" s="127"/>
      <c r="UCC33" s="127"/>
      <c r="UCD33" s="127"/>
      <c r="UCE33" s="127"/>
      <c r="UCF33" s="127"/>
      <c r="UCG33" s="127"/>
      <c r="UCH33" s="127"/>
      <c r="UCI33" s="127"/>
      <c r="UCJ33" s="127"/>
      <c r="UCK33" s="127"/>
      <c r="UCL33" s="127"/>
      <c r="UCM33" s="127"/>
      <c r="UCN33" s="127"/>
      <c r="UCO33" s="127"/>
      <c r="UCP33" s="127"/>
      <c r="UCQ33" s="127"/>
      <c r="UCR33" s="127"/>
      <c r="UCS33" s="127"/>
      <c r="UCT33" s="127"/>
      <c r="UCU33" s="127"/>
      <c r="UCV33" s="127"/>
      <c r="UCW33" s="127"/>
      <c r="UCX33" s="127"/>
      <c r="UCY33" s="127"/>
      <c r="UCZ33" s="127"/>
      <c r="UDA33" s="127"/>
      <c r="UDB33" s="127"/>
      <c r="UDC33" s="127"/>
      <c r="UDD33" s="127"/>
      <c r="UDE33" s="127"/>
      <c r="UDF33" s="127"/>
      <c r="UDG33" s="127"/>
      <c r="UDH33" s="127"/>
      <c r="UDI33" s="127"/>
      <c r="UDJ33" s="127"/>
      <c r="UDK33" s="127"/>
      <c r="UDL33" s="127"/>
      <c r="UDM33" s="127"/>
      <c r="UDN33" s="127"/>
      <c r="UDO33" s="127"/>
      <c r="UDP33" s="127"/>
      <c r="UDQ33" s="127"/>
      <c r="UDR33" s="127"/>
      <c r="UDS33" s="127"/>
      <c r="UDT33" s="127"/>
      <c r="UDU33" s="127"/>
      <c r="UDV33" s="127"/>
      <c r="UDW33" s="127"/>
      <c r="UDX33" s="127"/>
      <c r="UDY33" s="127"/>
      <c r="UDZ33" s="127"/>
      <c r="UEA33" s="127"/>
      <c r="UEB33" s="127"/>
      <c r="UEC33" s="127"/>
      <c r="UED33" s="127"/>
      <c r="UEE33" s="127"/>
      <c r="UEF33" s="127"/>
      <c r="UEG33" s="127"/>
      <c r="UEH33" s="127"/>
      <c r="UEI33" s="127"/>
      <c r="UEJ33" s="127"/>
      <c r="UEK33" s="127"/>
      <c r="UEL33" s="127"/>
      <c r="UEM33" s="127"/>
      <c r="UEN33" s="127"/>
      <c r="UEO33" s="127"/>
      <c r="UEP33" s="127"/>
      <c r="UEQ33" s="127"/>
      <c r="UER33" s="127"/>
      <c r="UES33" s="127"/>
      <c r="UET33" s="127"/>
      <c r="UEU33" s="127"/>
      <c r="UEV33" s="127"/>
      <c r="UEW33" s="127"/>
      <c r="UEX33" s="127"/>
      <c r="UEY33" s="127"/>
      <c r="UEZ33" s="127"/>
      <c r="UFA33" s="127"/>
      <c r="UFB33" s="127"/>
      <c r="UFC33" s="127"/>
      <c r="UFD33" s="127"/>
      <c r="UFE33" s="127"/>
      <c r="UFF33" s="127"/>
      <c r="UFG33" s="127"/>
      <c r="UFH33" s="127"/>
      <c r="UFI33" s="127"/>
      <c r="UFJ33" s="127"/>
      <c r="UFK33" s="127"/>
      <c r="UFL33" s="127"/>
      <c r="UFM33" s="127"/>
      <c r="UFN33" s="127"/>
      <c r="UFO33" s="127"/>
      <c r="UFP33" s="127"/>
      <c r="UFQ33" s="127"/>
      <c r="UFR33" s="127"/>
      <c r="UFS33" s="127"/>
      <c r="UFT33" s="127"/>
      <c r="UFU33" s="127"/>
      <c r="UFV33" s="127"/>
      <c r="UFW33" s="127"/>
      <c r="UFX33" s="127"/>
      <c r="UFY33" s="127"/>
      <c r="UFZ33" s="127"/>
      <c r="UGA33" s="127"/>
      <c r="UGB33" s="127"/>
      <c r="UGC33" s="127"/>
      <c r="UGD33" s="127"/>
      <c r="UGE33" s="127"/>
      <c r="UGF33" s="127"/>
      <c r="UGG33" s="127"/>
      <c r="UGH33" s="127"/>
      <c r="UGI33" s="127"/>
      <c r="UGJ33" s="127"/>
      <c r="UGK33" s="127"/>
      <c r="UGL33" s="127"/>
      <c r="UGM33" s="127"/>
      <c r="UGN33" s="127"/>
      <c r="UGO33" s="127"/>
      <c r="UGP33" s="127"/>
      <c r="UGQ33" s="127"/>
      <c r="UGR33" s="127"/>
      <c r="UGS33" s="127"/>
      <c r="UGT33" s="127"/>
      <c r="UGU33" s="127"/>
      <c r="UGV33" s="127"/>
      <c r="UGW33" s="127"/>
      <c r="UGX33" s="127"/>
      <c r="UGY33" s="127"/>
      <c r="UGZ33" s="127"/>
      <c r="UHA33" s="127"/>
      <c r="UHB33" s="127"/>
      <c r="UHC33" s="127"/>
      <c r="UHD33" s="127"/>
      <c r="UHE33" s="127"/>
      <c r="UHF33" s="127"/>
      <c r="UHG33" s="127"/>
      <c r="UHH33" s="127"/>
      <c r="UHI33" s="127"/>
      <c r="UHJ33" s="127"/>
      <c r="UHK33" s="127"/>
      <c r="UHL33" s="127"/>
      <c r="UHM33" s="127"/>
      <c r="UHN33" s="127"/>
      <c r="UHO33" s="127"/>
      <c r="UHP33" s="127"/>
      <c r="UHQ33" s="127"/>
      <c r="UHR33" s="127"/>
      <c r="UHS33" s="127"/>
      <c r="UHT33" s="127"/>
      <c r="UHU33" s="127"/>
      <c r="UHV33" s="127"/>
      <c r="UHW33" s="127"/>
      <c r="UHX33" s="127"/>
      <c r="UHY33" s="127"/>
      <c r="UHZ33" s="127"/>
      <c r="UIA33" s="127"/>
      <c r="UIB33" s="127"/>
      <c r="UIC33" s="127"/>
      <c r="UID33" s="127"/>
      <c r="UIE33" s="127"/>
      <c r="UIF33" s="127"/>
      <c r="UIG33" s="127"/>
      <c r="UIH33" s="127"/>
      <c r="UII33" s="127"/>
      <c r="UIJ33" s="127"/>
      <c r="UIK33" s="127"/>
      <c r="UIL33" s="127"/>
      <c r="UIM33" s="127"/>
      <c r="UIN33" s="127"/>
      <c r="UIO33" s="127"/>
      <c r="UIP33" s="127"/>
      <c r="UIQ33" s="127"/>
      <c r="UIR33" s="127"/>
      <c r="UIS33" s="127"/>
      <c r="UIT33" s="127"/>
      <c r="UIU33" s="127"/>
      <c r="UIV33" s="127"/>
      <c r="UIW33" s="127"/>
      <c r="UIX33" s="127"/>
      <c r="UIY33" s="127"/>
      <c r="UIZ33" s="127"/>
      <c r="UJA33" s="127"/>
      <c r="UJB33" s="127"/>
      <c r="UJC33" s="127"/>
      <c r="UJD33" s="127"/>
      <c r="UJE33" s="127"/>
      <c r="UJF33" s="127"/>
      <c r="UJG33" s="127"/>
      <c r="UJH33" s="127"/>
      <c r="UJI33" s="127"/>
      <c r="UJJ33" s="127"/>
      <c r="UJK33" s="127"/>
      <c r="UJL33" s="127"/>
      <c r="UJM33" s="127"/>
      <c r="UJN33" s="127"/>
      <c r="UJO33" s="127"/>
      <c r="UJP33" s="127"/>
      <c r="UJQ33" s="127"/>
      <c r="UJR33" s="127"/>
      <c r="UJS33" s="127"/>
      <c r="UJT33" s="127"/>
      <c r="UJU33" s="127"/>
      <c r="UJV33" s="127"/>
      <c r="UJW33" s="127"/>
      <c r="UJX33" s="127"/>
      <c r="UJY33" s="127"/>
      <c r="UJZ33" s="127"/>
      <c r="UKA33" s="127"/>
      <c r="UKB33" s="127"/>
      <c r="UKC33" s="127"/>
      <c r="UKD33" s="127"/>
      <c r="UKE33" s="127"/>
      <c r="UKF33" s="127"/>
      <c r="UKG33" s="127"/>
      <c r="UKH33" s="127"/>
      <c r="UKI33" s="127"/>
      <c r="UKJ33" s="127"/>
      <c r="UKK33" s="127"/>
      <c r="UKL33" s="127"/>
      <c r="UKM33" s="127"/>
      <c r="UKN33" s="127"/>
      <c r="UKO33" s="127"/>
      <c r="UKP33" s="127"/>
      <c r="UKQ33" s="127"/>
      <c r="UKR33" s="127"/>
      <c r="UKS33" s="127"/>
      <c r="UKT33" s="127"/>
      <c r="UKU33" s="127"/>
      <c r="UKV33" s="127"/>
      <c r="UKW33" s="127"/>
      <c r="UKX33" s="127"/>
      <c r="UKY33" s="127"/>
      <c r="UKZ33" s="127"/>
      <c r="ULA33" s="127"/>
      <c r="ULB33" s="127"/>
      <c r="ULC33" s="127"/>
      <c r="ULD33" s="127"/>
      <c r="ULE33" s="127"/>
      <c r="ULF33" s="127"/>
      <c r="ULG33" s="127"/>
      <c r="ULH33" s="127"/>
      <c r="ULI33" s="127"/>
      <c r="ULJ33" s="127"/>
      <c r="ULK33" s="127"/>
      <c r="ULL33" s="127"/>
      <c r="ULM33" s="127"/>
      <c r="ULN33" s="127"/>
      <c r="ULO33" s="127"/>
      <c r="ULP33" s="127"/>
      <c r="ULQ33" s="127"/>
      <c r="ULR33" s="127"/>
      <c r="ULS33" s="127"/>
      <c r="ULT33" s="127"/>
      <c r="ULU33" s="127"/>
      <c r="ULV33" s="127"/>
      <c r="ULW33" s="127"/>
      <c r="ULX33" s="127"/>
      <c r="ULY33" s="127"/>
      <c r="ULZ33" s="127"/>
      <c r="UMA33" s="127"/>
      <c r="UMB33" s="127"/>
      <c r="UMC33" s="127"/>
      <c r="UMD33" s="127"/>
      <c r="UME33" s="127"/>
      <c r="UMF33" s="127"/>
      <c r="UMG33" s="127"/>
      <c r="UMH33" s="127"/>
      <c r="UMI33" s="127"/>
      <c r="UMJ33" s="127"/>
      <c r="UMK33" s="127"/>
      <c r="UML33" s="127"/>
      <c r="UMM33" s="127"/>
      <c r="UMN33" s="127"/>
      <c r="UMO33" s="127"/>
      <c r="UMP33" s="127"/>
      <c r="UMQ33" s="127"/>
      <c r="UMR33" s="127"/>
      <c r="UMS33" s="127"/>
      <c r="UMT33" s="127"/>
      <c r="UMU33" s="127"/>
      <c r="UMV33" s="127"/>
      <c r="UMW33" s="127"/>
      <c r="UMX33" s="127"/>
      <c r="UMY33" s="127"/>
      <c r="UMZ33" s="127"/>
      <c r="UNA33" s="127"/>
      <c r="UNB33" s="127"/>
      <c r="UNC33" s="127"/>
      <c r="UND33" s="127"/>
      <c r="UNE33" s="127"/>
      <c r="UNF33" s="127"/>
      <c r="UNG33" s="127"/>
      <c r="UNH33" s="127"/>
      <c r="UNI33" s="127"/>
      <c r="UNJ33" s="127"/>
      <c r="UNK33" s="127"/>
      <c r="UNL33" s="127"/>
      <c r="UNM33" s="127"/>
      <c r="UNN33" s="127"/>
      <c r="UNO33" s="127"/>
      <c r="UNP33" s="127"/>
      <c r="UNQ33" s="127"/>
      <c r="UNR33" s="127"/>
      <c r="UNS33" s="127"/>
      <c r="UNT33" s="127"/>
      <c r="UNU33" s="127"/>
      <c r="UNV33" s="127"/>
      <c r="UNW33" s="127"/>
      <c r="UNX33" s="127"/>
      <c r="UNY33" s="127"/>
      <c r="UNZ33" s="127"/>
      <c r="UOA33" s="127"/>
      <c r="UOB33" s="127"/>
      <c r="UOC33" s="127"/>
      <c r="UOD33" s="127"/>
      <c r="UOE33" s="127"/>
      <c r="UOF33" s="127"/>
      <c r="UOG33" s="127"/>
      <c r="UOH33" s="127"/>
      <c r="UOI33" s="127"/>
      <c r="UOJ33" s="127"/>
      <c r="UOK33" s="127"/>
      <c r="UOL33" s="127"/>
      <c r="UOM33" s="127"/>
      <c r="UON33" s="127"/>
      <c r="UOO33" s="127"/>
      <c r="UOP33" s="127"/>
      <c r="UOQ33" s="127"/>
      <c r="UOR33" s="127"/>
      <c r="UOS33" s="127"/>
      <c r="UOT33" s="127"/>
      <c r="UOU33" s="127"/>
      <c r="UOV33" s="127"/>
      <c r="UOW33" s="127"/>
      <c r="UOX33" s="127"/>
      <c r="UOY33" s="127"/>
      <c r="UOZ33" s="127"/>
      <c r="UPA33" s="127"/>
      <c r="UPB33" s="127"/>
      <c r="UPC33" s="127"/>
      <c r="UPD33" s="127"/>
      <c r="UPE33" s="127"/>
      <c r="UPF33" s="127"/>
      <c r="UPG33" s="127"/>
      <c r="UPH33" s="127"/>
      <c r="UPI33" s="127"/>
      <c r="UPJ33" s="127"/>
      <c r="UPK33" s="127"/>
      <c r="UPL33" s="127"/>
      <c r="UPM33" s="127"/>
      <c r="UPN33" s="127"/>
      <c r="UPO33" s="127"/>
      <c r="UPP33" s="127"/>
      <c r="UPQ33" s="127"/>
      <c r="UPR33" s="127"/>
      <c r="UPS33" s="127"/>
      <c r="UPT33" s="127"/>
      <c r="UPU33" s="127"/>
      <c r="UPV33" s="127"/>
      <c r="UPW33" s="127"/>
      <c r="UPX33" s="127"/>
      <c r="UPY33" s="127"/>
      <c r="UPZ33" s="127"/>
      <c r="UQA33" s="127"/>
      <c r="UQB33" s="127"/>
      <c r="UQC33" s="127"/>
      <c r="UQD33" s="127"/>
      <c r="UQE33" s="127"/>
      <c r="UQF33" s="127"/>
      <c r="UQG33" s="127"/>
      <c r="UQH33" s="127"/>
      <c r="UQI33" s="127"/>
      <c r="UQJ33" s="127"/>
      <c r="UQK33" s="127"/>
      <c r="UQL33" s="127"/>
      <c r="UQM33" s="127"/>
      <c r="UQN33" s="127"/>
      <c r="UQO33" s="127"/>
      <c r="UQP33" s="127"/>
      <c r="UQQ33" s="127"/>
      <c r="UQR33" s="127"/>
      <c r="UQS33" s="127"/>
      <c r="UQT33" s="127"/>
      <c r="UQU33" s="127"/>
      <c r="UQV33" s="127"/>
      <c r="UQW33" s="127"/>
      <c r="UQX33" s="127"/>
      <c r="UQY33" s="127"/>
      <c r="UQZ33" s="127"/>
      <c r="URA33" s="127"/>
      <c r="URB33" s="127"/>
      <c r="URC33" s="127"/>
      <c r="URD33" s="127"/>
      <c r="URE33" s="127"/>
      <c r="URF33" s="127"/>
      <c r="URG33" s="127"/>
      <c r="URH33" s="127"/>
      <c r="URI33" s="127"/>
      <c r="URJ33" s="127"/>
      <c r="URK33" s="127"/>
      <c r="URL33" s="127"/>
      <c r="URM33" s="127"/>
      <c r="URN33" s="127"/>
      <c r="URO33" s="127"/>
      <c r="URP33" s="127"/>
      <c r="URQ33" s="127"/>
      <c r="URR33" s="127"/>
      <c r="URS33" s="127"/>
      <c r="URT33" s="127"/>
      <c r="URU33" s="127"/>
      <c r="URV33" s="127"/>
      <c r="URW33" s="127"/>
      <c r="URX33" s="127"/>
      <c r="URY33" s="127"/>
      <c r="URZ33" s="127"/>
      <c r="USA33" s="127"/>
      <c r="USB33" s="127"/>
      <c r="USC33" s="127"/>
      <c r="USD33" s="127"/>
      <c r="USE33" s="127"/>
      <c r="USF33" s="127"/>
      <c r="USG33" s="127"/>
      <c r="USH33" s="127"/>
      <c r="USI33" s="127"/>
      <c r="USJ33" s="127"/>
      <c r="USK33" s="127"/>
      <c r="USL33" s="127"/>
      <c r="USM33" s="127"/>
      <c r="USN33" s="127"/>
      <c r="USO33" s="127"/>
      <c r="USP33" s="127"/>
      <c r="USQ33" s="127"/>
      <c r="USR33" s="127"/>
      <c r="USS33" s="127"/>
      <c r="UST33" s="127"/>
      <c r="USU33" s="127"/>
      <c r="USV33" s="127"/>
      <c r="USW33" s="127"/>
      <c r="USX33" s="127"/>
      <c r="USY33" s="127"/>
      <c r="USZ33" s="127"/>
      <c r="UTA33" s="127"/>
      <c r="UTB33" s="127"/>
      <c r="UTC33" s="127"/>
      <c r="UTD33" s="127"/>
      <c r="UTE33" s="127"/>
      <c r="UTF33" s="127"/>
      <c r="UTG33" s="127"/>
      <c r="UTH33" s="127"/>
      <c r="UTI33" s="127"/>
      <c r="UTJ33" s="127"/>
      <c r="UTK33" s="127"/>
      <c r="UTL33" s="127"/>
      <c r="UTM33" s="127"/>
      <c r="UTN33" s="127"/>
      <c r="UTO33" s="127"/>
      <c r="UTP33" s="127"/>
      <c r="UTQ33" s="127"/>
      <c r="UTR33" s="127"/>
      <c r="UTS33" s="127"/>
      <c r="UTT33" s="127"/>
      <c r="UTU33" s="127"/>
      <c r="UTV33" s="127"/>
      <c r="UTW33" s="127"/>
      <c r="UTX33" s="127"/>
      <c r="UTY33" s="127"/>
      <c r="UTZ33" s="127"/>
      <c r="UUA33" s="127"/>
      <c r="UUB33" s="127"/>
      <c r="UUC33" s="127"/>
      <c r="UUD33" s="127"/>
      <c r="UUE33" s="127"/>
      <c r="UUF33" s="127"/>
      <c r="UUG33" s="127"/>
      <c r="UUH33" s="127"/>
      <c r="UUI33" s="127"/>
      <c r="UUJ33" s="127"/>
      <c r="UUK33" s="127"/>
      <c r="UUL33" s="127"/>
      <c r="UUM33" s="127"/>
      <c r="UUN33" s="127"/>
      <c r="UUO33" s="127"/>
      <c r="UUP33" s="127"/>
      <c r="UUQ33" s="127"/>
      <c r="UUR33" s="127"/>
      <c r="UUS33" s="127"/>
      <c r="UUT33" s="127"/>
      <c r="UUU33" s="127"/>
      <c r="UUV33" s="127"/>
      <c r="UUW33" s="127"/>
      <c r="UUX33" s="127"/>
      <c r="UUY33" s="127"/>
      <c r="UUZ33" s="127"/>
      <c r="UVA33" s="127"/>
      <c r="UVB33" s="127"/>
      <c r="UVC33" s="127"/>
      <c r="UVD33" s="127"/>
      <c r="UVE33" s="127"/>
      <c r="UVF33" s="127"/>
      <c r="UVG33" s="127"/>
      <c r="UVH33" s="127"/>
      <c r="UVI33" s="127"/>
      <c r="UVJ33" s="127"/>
      <c r="UVK33" s="127"/>
      <c r="UVL33" s="127"/>
      <c r="UVM33" s="127"/>
      <c r="UVN33" s="127"/>
      <c r="UVO33" s="127"/>
      <c r="UVP33" s="127"/>
      <c r="UVQ33" s="127"/>
      <c r="UVR33" s="127"/>
      <c r="UVS33" s="127"/>
      <c r="UVT33" s="127"/>
      <c r="UVU33" s="127"/>
      <c r="UVV33" s="127"/>
      <c r="UVW33" s="127"/>
      <c r="UVX33" s="127"/>
      <c r="UVY33" s="127"/>
      <c r="UVZ33" s="127"/>
      <c r="UWA33" s="127"/>
      <c r="UWB33" s="127"/>
      <c r="UWC33" s="127"/>
      <c r="UWD33" s="127"/>
      <c r="UWE33" s="127"/>
      <c r="UWF33" s="127"/>
      <c r="UWG33" s="127"/>
      <c r="UWH33" s="127"/>
      <c r="UWI33" s="127"/>
      <c r="UWJ33" s="127"/>
      <c r="UWK33" s="127"/>
      <c r="UWL33" s="127"/>
      <c r="UWM33" s="127"/>
      <c r="UWN33" s="127"/>
      <c r="UWO33" s="127"/>
      <c r="UWP33" s="127"/>
      <c r="UWQ33" s="127"/>
      <c r="UWR33" s="127"/>
      <c r="UWS33" s="127"/>
      <c r="UWT33" s="127"/>
      <c r="UWU33" s="127"/>
      <c r="UWV33" s="127"/>
      <c r="UWW33" s="127"/>
      <c r="UWX33" s="127"/>
      <c r="UWY33" s="127"/>
      <c r="UWZ33" s="127"/>
      <c r="UXA33" s="127"/>
      <c r="UXB33" s="127"/>
      <c r="UXC33" s="127"/>
      <c r="UXD33" s="127"/>
      <c r="UXE33" s="127"/>
      <c r="UXF33" s="127"/>
      <c r="UXG33" s="127"/>
      <c r="UXH33" s="127"/>
      <c r="UXI33" s="127"/>
      <c r="UXJ33" s="127"/>
      <c r="UXK33" s="127"/>
      <c r="UXL33" s="127"/>
      <c r="UXM33" s="127"/>
      <c r="UXN33" s="127"/>
      <c r="UXO33" s="127"/>
      <c r="UXP33" s="127"/>
      <c r="UXQ33" s="127"/>
      <c r="UXR33" s="127"/>
      <c r="UXS33" s="127"/>
      <c r="UXT33" s="127"/>
      <c r="UXU33" s="127"/>
      <c r="UXV33" s="127"/>
      <c r="UXW33" s="127"/>
      <c r="UXX33" s="127"/>
      <c r="UXY33" s="127"/>
      <c r="UXZ33" s="127"/>
      <c r="UYA33" s="127"/>
      <c r="UYB33" s="127"/>
      <c r="UYC33" s="127"/>
      <c r="UYD33" s="127"/>
      <c r="UYE33" s="127"/>
      <c r="UYF33" s="127"/>
      <c r="UYG33" s="127"/>
      <c r="UYH33" s="127"/>
      <c r="UYI33" s="127"/>
      <c r="UYJ33" s="127"/>
      <c r="UYK33" s="127"/>
      <c r="UYL33" s="127"/>
      <c r="UYM33" s="127"/>
      <c r="UYN33" s="127"/>
      <c r="UYO33" s="127"/>
      <c r="UYP33" s="127"/>
      <c r="UYQ33" s="127"/>
      <c r="UYR33" s="127"/>
      <c r="UYS33" s="127"/>
      <c r="UYT33" s="127"/>
      <c r="UYU33" s="127"/>
      <c r="UYV33" s="127"/>
      <c r="UYW33" s="127"/>
      <c r="UYX33" s="127"/>
      <c r="UYY33" s="127"/>
      <c r="UYZ33" s="127"/>
      <c r="UZA33" s="127"/>
      <c r="UZB33" s="127"/>
      <c r="UZC33" s="127"/>
      <c r="UZD33" s="127"/>
      <c r="UZE33" s="127"/>
      <c r="UZF33" s="127"/>
      <c r="UZG33" s="127"/>
      <c r="UZH33" s="127"/>
      <c r="UZI33" s="127"/>
      <c r="UZJ33" s="127"/>
      <c r="UZK33" s="127"/>
      <c r="UZL33" s="127"/>
      <c r="UZM33" s="127"/>
      <c r="UZN33" s="127"/>
      <c r="UZO33" s="127"/>
      <c r="UZP33" s="127"/>
      <c r="UZQ33" s="127"/>
      <c r="UZR33" s="127"/>
      <c r="UZS33" s="127"/>
      <c r="UZT33" s="127"/>
      <c r="UZU33" s="127"/>
      <c r="UZV33" s="127"/>
      <c r="UZW33" s="127"/>
      <c r="UZX33" s="127"/>
      <c r="UZY33" s="127"/>
      <c r="UZZ33" s="127"/>
      <c r="VAA33" s="127"/>
      <c r="VAB33" s="127"/>
      <c r="VAC33" s="127"/>
      <c r="VAD33" s="127"/>
      <c r="VAE33" s="127"/>
      <c r="VAF33" s="127"/>
      <c r="VAG33" s="127"/>
      <c r="VAH33" s="127"/>
      <c r="VAI33" s="127"/>
      <c r="VAJ33" s="127"/>
      <c r="VAK33" s="127"/>
      <c r="VAL33" s="127"/>
      <c r="VAM33" s="127"/>
      <c r="VAN33" s="127"/>
      <c r="VAO33" s="127"/>
      <c r="VAP33" s="127"/>
      <c r="VAQ33" s="127"/>
      <c r="VAR33" s="127"/>
      <c r="VAS33" s="127"/>
      <c r="VAT33" s="127"/>
      <c r="VAU33" s="127"/>
      <c r="VAV33" s="127"/>
      <c r="VAW33" s="127"/>
      <c r="VAX33" s="127"/>
      <c r="VAY33" s="127"/>
      <c r="VAZ33" s="127"/>
      <c r="VBA33" s="127"/>
      <c r="VBB33" s="127"/>
      <c r="VBC33" s="127"/>
      <c r="VBD33" s="127"/>
      <c r="VBE33" s="127"/>
      <c r="VBF33" s="127"/>
      <c r="VBG33" s="127"/>
      <c r="VBH33" s="127"/>
      <c r="VBI33" s="127"/>
      <c r="VBJ33" s="127"/>
      <c r="VBK33" s="127"/>
      <c r="VBL33" s="127"/>
      <c r="VBM33" s="127"/>
      <c r="VBN33" s="127"/>
      <c r="VBO33" s="127"/>
      <c r="VBP33" s="127"/>
      <c r="VBQ33" s="127"/>
      <c r="VBR33" s="127"/>
      <c r="VBS33" s="127"/>
      <c r="VBT33" s="127"/>
      <c r="VBU33" s="127"/>
      <c r="VBV33" s="127"/>
      <c r="VBW33" s="127"/>
      <c r="VBX33" s="127"/>
      <c r="VBY33" s="127"/>
      <c r="VBZ33" s="127"/>
      <c r="VCA33" s="127"/>
      <c r="VCB33" s="127"/>
      <c r="VCC33" s="127"/>
      <c r="VCD33" s="127"/>
      <c r="VCE33" s="127"/>
      <c r="VCF33" s="127"/>
      <c r="VCG33" s="127"/>
      <c r="VCH33" s="127"/>
      <c r="VCI33" s="127"/>
      <c r="VCJ33" s="127"/>
      <c r="VCK33" s="127"/>
      <c r="VCL33" s="127"/>
      <c r="VCM33" s="127"/>
      <c r="VCN33" s="127"/>
      <c r="VCO33" s="127"/>
      <c r="VCP33" s="127"/>
      <c r="VCQ33" s="127"/>
      <c r="VCR33" s="127"/>
      <c r="VCS33" s="127"/>
      <c r="VCT33" s="127"/>
      <c r="VCU33" s="127"/>
      <c r="VCV33" s="127"/>
      <c r="VCW33" s="127"/>
      <c r="VCX33" s="127"/>
      <c r="VCY33" s="127"/>
      <c r="VCZ33" s="127"/>
      <c r="VDA33" s="127"/>
      <c r="VDB33" s="127"/>
      <c r="VDC33" s="127"/>
      <c r="VDD33" s="127"/>
      <c r="VDE33" s="127"/>
      <c r="VDF33" s="127"/>
      <c r="VDG33" s="127"/>
      <c r="VDH33" s="127"/>
      <c r="VDI33" s="127"/>
      <c r="VDJ33" s="127"/>
      <c r="VDK33" s="127"/>
      <c r="VDL33" s="127"/>
      <c r="VDM33" s="127"/>
      <c r="VDN33" s="127"/>
      <c r="VDO33" s="127"/>
      <c r="VDP33" s="127"/>
      <c r="VDQ33" s="127"/>
      <c r="VDR33" s="127"/>
      <c r="VDS33" s="127"/>
      <c r="VDT33" s="127"/>
      <c r="VDU33" s="127"/>
      <c r="VDV33" s="127"/>
      <c r="VDW33" s="127"/>
      <c r="VDX33" s="127"/>
      <c r="VDY33" s="127"/>
      <c r="VDZ33" s="127"/>
      <c r="VEA33" s="127"/>
      <c r="VEB33" s="127"/>
      <c r="VEC33" s="127"/>
      <c r="VED33" s="127"/>
      <c r="VEE33" s="127"/>
      <c r="VEF33" s="127"/>
      <c r="VEG33" s="127"/>
      <c r="VEH33" s="127"/>
      <c r="VEI33" s="127"/>
      <c r="VEJ33" s="127"/>
      <c r="VEK33" s="127"/>
      <c r="VEL33" s="127"/>
      <c r="VEM33" s="127"/>
      <c r="VEN33" s="127"/>
      <c r="VEO33" s="127"/>
      <c r="VEP33" s="127"/>
      <c r="VEQ33" s="127"/>
      <c r="VER33" s="127"/>
      <c r="VES33" s="127"/>
      <c r="VET33" s="127"/>
      <c r="VEU33" s="127"/>
      <c r="VEV33" s="127"/>
      <c r="VEW33" s="127"/>
      <c r="VEX33" s="127"/>
      <c r="VEY33" s="127"/>
      <c r="VEZ33" s="127"/>
      <c r="VFA33" s="127"/>
      <c r="VFB33" s="127"/>
      <c r="VFC33" s="127"/>
      <c r="VFD33" s="127"/>
      <c r="VFE33" s="127"/>
      <c r="VFF33" s="127"/>
      <c r="VFG33" s="127"/>
      <c r="VFH33" s="127"/>
      <c r="VFI33" s="127"/>
      <c r="VFJ33" s="127"/>
      <c r="VFK33" s="127"/>
      <c r="VFL33" s="127"/>
      <c r="VFM33" s="127"/>
      <c r="VFN33" s="127"/>
      <c r="VFO33" s="127"/>
      <c r="VFP33" s="127"/>
      <c r="VFQ33" s="127"/>
      <c r="VFR33" s="127"/>
      <c r="VFS33" s="127"/>
      <c r="VFT33" s="127"/>
      <c r="VFU33" s="127"/>
      <c r="VFV33" s="127"/>
      <c r="VFW33" s="127"/>
      <c r="VFX33" s="127"/>
      <c r="VFY33" s="127"/>
      <c r="VFZ33" s="127"/>
      <c r="VGA33" s="127"/>
      <c r="VGB33" s="127"/>
      <c r="VGC33" s="127"/>
      <c r="VGD33" s="127"/>
      <c r="VGE33" s="127"/>
      <c r="VGF33" s="127"/>
      <c r="VGG33" s="127"/>
      <c r="VGH33" s="127"/>
      <c r="VGI33" s="127"/>
      <c r="VGJ33" s="127"/>
      <c r="VGK33" s="127"/>
      <c r="VGL33" s="127"/>
      <c r="VGM33" s="127"/>
      <c r="VGN33" s="127"/>
      <c r="VGO33" s="127"/>
      <c r="VGP33" s="127"/>
      <c r="VGQ33" s="127"/>
      <c r="VGR33" s="127"/>
      <c r="VGS33" s="127"/>
      <c r="VGT33" s="127"/>
      <c r="VGU33" s="127"/>
      <c r="VGV33" s="127"/>
      <c r="VGW33" s="127"/>
      <c r="VGX33" s="127"/>
      <c r="VGY33" s="127"/>
      <c r="VGZ33" s="127"/>
      <c r="VHA33" s="127"/>
      <c r="VHB33" s="127"/>
      <c r="VHC33" s="127"/>
      <c r="VHD33" s="127"/>
      <c r="VHE33" s="127"/>
      <c r="VHF33" s="127"/>
      <c r="VHG33" s="127"/>
      <c r="VHH33" s="127"/>
      <c r="VHI33" s="127"/>
      <c r="VHJ33" s="127"/>
      <c r="VHK33" s="127"/>
      <c r="VHL33" s="127"/>
      <c r="VHM33" s="127"/>
      <c r="VHN33" s="127"/>
      <c r="VHO33" s="127"/>
      <c r="VHP33" s="127"/>
      <c r="VHQ33" s="127"/>
      <c r="VHR33" s="127"/>
      <c r="VHS33" s="127"/>
      <c r="VHT33" s="127"/>
      <c r="VHU33" s="127"/>
      <c r="VHV33" s="127"/>
      <c r="VHW33" s="127"/>
      <c r="VHX33" s="127"/>
      <c r="VHY33" s="127"/>
      <c r="VHZ33" s="127"/>
      <c r="VIA33" s="127"/>
      <c r="VIB33" s="127"/>
      <c r="VIC33" s="127"/>
      <c r="VID33" s="127"/>
      <c r="VIE33" s="127"/>
      <c r="VIF33" s="127"/>
      <c r="VIG33" s="127"/>
      <c r="VIH33" s="127"/>
      <c r="VII33" s="127"/>
      <c r="VIJ33" s="127"/>
      <c r="VIK33" s="127"/>
      <c r="VIL33" s="127"/>
      <c r="VIM33" s="127"/>
      <c r="VIN33" s="127"/>
      <c r="VIO33" s="127"/>
      <c r="VIP33" s="127"/>
      <c r="VIQ33" s="127"/>
      <c r="VIR33" s="127"/>
      <c r="VIS33" s="127"/>
      <c r="VIT33" s="127"/>
      <c r="VIU33" s="127"/>
      <c r="VIV33" s="127"/>
      <c r="VIW33" s="127"/>
      <c r="VIX33" s="127"/>
      <c r="VIY33" s="127"/>
      <c r="VIZ33" s="127"/>
      <c r="VJA33" s="127"/>
      <c r="VJB33" s="127"/>
      <c r="VJC33" s="127"/>
      <c r="VJD33" s="127"/>
      <c r="VJE33" s="127"/>
      <c r="VJF33" s="127"/>
      <c r="VJG33" s="127"/>
      <c r="VJH33" s="127"/>
      <c r="VJI33" s="127"/>
      <c r="VJJ33" s="127"/>
      <c r="VJK33" s="127"/>
      <c r="VJL33" s="127"/>
      <c r="VJM33" s="127"/>
      <c r="VJN33" s="127"/>
      <c r="VJO33" s="127"/>
      <c r="VJP33" s="127"/>
      <c r="VJQ33" s="127"/>
      <c r="VJR33" s="127"/>
      <c r="VJS33" s="127"/>
      <c r="VJT33" s="127"/>
      <c r="VJU33" s="127"/>
      <c r="VJV33" s="127"/>
      <c r="VJW33" s="127"/>
      <c r="VJX33" s="127"/>
      <c r="VJY33" s="127"/>
      <c r="VJZ33" s="127"/>
      <c r="VKA33" s="127"/>
      <c r="VKB33" s="127"/>
      <c r="VKC33" s="127"/>
      <c r="VKD33" s="127"/>
      <c r="VKE33" s="127"/>
      <c r="VKF33" s="127"/>
      <c r="VKG33" s="127"/>
      <c r="VKH33" s="127"/>
      <c r="VKI33" s="127"/>
      <c r="VKJ33" s="127"/>
      <c r="VKK33" s="127"/>
      <c r="VKL33" s="127"/>
      <c r="VKM33" s="127"/>
      <c r="VKN33" s="127"/>
      <c r="VKO33" s="127"/>
      <c r="VKP33" s="127"/>
      <c r="VKQ33" s="127"/>
      <c r="VKR33" s="127"/>
      <c r="VKS33" s="127"/>
      <c r="VKT33" s="127"/>
      <c r="VKU33" s="127"/>
      <c r="VKV33" s="127"/>
      <c r="VKW33" s="127"/>
      <c r="VKX33" s="127"/>
      <c r="VKY33" s="127"/>
      <c r="VKZ33" s="127"/>
      <c r="VLA33" s="127"/>
      <c r="VLB33" s="127"/>
      <c r="VLC33" s="127"/>
      <c r="VLD33" s="127"/>
      <c r="VLE33" s="127"/>
      <c r="VLF33" s="127"/>
      <c r="VLG33" s="127"/>
      <c r="VLH33" s="127"/>
      <c r="VLI33" s="127"/>
      <c r="VLJ33" s="127"/>
      <c r="VLK33" s="127"/>
      <c r="VLL33" s="127"/>
      <c r="VLM33" s="127"/>
      <c r="VLN33" s="127"/>
      <c r="VLO33" s="127"/>
      <c r="VLP33" s="127"/>
      <c r="VLQ33" s="127"/>
      <c r="VLR33" s="127"/>
      <c r="VLS33" s="127"/>
      <c r="VLT33" s="127"/>
      <c r="VLU33" s="127"/>
      <c r="VLV33" s="127"/>
      <c r="VLW33" s="127"/>
      <c r="VLX33" s="127"/>
      <c r="VLY33" s="127"/>
      <c r="VLZ33" s="127"/>
      <c r="VMA33" s="127"/>
      <c r="VMB33" s="127"/>
      <c r="VMC33" s="127"/>
      <c r="VMD33" s="127"/>
      <c r="VME33" s="127"/>
      <c r="VMF33" s="127"/>
      <c r="VMG33" s="127"/>
      <c r="VMH33" s="127"/>
      <c r="VMI33" s="127"/>
      <c r="VMJ33" s="127"/>
      <c r="VMK33" s="127"/>
      <c r="VML33" s="127"/>
      <c r="VMM33" s="127"/>
      <c r="VMN33" s="127"/>
      <c r="VMO33" s="127"/>
      <c r="VMP33" s="127"/>
      <c r="VMQ33" s="127"/>
      <c r="VMR33" s="127"/>
      <c r="VMS33" s="127"/>
      <c r="VMT33" s="127"/>
      <c r="VMU33" s="127"/>
      <c r="VMV33" s="127"/>
      <c r="VMW33" s="127"/>
      <c r="VMX33" s="127"/>
      <c r="VMY33" s="127"/>
      <c r="VMZ33" s="127"/>
      <c r="VNA33" s="127"/>
      <c r="VNB33" s="127"/>
      <c r="VNC33" s="127"/>
      <c r="VND33" s="127"/>
      <c r="VNE33" s="127"/>
      <c r="VNF33" s="127"/>
      <c r="VNG33" s="127"/>
      <c r="VNH33" s="127"/>
      <c r="VNI33" s="127"/>
      <c r="VNJ33" s="127"/>
      <c r="VNK33" s="127"/>
      <c r="VNL33" s="127"/>
      <c r="VNM33" s="127"/>
      <c r="VNN33" s="127"/>
      <c r="VNO33" s="127"/>
      <c r="VNP33" s="127"/>
      <c r="VNQ33" s="127"/>
      <c r="VNR33" s="127"/>
      <c r="VNS33" s="127"/>
      <c r="VNT33" s="127"/>
      <c r="VNU33" s="127"/>
      <c r="VNV33" s="127"/>
      <c r="VNW33" s="127"/>
      <c r="VNX33" s="127"/>
      <c r="VNY33" s="127"/>
      <c r="VNZ33" s="127"/>
      <c r="VOA33" s="127"/>
      <c r="VOB33" s="127"/>
      <c r="VOC33" s="127"/>
      <c r="VOD33" s="127"/>
      <c r="VOE33" s="127"/>
      <c r="VOF33" s="127"/>
      <c r="VOG33" s="127"/>
      <c r="VOH33" s="127"/>
      <c r="VOI33" s="127"/>
      <c r="VOJ33" s="127"/>
      <c r="VOK33" s="127"/>
      <c r="VOL33" s="127"/>
      <c r="VOM33" s="127"/>
      <c r="VON33" s="127"/>
      <c r="VOO33" s="127"/>
      <c r="VOP33" s="127"/>
      <c r="VOQ33" s="127"/>
      <c r="VOR33" s="127"/>
      <c r="VOS33" s="127"/>
      <c r="VOT33" s="127"/>
      <c r="VOU33" s="127"/>
      <c r="VOV33" s="127"/>
      <c r="VOW33" s="127"/>
      <c r="VOX33" s="127"/>
      <c r="VOY33" s="127"/>
      <c r="VOZ33" s="127"/>
      <c r="VPA33" s="127"/>
      <c r="VPB33" s="127"/>
      <c r="VPC33" s="127"/>
      <c r="VPD33" s="127"/>
      <c r="VPE33" s="127"/>
      <c r="VPF33" s="127"/>
      <c r="VPG33" s="127"/>
      <c r="VPH33" s="127"/>
      <c r="VPI33" s="127"/>
      <c r="VPJ33" s="127"/>
      <c r="VPK33" s="127"/>
      <c r="VPL33" s="127"/>
      <c r="VPM33" s="127"/>
      <c r="VPN33" s="127"/>
      <c r="VPO33" s="127"/>
      <c r="VPP33" s="127"/>
      <c r="VPQ33" s="127"/>
      <c r="VPR33" s="127"/>
      <c r="VPS33" s="127"/>
      <c r="VPT33" s="127"/>
      <c r="VPU33" s="127"/>
      <c r="VPV33" s="127"/>
      <c r="VPW33" s="127"/>
      <c r="VPX33" s="127"/>
      <c r="VPY33" s="127"/>
      <c r="VPZ33" s="127"/>
      <c r="VQA33" s="127"/>
      <c r="VQB33" s="127"/>
      <c r="VQC33" s="127"/>
      <c r="VQD33" s="127"/>
      <c r="VQE33" s="127"/>
      <c r="VQF33" s="127"/>
      <c r="VQG33" s="127"/>
      <c r="VQH33" s="127"/>
      <c r="VQI33" s="127"/>
      <c r="VQJ33" s="127"/>
      <c r="VQK33" s="127"/>
      <c r="VQL33" s="127"/>
      <c r="VQM33" s="127"/>
      <c r="VQN33" s="127"/>
      <c r="VQO33" s="127"/>
      <c r="VQP33" s="127"/>
      <c r="VQQ33" s="127"/>
      <c r="VQR33" s="127"/>
      <c r="VQS33" s="127"/>
      <c r="VQT33" s="127"/>
      <c r="VQU33" s="127"/>
      <c r="VQV33" s="127"/>
      <c r="VQW33" s="127"/>
      <c r="VQX33" s="127"/>
      <c r="VQY33" s="127"/>
      <c r="VQZ33" s="127"/>
      <c r="VRA33" s="127"/>
      <c r="VRB33" s="127"/>
      <c r="VRC33" s="127"/>
      <c r="VRD33" s="127"/>
      <c r="VRE33" s="127"/>
      <c r="VRF33" s="127"/>
      <c r="VRG33" s="127"/>
      <c r="VRH33" s="127"/>
      <c r="VRI33" s="127"/>
      <c r="VRJ33" s="127"/>
      <c r="VRK33" s="127"/>
      <c r="VRL33" s="127"/>
      <c r="VRM33" s="127"/>
      <c r="VRN33" s="127"/>
      <c r="VRO33" s="127"/>
      <c r="VRP33" s="127"/>
      <c r="VRQ33" s="127"/>
      <c r="VRR33" s="127"/>
      <c r="VRS33" s="127"/>
      <c r="VRT33" s="127"/>
      <c r="VRU33" s="127"/>
      <c r="VRV33" s="127"/>
      <c r="VRW33" s="127"/>
      <c r="VRX33" s="127"/>
      <c r="VRY33" s="127"/>
      <c r="VRZ33" s="127"/>
      <c r="VSA33" s="127"/>
      <c r="VSB33" s="127"/>
      <c r="VSC33" s="127"/>
      <c r="VSD33" s="127"/>
      <c r="VSE33" s="127"/>
      <c r="VSF33" s="127"/>
      <c r="VSG33" s="127"/>
      <c r="VSH33" s="127"/>
      <c r="VSI33" s="127"/>
      <c r="VSJ33" s="127"/>
      <c r="VSK33" s="127"/>
      <c r="VSL33" s="127"/>
      <c r="VSM33" s="127"/>
      <c r="VSN33" s="127"/>
      <c r="VSO33" s="127"/>
      <c r="VSP33" s="127"/>
      <c r="VSQ33" s="127"/>
      <c r="VSR33" s="127"/>
      <c r="VSS33" s="127"/>
      <c r="VST33" s="127"/>
      <c r="VSU33" s="127"/>
      <c r="VSV33" s="127"/>
      <c r="VSW33" s="127"/>
      <c r="VSX33" s="127"/>
      <c r="VSY33" s="127"/>
      <c r="VSZ33" s="127"/>
      <c r="VTA33" s="127"/>
      <c r="VTB33" s="127"/>
      <c r="VTC33" s="127"/>
      <c r="VTD33" s="127"/>
      <c r="VTE33" s="127"/>
      <c r="VTF33" s="127"/>
      <c r="VTG33" s="127"/>
      <c r="VTH33" s="127"/>
      <c r="VTI33" s="127"/>
      <c r="VTJ33" s="127"/>
      <c r="VTK33" s="127"/>
      <c r="VTL33" s="127"/>
      <c r="VTM33" s="127"/>
      <c r="VTN33" s="127"/>
      <c r="VTO33" s="127"/>
      <c r="VTP33" s="127"/>
      <c r="VTQ33" s="127"/>
      <c r="VTR33" s="127"/>
      <c r="VTS33" s="127"/>
      <c r="VTT33" s="127"/>
      <c r="VTU33" s="127"/>
      <c r="VTV33" s="127"/>
      <c r="VTW33" s="127"/>
      <c r="VTX33" s="127"/>
      <c r="VTY33" s="127"/>
      <c r="VTZ33" s="127"/>
      <c r="VUA33" s="127"/>
      <c r="VUB33" s="127"/>
      <c r="VUC33" s="127"/>
      <c r="VUD33" s="127"/>
      <c r="VUE33" s="127"/>
      <c r="VUF33" s="127"/>
      <c r="VUG33" s="127"/>
      <c r="VUH33" s="127"/>
      <c r="VUI33" s="127"/>
      <c r="VUJ33" s="127"/>
      <c r="VUK33" s="127"/>
      <c r="VUL33" s="127"/>
      <c r="VUM33" s="127"/>
      <c r="VUN33" s="127"/>
      <c r="VUO33" s="127"/>
      <c r="VUP33" s="127"/>
      <c r="VUQ33" s="127"/>
      <c r="VUR33" s="127"/>
      <c r="VUS33" s="127"/>
      <c r="VUT33" s="127"/>
      <c r="VUU33" s="127"/>
      <c r="VUV33" s="127"/>
      <c r="VUW33" s="127"/>
      <c r="VUX33" s="127"/>
      <c r="VUY33" s="127"/>
      <c r="VUZ33" s="127"/>
      <c r="VVA33" s="127"/>
      <c r="VVB33" s="127"/>
      <c r="VVC33" s="127"/>
      <c r="VVD33" s="127"/>
      <c r="VVE33" s="127"/>
      <c r="VVF33" s="127"/>
      <c r="VVG33" s="127"/>
      <c r="VVH33" s="127"/>
      <c r="VVI33" s="127"/>
      <c r="VVJ33" s="127"/>
      <c r="VVK33" s="127"/>
      <c r="VVL33" s="127"/>
      <c r="VVM33" s="127"/>
      <c r="VVN33" s="127"/>
      <c r="VVO33" s="127"/>
      <c r="VVP33" s="127"/>
      <c r="VVQ33" s="127"/>
      <c r="VVR33" s="127"/>
      <c r="VVS33" s="127"/>
      <c r="VVT33" s="127"/>
      <c r="VVU33" s="127"/>
      <c r="VVV33" s="127"/>
      <c r="VVW33" s="127"/>
      <c r="VVX33" s="127"/>
      <c r="VVY33" s="127"/>
      <c r="VVZ33" s="127"/>
      <c r="VWA33" s="127"/>
      <c r="VWB33" s="127"/>
      <c r="VWC33" s="127"/>
      <c r="VWD33" s="127"/>
      <c r="VWE33" s="127"/>
      <c r="VWF33" s="127"/>
      <c r="VWG33" s="127"/>
      <c r="VWH33" s="127"/>
      <c r="VWI33" s="127"/>
      <c r="VWJ33" s="127"/>
      <c r="VWK33" s="127"/>
      <c r="VWL33" s="127"/>
      <c r="VWM33" s="127"/>
      <c r="VWN33" s="127"/>
      <c r="VWO33" s="127"/>
      <c r="VWP33" s="127"/>
      <c r="VWQ33" s="127"/>
      <c r="VWR33" s="127"/>
      <c r="VWS33" s="127"/>
      <c r="VWT33" s="127"/>
      <c r="VWU33" s="127"/>
      <c r="VWV33" s="127"/>
      <c r="VWW33" s="127"/>
      <c r="VWX33" s="127"/>
      <c r="VWY33" s="127"/>
      <c r="VWZ33" s="127"/>
      <c r="VXA33" s="127"/>
      <c r="VXB33" s="127"/>
      <c r="VXC33" s="127"/>
      <c r="VXD33" s="127"/>
      <c r="VXE33" s="127"/>
      <c r="VXF33" s="127"/>
      <c r="VXG33" s="127"/>
      <c r="VXH33" s="127"/>
      <c r="VXI33" s="127"/>
      <c r="VXJ33" s="127"/>
      <c r="VXK33" s="127"/>
      <c r="VXL33" s="127"/>
      <c r="VXM33" s="127"/>
      <c r="VXN33" s="127"/>
      <c r="VXO33" s="127"/>
      <c r="VXP33" s="127"/>
      <c r="VXQ33" s="127"/>
      <c r="VXR33" s="127"/>
      <c r="VXS33" s="127"/>
      <c r="VXT33" s="127"/>
      <c r="VXU33" s="127"/>
      <c r="VXV33" s="127"/>
      <c r="VXW33" s="127"/>
      <c r="VXX33" s="127"/>
      <c r="VXY33" s="127"/>
      <c r="VXZ33" s="127"/>
      <c r="VYA33" s="127"/>
      <c r="VYB33" s="127"/>
      <c r="VYC33" s="127"/>
      <c r="VYD33" s="127"/>
      <c r="VYE33" s="127"/>
      <c r="VYF33" s="127"/>
      <c r="VYG33" s="127"/>
      <c r="VYH33" s="127"/>
      <c r="VYI33" s="127"/>
      <c r="VYJ33" s="127"/>
      <c r="VYK33" s="127"/>
      <c r="VYL33" s="127"/>
      <c r="VYM33" s="127"/>
      <c r="VYN33" s="127"/>
      <c r="VYO33" s="127"/>
      <c r="VYP33" s="127"/>
      <c r="VYQ33" s="127"/>
      <c r="VYR33" s="127"/>
      <c r="VYS33" s="127"/>
      <c r="VYT33" s="127"/>
      <c r="VYU33" s="127"/>
      <c r="VYV33" s="127"/>
      <c r="VYW33" s="127"/>
      <c r="VYX33" s="127"/>
      <c r="VYY33" s="127"/>
      <c r="VYZ33" s="127"/>
      <c r="VZA33" s="127"/>
      <c r="VZB33" s="127"/>
      <c r="VZC33" s="127"/>
      <c r="VZD33" s="127"/>
      <c r="VZE33" s="127"/>
      <c r="VZF33" s="127"/>
      <c r="VZG33" s="127"/>
      <c r="VZH33" s="127"/>
      <c r="VZI33" s="127"/>
      <c r="VZJ33" s="127"/>
      <c r="VZK33" s="127"/>
      <c r="VZL33" s="127"/>
      <c r="VZM33" s="127"/>
      <c r="VZN33" s="127"/>
      <c r="VZO33" s="127"/>
      <c r="VZP33" s="127"/>
      <c r="VZQ33" s="127"/>
      <c r="VZR33" s="127"/>
      <c r="VZS33" s="127"/>
      <c r="VZT33" s="127"/>
      <c r="VZU33" s="127"/>
      <c r="VZV33" s="127"/>
      <c r="VZW33" s="127"/>
      <c r="VZX33" s="127"/>
      <c r="VZY33" s="127"/>
      <c r="VZZ33" s="127"/>
      <c r="WAA33" s="127"/>
      <c r="WAB33" s="127"/>
      <c r="WAC33" s="127"/>
      <c r="WAD33" s="127"/>
      <c r="WAE33" s="127"/>
      <c r="WAF33" s="127"/>
      <c r="WAG33" s="127"/>
      <c r="WAH33" s="127"/>
      <c r="WAI33" s="127"/>
      <c r="WAJ33" s="127"/>
      <c r="WAK33" s="127"/>
      <c r="WAL33" s="127"/>
      <c r="WAM33" s="127"/>
      <c r="WAN33" s="127"/>
      <c r="WAO33" s="127"/>
      <c r="WAP33" s="127"/>
      <c r="WAQ33" s="127"/>
      <c r="WAR33" s="127"/>
      <c r="WAS33" s="127"/>
      <c r="WAT33" s="127"/>
      <c r="WAU33" s="127"/>
      <c r="WAV33" s="127"/>
      <c r="WAW33" s="127"/>
      <c r="WAX33" s="127"/>
      <c r="WAY33" s="127"/>
      <c r="WAZ33" s="127"/>
      <c r="WBA33" s="127"/>
      <c r="WBB33" s="127"/>
      <c r="WBC33" s="127"/>
      <c r="WBD33" s="127"/>
      <c r="WBE33" s="127"/>
      <c r="WBF33" s="127"/>
      <c r="WBG33" s="127"/>
      <c r="WBH33" s="127"/>
      <c r="WBI33" s="127"/>
      <c r="WBJ33" s="127"/>
      <c r="WBK33" s="127"/>
      <c r="WBL33" s="127"/>
      <c r="WBM33" s="127"/>
      <c r="WBN33" s="127"/>
      <c r="WBO33" s="127"/>
      <c r="WBP33" s="127"/>
      <c r="WBQ33" s="127"/>
      <c r="WBR33" s="127"/>
      <c r="WBS33" s="127"/>
      <c r="WBT33" s="127"/>
      <c r="WBU33" s="127"/>
      <c r="WBV33" s="127"/>
      <c r="WBW33" s="127"/>
      <c r="WBX33" s="127"/>
      <c r="WBY33" s="127"/>
      <c r="WBZ33" s="127"/>
      <c r="WCA33" s="127"/>
      <c r="WCB33" s="127"/>
      <c r="WCC33" s="127"/>
      <c r="WCD33" s="127"/>
      <c r="WCE33" s="127"/>
      <c r="WCF33" s="127"/>
      <c r="WCG33" s="127"/>
      <c r="WCH33" s="127"/>
      <c r="WCI33" s="127"/>
      <c r="WCJ33" s="127"/>
      <c r="WCK33" s="127"/>
      <c r="WCL33" s="127"/>
      <c r="WCM33" s="127"/>
      <c r="WCN33" s="127"/>
      <c r="WCO33" s="127"/>
      <c r="WCP33" s="127"/>
      <c r="WCQ33" s="127"/>
      <c r="WCR33" s="127"/>
      <c r="WCS33" s="127"/>
      <c r="WCT33" s="127"/>
      <c r="WCU33" s="127"/>
      <c r="WCV33" s="127"/>
      <c r="WCW33" s="127"/>
      <c r="WCX33" s="127"/>
      <c r="WCY33" s="127"/>
      <c r="WCZ33" s="127"/>
      <c r="WDA33" s="127"/>
      <c r="WDB33" s="127"/>
      <c r="WDC33" s="127"/>
      <c r="WDD33" s="127"/>
      <c r="WDE33" s="127"/>
      <c r="WDF33" s="127"/>
      <c r="WDG33" s="127"/>
      <c r="WDH33" s="127"/>
      <c r="WDI33" s="127"/>
      <c r="WDJ33" s="127"/>
      <c r="WDK33" s="127"/>
      <c r="WDL33" s="127"/>
      <c r="WDM33" s="127"/>
      <c r="WDN33" s="127"/>
      <c r="WDO33" s="127"/>
      <c r="WDP33" s="127"/>
      <c r="WDQ33" s="127"/>
      <c r="WDR33" s="127"/>
      <c r="WDS33" s="127"/>
      <c r="WDT33" s="127"/>
      <c r="WDU33" s="127"/>
      <c r="WDV33" s="127"/>
      <c r="WDW33" s="127"/>
      <c r="WDX33" s="127"/>
      <c r="WDY33" s="127"/>
      <c r="WDZ33" s="127"/>
      <c r="WEA33" s="127"/>
      <c r="WEB33" s="127"/>
      <c r="WEC33" s="127"/>
      <c r="WED33" s="127"/>
      <c r="WEE33" s="127"/>
      <c r="WEF33" s="127"/>
      <c r="WEG33" s="127"/>
      <c r="WEH33" s="127"/>
      <c r="WEI33" s="127"/>
      <c r="WEJ33" s="127"/>
      <c r="WEK33" s="127"/>
      <c r="WEL33" s="127"/>
      <c r="WEM33" s="127"/>
      <c r="WEN33" s="127"/>
      <c r="WEO33" s="127"/>
      <c r="WEP33" s="127"/>
      <c r="WEQ33" s="127"/>
      <c r="WER33" s="127"/>
      <c r="WES33" s="127"/>
      <c r="WET33" s="127"/>
      <c r="WEU33" s="127"/>
      <c r="WEV33" s="127"/>
      <c r="WEW33" s="127"/>
      <c r="WEX33" s="127"/>
      <c r="WEY33" s="127"/>
      <c r="WEZ33" s="127"/>
      <c r="WFA33" s="127"/>
      <c r="WFB33" s="127"/>
      <c r="WFC33" s="127"/>
      <c r="WFD33" s="127"/>
      <c r="WFE33" s="127"/>
      <c r="WFF33" s="127"/>
      <c r="WFG33" s="127"/>
      <c r="WFH33" s="127"/>
      <c r="WFI33" s="127"/>
      <c r="WFJ33" s="127"/>
      <c r="WFK33" s="127"/>
      <c r="WFL33" s="127"/>
      <c r="WFM33" s="127"/>
      <c r="WFN33" s="127"/>
      <c r="WFO33" s="127"/>
      <c r="WFP33" s="127"/>
      <c r="WFQ33" s="127"/>
      <c r="WFR33" s="127"/>
      <c r="WFS33" s="127"/>
      <c r="WFT33" s="127"/>
      <c r="WFU33" s="127"/>
      <c r="WFV33" s="127"/>
      <c r="WFW33" s="127"/>
      <c r="WFX33" s="127"/>
      <c r="WFY33" s="127"/>
      <c r="WFZ33" s="127"/>
      <c r="WGA33" s="127"/>
      <c r="WGB33" s="127"/>
      <c r="WGC33" s="127"/>
      <c r="WGD33" s="127"/>
      <c r="WGE33" s="127"/>
      <c r="WGF33" s="127"/>
      <c r="WGG33" s="127"/>
      <c r="WGH33" s="127"/>
      <c r="WGI33" s="127"/>
      <c r="WGJ33" s="127"/>
      <c r="WGK33" s="127"/>
      <c r="WGL33" s="127"/>
      <c r="WGM33" s="127"/>
      <c r="WGN33" s="127"/>
      <c r="WGO33" s="127"/>
      <c r="WGP33" s="127"/>
      <c r="WGQ33" s="127"/>
      <c r="WGR33" s="127"/>
      <c r="WGS33" s="127"/>
      <c r="WGT33" s="127"/>
      <c r="WGU33" s="127"/>
      <c r="WGV33" s="127"/>
      <c r="WGW33" s="127"/>
      <c r="WGX33" s="127"/>
      <c r="WGY33" s="127"/>
      <c r="WGZ33" s="127"/>
      <c r="WHA33" s="127"/>
      <c r="WHB33" s="127"/>
      <c r="WHC33" s="127"/>
      <c r="WHD33" s="127"/>
      <c r="WHE33" s="127"/>
      <c r="WHF33" s="127"/>
      <c r="WHG33" s="127"/>
      <c r="WHH33" s="127"/>
      <c r="WHI33" s="127"/>
      <c r="WHJ33" s="127"/>
      <c r="WHK33" s="127"/>
      <c r="WHL33" s="127"/>
      <c r="WHM33" s="127"/>
      <c r="WHN33" s="127"/>
      <c r="WHO33" s="127"/>
      <c r="WHP33" s="127"/>
      <c r="WHQ33" s="127"/>
      <c r="WHR33" s="127"/>
      <c r="WHS33" s="127"/>
      <c r="WHT33" s="127"/>
      <c r="WHU33" s="127"/>
      <c r="WHV33" s="127"/>
      <c r="WHW33" s="127"/>
      <c r="WHX33" s="127"/>
      <c r="WHY33" s="127"/>
      <c r="WHZ33" s="127"/>
      <c r="WIA33" s="127"/>
      <c r="WIB33" s="127"/>
      <c r="WIC33" s="127"/>
      <c r="WID33" s="127"/>
      <c r="WIE33" s="127"/>
      <c r="WIF33" s="127"/>
      <c r="WIG33" s="127"/>
      <c r="WIH33" s="127"/>
      <c r="WII33" s="127"/>
      <c r="WIJ33" s="127"/>
      <c r="WIK33" s="127"/>
      <c r="WIL33" s="127"/>
      <c r="WIM33" s="127"/>
      <c r="WIN33" s="127"/>
      <c r="WIO33" s="127"/>
      <c r="WIP33" s="127"/>
      <c r="WIQ33" s="127"/>
      <c r="WIR33" s="127"/>
      <c r="WIS33" s="127"/>
      <c r="WIT33" s="127"/>
      <c r="WIU33" s="127"/>
      <c r="WIV33" s="127"/>
      <c r="WIW33" s="127"/>
      <c r="WIX33" s="127"/>
      <c r="WIY33" s="127"/>
      <c r="WIZ33" s="127"/>
      <c r="WJA33" s="127"/>
      <c r="WJB33" s="127"/>
      <c r="WJC33" s="127"/>
      <c r="WJD33" s="127"/>
      <c r="WJE33" s="127"/>
      <c r="WJF33" s="127"/>
      <c r="WJG33" s="127"/>
      <c r="WJH33" s="127"/>
      <c r="WJI33" s="127"/>
      <c r="WJJ33" s="127"/>
      <c r="WJK33" s="127"/>
      <c r="WJL33" s="127"/>
      <c r="WJM33" s="127"/>
      <c r="WJN33" s="127"/>
      <c r="WJO33" s="127"/>
      <c r="WJP33" s="127"/>
      <c r="WJQ33" s="127"/>
      <c r="WJR33" s="127"/>
      <c r="WJS33" s="127"/>
      <c r="WJT33" s="127"/>
      <c r="WJU33" s="127"/>
      <c r="WJV33" s="127"/>
      <c r="WJW33" s="127"/>
      <c r="WJX33" s="127"/>
      <c r="WJY33" s="127"/>
      <c r="WJZ33" s="127"/>
      <c r="WKA33" s="127"/>
      <c r="WKB33" s="127"/>
      <c r="WKC33" s="127"/>
      <c r="WKD33" s="127"/>
      <c r="WKE33" s="127"/>
      <c r="WKF33" s="127"/>
      <c r="WKG33" s="127"/>
      <c r="WKH33" s="127"/>
      <c r="WKI33" s="127"/>
      <c r="WKJ33" s="127"/>
      <c r="WKK33" s="127"/>
      <c r="WKL33" s="127"/>
      <c r="WKM33" s="127"/>
      <c r="WKN33" s="127"/>
      <c r="WKO33" s="127"/>
      <c r="WKP33" s="127"/>
      <c r="WKQ33" s="127"/>
      <c r="WKR33" s="127"/>
      <c r="WKS33" s="127"/>
      <c r="WKT33" s="127"/>
      <c r="WKU33" s="127"/>
      <c r="WKV33" s="127"/>
      <c r="WKW33" s="127"/>
      <c r="WKX33" s="127"/>
      <c r="WKY33" s="127"/>
      <c r="WKZ33" s="127"/>
      <c r="WLA33" s="127"/>
      <c r="WLB33" s="127"/>
      <c r="WLC33" s="127"/>
      <c r="WLD33" s="127"/>
      <c r="WLE33" s="127"/>
      <c r="WLF33" s="127"/>
      <c r="WLG33" s="127"/>
      <c r="WLH33" s="127"/>
      <c r="WLI33" s="127"/>
      <c r="WLJ33" s="127"/>
      <c r="WLK33" s="127"/>
      <c r="WLL33" s="127"/>
      <c r="WLM33" s="127"/>
      <c r="WLN33" s="127"/>
      <c r="WLO33" s="127"/>
      <c r="WLP33" s="127"/>
      <c r="WLQ33" s="127"/>
      <c r="WLR33" s="127"/>
      <c r="WLS33" s="127"/>
      <c r="WLT33" s="127"/>
      <c r="WLU33" s="127"/>
      <c r="WLV33" s="127"/>
      <c r="WLW33" s="127"/>
      <c r="WLX33" s="127"/>
      <c r="WLY33" s="127"/>
      <c r="WLZ33" s="127"/>
      <c r="WMA33" s="127"/>
      <c r="WMB33" s="127"/>
      <c r="WMC33" s="127"/>
      <c r="WMD33" s="127"/>
      <c r="WME33" s="127"/>
      <c r="WMF33" s="127"/>
      <c r="WMG33" s="127"/>
      <c r="WMH33" s="127"/>
      <c r="WMI33" s="127"/>
      <c r="WMJ33" s="127"/>
      <c r="WMK33" s="127"/>
      <c r="WML33" s="127"/>
      <c r="WMM33" s="127"/>
      <c r="WMN33" s="127"/>
      <c r="WMO33" s="127"/>
      <c r="WMP33" s="127"/>
      <c r="WMQ33" s="127"/>
      <c r="WMR33" s="127"/>
      <c r="WMS33" s="127"/>
      <c r="WMT33" s="127"/>
      <c r="WMU33" s="127"/>
      <c r="WMV33" s="127"/>
      <c r="WMW33" s="127"/>
      <c r="WMX33" s="127"/>
      <c r="WMY33" s="127"/>
      <c r="WMZ33" s="127"/>
      <c r="WNA33" s="127"/>
      <c r="WNB33" s="127"/>
      <c r="WNC33" s="127"/>
      <c r="WND33" s="127"/>
      <c r="WNE33" s="127"/>
      <c r="WNF33" s="127"/>
      <c r="WNG33" s="127"/>
      <c r="WNH33" s="127"/>
      <c r="WNI33" s="127"/>
      <c r="WNJ33" s="127"/>
      <c r="WNK33" s="127"/>
      <c r="WNL33" s="127"/>
      <c r="WNM33" s="127"/>
      <c r="WNN33" s="127"/>
      <c r="WNO33" s="127"/>
      <c r="WNP33" s="127"/>
      <c r="WNQ33" s="127"/>
      <c r="WNR33" s="127"/>
      <c r="WNS33" s="127"/>
      <c r="WNT33" s="127"/>
      <c r="WNU33" s="127"/>
      <c r="WNV33" s="127"/>
      <c r="WNW33" s="127"/>
      <c r="WNX33" s="127"/>
      <c r="WNY33" s="127"/>
      <c r="WNZ33" s="127"/>
      <c r="WOA33" s="127"/>
      <c r="WOB33" s="127"/>
      <c r="WOC33" s="127"/>
      <c r="WOD33" s="127"/>
      <c r="WOE33" s="127"/>
      <c r="WOF33" s="127"/>
      <c r="WOG33" s="127"/>
      <c r="WOH33" s="127"/>
      <c r="WOI33" s="127"/>
      <c r="WOJ33" s="127"/>
      <c r="WOK33" s="127"/>
      <c r="WOL33" s="127"/>
      <c r="WOM33" s="127"/>
      <c r="WON33" s="127"/>
      <c r="WOO33" s="127"/>
      <c r="WOP33" s="127"/>
      <c r="WOQ33" s="127"/>
      <c r="WOR33" s="127"/>
      <c r="WOS33" s="127"/>
      <c r="WOT33" s="127"/>
      <c r="WOU33" s="127"/>
      <c r="WOV33" s="127"/>
      <c r="WOW33" s="127"/>
      <c r="WOX33" s="127"/>
      <c r="WOY33" s="127"/>
      <c r="WOZ33" s="127"/>
      <c r="WPA33" s="127"/>
      <c r="WPB33" s="127"/>
      <c r="WPC33" s="127"/>
      <c r="WPD33" s="127"/>
      <c r="WPE33" s="127"/>
      <c r="WPF33" s="127"/>
      <c r="WPG33" s="127"/>
      <c r="WPH33" s="127"/>
      <c r="WPI33" s="127"/>
      <c r="WPJ33" s="127"/>
      <c r="WPK33" s="127"/>
      <c r="WPL33" s="127"/>
      <c r="WPM33" s="127"/>
      <c r="WPN33" s="127"/>
      <c r="WPO33" s="127"/>
      <c r="WPP33" s="127"/>
      <c r="WPQ33" s="127"/>
      <c r="WPR33" s="127"/>
      <c r="WPS33" s="127"/>
      <c r="WPT33" s="127"/>
      <c r="WPU33" s="127"/>
      <c r="WPV33" s="127"/>
      <c r="WPW33" s="127"/>
      <c r="WPX33" s="127"/>
      <c r="WPY33" s="127"/>
      <c r="WPZ33" s="127"/>
      <c r="WQA33" s="127"/>
      <c r="WQB33" s="127"/>
      <c r="WQC33" s="127"/>
      <c r="WQD33" s="127"/>
      <c r="WQE33" s="127"/>
      <c r="WQF33" s="127"/>
      <c r="WQG33" s="127"/>
      <c r="WQH33" s="127"/>
      <c r="WQI33" s="127"/>
      <c r="WQJ33" s="127"/>
      <c r="WQK33" s="127"/>
      <c r="WQL33" s="127"/>
      <c r="WQM33" s="127"/>
      <c r="WQN33" s="127"/>
      <c r="WQO33" s="127"/>
      <c r="WQP33" s="127"/>
      <c r="WQQ33" s="127"/>
      <c r="WQR33" s="127"/>
      <c r="WQS33" s="127"/>
      <c r="WQT33" s="127"/>
      <c r="WQU33" s="127"/>
      <c r="WQV33" s="127"/>
      <c r="WQW33" s="127"/>
      <c r="WQX33" s="127"/>
      <c r="WQY33" s="127"/>
      <c r="WQZ33" s="127"/>
      <c r="WRA33" s="127"/>
      <c r="WRB33" s="127"/>
      <c r="WRC33" s="127"/>
      <c r="WRD33" s="127"/>
      <c r="WRE33" s="127"/>
      <c r="WRF33" s="127"/>
      <c r="WRG33" s="127"/>
      <c r="WRH33" s="127"/>
      <c r="WRI33" s="127"/>
      <c r="WRJ33" s="127"/>
      <c r="WRK33" s="127"/>
      <c r="WRL33" s="127"/>
      <c r="WRM33" s="127"/>
      <c r="WRN33" s="127"/>
      <c r="WRO33" s="127"/>
      <c r="WRP33" s="127"/>
      <c r="WRQ33" s="127"/>
      <c r="WRR33" s="127"/>
      <c r="WRS33" s="127"/>
      <c r="WRT33" s="127"/>
      <c r="WRU33" s="127"/>
      <c r="WRV33" s="127"/>
      <c r="WRW33" s="127"/>
      <c r="WRX33" s="127"/>
      <c r="WRY33" s="127"/>
      <c r="WRZ33" s="127"/>
      <c r="WSA33" s="127"/>
      <c r="WSB33" s="127"/>
      <c r="WSC33" s="127"/>
      <c r="WSD33" s="127"/>
      <c r="WSE33" s="127"/>
      <c r="WSF33" s="127"/>
      <c r="WSG33" s="127"/>
      <c r="WSH33" s="127"/>
      <c r="WSI33" s="127"/>
      <c r="WSJ33" s="127"/>
      <c r="WSK33" s="127"/>
      <c r="WSL33" s="127"/>
      <c r="WSM33" s="127"/>
      <c r="WSN33" s="127"/>
      <c r="WSO33" s="127"/>
      <c r="WSP33" s="127"/>
      <c r="WSQ33" s="127"/>
      <c r="WSR33" s="127"/>
      <c r="WSS33" s="127"/>
      <c r="WST33" s="127"/>
      <c r="WSU33" s="127"/>
      <c r="WSV33" s="127"/>
      <c r="WSW33" s="127"/>
      <c r="WSX33" s="127"/>
      <c r="WSY33" s="127"/>
      <c r="WSZ33" s="127"/>
      <c r="WTA33" s="127"/>
      <c r="WTB33" s="127"/>
      <c r="WTC33" s="127"/>
      <c r="WTD33" s="127"/>
      <c r="WTE33" s="127"/>
      <c r="WTF33" s="127"/>
      <c r="WTG33" s="127"/>
      <c r="WTH33" s="127"/>
      <c r="WTI33" s="127"/>
      <c r="WTJ33" s="127"/>
      <c r="WTK33" s="127"/>
      <c r="WTL33" s="127"/>
      <c r="WTM33" s="127"/>
      <c r="WTN33" s="127"/>
      <c r="WTO33" s="127"/>
      <c r="WTP33" s="127"/>
      <c r="WTQ33" s="127"/>
      <c r="WTR33" s="127"/>
      <c r="WTS33" s="127"/>
      <c r="WTT33" s="127"/>
      <c r="WTU33" s="127"/>
      <c r="WTV33" s="127"/>
      <c r="WTW33" s="127"/>
      <c r="WTX33" s="127"/>
      <c r="WTY33" s="127"/>
      <c r="WTZ33" s="127"/>
      <c r="WUA33" s="127"/>
      <c r="WUB33" s="127"/>
      <c r="WUC33" s="127"/>
      <c r="WUD33" s="127"/>
      <c r="WUE33" s="127"/>
      <c r="WUF33" s="127"/>
      <c r="WUG33" s="127"/>
      <c r="WUH33" s="127"/>
      <c r="WUI33" s="127"/>
      <c r="WUJ33" s="127"/>
      <c r="WUK33" s="127"/>
      <c r="WUL33" s="127"/>
      <c r="WUM33" s="127"/>
      <c r="WUN33" s="127"/>
      <c r="WUO33" s="127"/>
      <c r="WUP33" s="127"/>
      <c r="WUQ33" s="127"/>
      <c r="WUR33" s="127"/>
      <c r="WUS33" s="127"/>
      <c r="WUT33" s="127"/>
      <c r="WUU33" s="127"/>
      <c r="WUV33" s="127"/>
      <c r="WUW33" s="127"/>
      <c r="WUX33" s="127"/>
      <c r="WUY33" s="127"/>
      <c r="WUZ33" s="127"/>
      <c r="WVA33" s="127"/>
      <c r="WVB33" s="127"/>
      <c r="WVC33" s="127"/>
      <c r="WVD33" s="127"/>
      <c r="WVE33" s="127"/>
      <c r="WVF33" s="127"/>
      <c r="WVG33" s="127"/>
      <c r="WVH33" s="127"/>
      <c r="WVI33" s="127"/>
      <c r="WVJ33" s="127"/>
      <c r="WVK33" s="127"/>
      <c r="WVL33" s="127"/>
      <c r="WVM33" s="127"/>
      <c r="WVN33" s="127"/>
      <c r="WVO33" s="127"/>
      <c r="WVP33" s="127"/>
      <c r="WVQ33" s="127"/>
      <c r="WVR33" s="127"/>
      <c r="WVS33" s="127"/>
      <c r="WVT33" s="127"/>
      <c r="WVU33" s="127"/>
      <c r="WVV33" s="127"/>
      <c r="WVW33" s="127"/>
      <c r="WVX33" s="127"/>
      <c r="WVY33" s="127"/>
      <c r="WVZ33" s="127"/>
      <c r="WWA33" s="127"/>
      <c r="WWB33" s="127"/>
      <c r="WWC33" s="127"/>
      <c r="WWD33" s="127"/>
      <c r="WWE33" s="127"/>
      <c r="WWF33" s="127"/>
      <c r="WWG33" s="127"/>
      <c r="WWH33" s="127"/>
      <c r="WWI33" s="127"/>
      <c r="WWJ33" s="127"/>
      <c r="WWK33" s="127"/>
      <c r="WWL33" s="127"/>
      <c r="WWM33" s="127"/>
      <c r="WWN33" s="127"/>
      <c r="WWO33" s="127"/>
      <c r="WWP33" s="127"/>
      <c r="WWQ33" s="127"/>
      <c r="WWR33" s="127"/>
      <c r="WWS33" s="127"/>
      <c r="WWT33" s="127"/>
      <c r="WWU33" s="127"/>
      <c r="WWV33" s="127"/>
      <c r="WWW33" s="127"/>
      <c r="WWX33" s="127"/>
      <c r="WWY33" s="127"/>
      <c r="WWZ33" s="127"/>
      <c r="WXA33" s="127"/>
      <c r="WXB33" s="127"/>
      <c r="WXC33" s="127"/>
      <c r="WXD33" s="127"/>
      <c r="WXE33" s="127"/>
      <c r="WXF33" s="127"/>
      <c r="WXG33" s="127"/>
      <c r="WXH33" s="127"/>
      <c r="WXI33" s="127"/>
      <c r="WXJ33" s="127"/>
      <c r="WXK33" s="127"/>
      <c r="WXL33" s="127"/>
      <c r="WXM33" s="127"/>
      <c r="WXN33" s="127"/>
      <c r="WXO33" s="127"/>
      <c r="WXP33" s="127"/>
      <c r="WXQ33" s="127"/>
      <c r="WXR33" s="127"/>
      <c r="WXS33" s="127"/>
      <c r="WXT33" s="127"/>
      <c r="WXU33" s="127"/>
      <c r="WXV33" s="127"/>
      <c r="WXW33" s="127"/>
      <c r="WXX33" s="127"/>
      <c r="WXY33" s="127"/>
      <c r="WXZ33" s="127"/>
      <c r="WYA33" s="127"/>
      <c r="WYB33" s="127"/>
      <c r="WYC33" s="127"/>
      <c r="WYD33" s="127"/>
      <c r="WYE33" s="127"/>
      <c r="WYF33" s="127"/>
      <c r="WYG33" s="127"/>
      <c r="WYH33" s="127"/>
      <c r="WYI33" s="127"/>
      <c r="WYJ33" s="127"/>
      <c r="WYK33" s="127"/>
      <c r="WYL33" s="127"/>
      <c r="WYM33" s="127"/>
      <c r="WYN33" s="127"/>
      <c r="WYO33" s="127"/>
      <c r="WYP33" s="127"/>
      <c r="WYQ33" s="127"/>
      <c r="WYR33" s="127"/>
      <c r="WYS33" s="127"/>
      <c r="WYT33" s="127"/>
      <c r="WYU33" s="127"/>
      <c r="WYV33" s="127"/>
      <c r="WYW33" s="127"/>
      <c r="WYX33" s="127"/>
      <c r="WYY33" s="127"/>
      <c r="WYZ33" s="127"/>
      <c r="WZA33" s="127"/>
      <c r="WZB33" s="127"/>
      <c r="WZC33" s="127"/>
      <c r="WZD33" s="127"/>
      <c r="WZE33" s="127"/>
      <c r="WZF33" s="127"/>
      <c r="WZG33" s="127"/>
      <c r="WZH33" s="127"/>
      <c r="WZI33" s="127"/>
      <c r="WZJ33" s="127"/>
      <c r="WZK33" s="127"/>
      <c r="WZL33" s="127"/>
      <c r="WZM33" s="127"/>
      <c r="WZN33" s="127"/>
      <c r="WZO33" s="127"/>
      <c r="WZP33" s="127"/>
      <c r="WZQ33" s="127"/>
      <c r="WZR33" s="127"/>
      <c r="WZS33" s="127"/>
      <c r="WZT33" s="127"/>
      <c r="WZU33" s="127"/>
      <c r="WZV33" s="127"/>
      <c r="WZW33" s="127"/>
      <c r="WZX33" s="127"/>
      <c r="WZY33" s="127"/>
      <c r="WZZ33" s="127"/>
      <c r="XAA33" s="127"/>
      <c r="XAB33" s="127"/>
      <c r="XAC33" s="127"/>
      <c r="XAD33" s="127"/>
      <c r="XAE33" s="127"/>
      <c r="XAF33" s="127"/>
      <c r="XAG33" s="127"/>
      <c r="XAH33" s="127"/>
      <c r="XAI33" s="127"/>
      <c r="XAJ33" s="127"/>
      <c r="XAK33" s="127"/>
      <c r="XAL33" s="127"/>
      <c r="XAM33" s="127"/>
      <c r="XAN33" s="127"/>
      <c r="XAO33" s="127"/>
      <c r="XAP33" s="127"/>
      <c r="XAQ33" s="127"/>
      <c r="XAR33" s="127"/>
      <c r="XAS33" s="127"/>
      <c r="XAT33" s="127"/>
      <c r="XAU33" s="127"/>
      <c r="XAV33" s="127"/>
      <c r="XAW33" s="127"/>
      <c r="XAX33" s="127"/>
      <c r="XAY33" s="127"/>
      <c r="XAZ33" s="127"/>
      <c r="XBA33" s="127"/>
      <c r="XBB33" s="127"/>
      <c r="XBC33" s="127"/>
      <c r="XBD33" s="127"/>
      <c r="XBE33" s="127"/>
      <c r="XBF33" s="127"/>
      <c r="XBG33" s="127"/>
      <c r="XBH33" s="127"/>
      <c r="XBI33" s="127"/>
      <c r="XBJ33" s="127"/>
      <c r="XBK33" s="127"/>
      <c r="XBL33" s="127"/>
      <c r="XBM33" s="127"/>
      <c r="XBN33" s="127"/>
      <c r="XBO33" s="127"/>
      <c r="XBP33" s="127"/>
      <c r="XBQ33" s="127"/>
      <c r="XBR33" s="127"/>
      <c r="XBS33" s="127"/>
      <c r="XBT33" s="127"/>
      <c r="XBU33" s="127"/>
      <c r="XBV33" s="127"/>
      <c r="XBW33" s="127"/>
      <c r="XBX33" s="127"/>
      <c r="XBY33" s="127"/>
      <c r="XBZ33" s="127"/>
      <c r="XCA33" s="127"/>
      <c r="XCB33" s="127"/>
      <c r="XCC33" s="127"/>
      <c r="XCD33" s="127"/>
      <c r="XCE33" s="127"/>
      <c r="XCF33" s="127"/>
      <c r="XCG33" s="127"/>
      <c r="XCH33" s="127"/>
      <c r="XCI33" s="127"/>
      <c r="XCJ33" s="127"/>
      <c r="XCK33" s="127"/>
      <c r="XCL33" s="127"/>
      <c r="XCM33" s="127"/>
      <c r="XCN33" s="127"/>
      <c r="XCO33" s="127"/>
      <c r="XCP33" s="127"/>
      <c r="XCQ33" s="127"/>
      <c r="XCR33" s="127"/>
      <c r="XCS33" s="127"/>
      <c r="XCT33" s="127"/>
      <c r="XCU33" s="127"/>
      <c r="XCV33" s="127"/>
      <c r="XCW33" s="127"/>
      <c r="XCX33" s="127"/>
      <c r="XCY33" s="127"/>
      <c r="XCZ33" s="127"/>
      <c r="XDA33" s="127"/>
      <c r="XDB33" s="127"/>
      <c r="XDC33" s="127"/>
      <c r="XDD33" s="127"/>
      <c r="XDE33" s="127"/>
      <c r="XDF33" s="127"/>
      <c r="XDG33" s="127"/>
      <c r="XDH33" s="127"/>
      <c r="XDI33" s="127"/>
      <c r="XDJ33" s="127"/>
      <c r="XDK33" s="127"/>
      <c r="XDL33" s="127"/>
      <c r="XDM33" s="127"/>
      <c r="XDN33" s="127"/>
      <c r="XDO33" s="127"/>
      <c r="XDP33" s="127"/>
      <c r="XDQ33" s="127"/>
      <c r="XDR33" s="127"/>
      <c r="XDS33" s="127"/>
      <c r="XDT33" s="127"/>
      <c r="XDU33" s="127"/>
      <c r="XDV33" s="127"/>
      <c r="XDW33" s="127"/>
      <c r="XDX33" s="127"/>
      <c r="XDY33" s="127"/>
      <c r="XDZ33" s="127"/>
      <c r="XEA33" s="127"/>
      <c r="XEB33" s="127"/>
      <c r="XEC33" s="127"/>
      <c r="XED33" s="127"/>
      <c r="XEE33" s="127"/>
      <c r="XEF33" s="127"/>
      <c r="XEG33" s="127"/>
      <c r="XEH33" s="127"/>
      <c r="XEI33" s="127"/>
      <c r="XEJ33" s="127"/>
      <c r="XEK33" s="127"/>
      <c r="XEL33" s="127"/>
      <c r="XEM33" s="127"/>
      <c r="XEN33" s="127"/>
      <c r="XEO33" s="127"/>
      <c r="XEP33" s="127"/>
      <c r="XEQ33" s="127"/>
      <c r="XER33" s="127"/>
      <c r="XES33" s="127"/>
      <c r="XET33" s="127"/>
      <c r="XEU33" s="127"/>
      <c r="XEV33" s="127"/>
    </row>
  </sheetData>
  <autoFilter ref="A3:AA33"/>
  <conditionalFormatting sqref="A4:A10">
    <cfRule type="cellIs" dxfId="1453" priority="8" operator="equal">
      <formula>"close"</formula>
    </cfRule>
  </conditionalFormatting>
  <conditionalFormatting sqref="A11:A13">
    <cfRule type="cellIs" dxfId="1452" priority="7" operator="equal">
      <formula>"close"</formula>
    </cfRule>
  </conditionalFormatting>
  <conditionalFormatting sqref="A14:A24">
    <cfRule type="cellIs" dxfId="1451" priority="6" operator="equal">
      <formula>"close"</formula>
    </cfRule>
  </conditionalFormatting>
  <conditionalFormatting sqref="A25:A27">
    <cfRule type="cellIs" dxfId="1450" priority="5" operator="equal">
      <formula>"close"</formula>
    </cfRule>
  </conditionalFormatting>
  <conditionalFormatting sqref="A28:A29">
    <cfRule type="cellIs" dxfId="1449" priority="4" operator="equal">
      <formula>"close"</formula>
    </cfRule>
  </conditionalFormatting>
  <conditionalFormatting sqref="A30:A31">
    <cfRule type="cellIs" dxfId="1448" priority="3" operator="equal">
      <formula>"close"</formula>
    </cfRule>
  </conditionalFormatting>
  <conditionalFormatting sqref="A32">
    <cfRule type="cellIs" dxfId="1447" priority="2" operator="equal">
      <formula>"close"</formula>
    </cfRule>
  </conditionalFormatting>
  <conditionalFormatting sqref="A33">
    <cfRule type="cellIs" dxfId="1446" priority="1" operator="equal">
      <formula>"close"</formula>
    </cfRule>
  </conditionalFormatting>
  <dataValidations count="3">
    <dataValidation type="list" allowBlank="1" showInputMessage="1" showErrorMessage="1" sqref="N4:N33">
      <formula1>Type_Population</formula1>
    </dataValidation>
    <dataValidation type="list" allowBlank="1" showInputMessage="1" showErrorMessage="1" sqref="O4:O33">
      <formula1>Type_of_Accomodation</formula1>
    </dataValidation>
    <dataValidation type="list" allowBlank="1" showInputMessage="1" showErrorMessage="1" sqref="V4:V33">
      <formula1>Organization_Code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sheetPr>
  <dimension ref="A1:BI89"/>
  <sheetViews>
    <sheetView zoomScale="80" zoomScaleNormal="80" workbookViewId="0">
      <selection activeCell="D42" sqref="D42"/>
    </sheetView>
  </sheetViews>
  <sheetFormatPr defaultRowHeight="15" x14ac:dyDescent="0.25"/>
  <cols>
    <col min="1" max="1" width="21.7109375" customWidth="1"/>
    <col min="2" max="2" width="31" customWidth="1"/>
    <col min="3" max="3" width="17.7109375" customWidth="1"/>
    <col min="4" max="4" width="17" customWidth="1"/>
    <col min="5" max="5" width="20.28515625" bestFit="1" customWidth="1"/>
    <col min="6" max="6" width="7.140625" bestFit="1" customWidth="1"/>
    <col min="7" max="7" width="13.85546875" customWidth="1"/>
    <col min="8" max="8" width="9.5703125" customWidth="1"/>
    <col min="9" max="9" width="7.7109375" customWidth="1"/>
  </cols>
  <sheetData>
    <row r="1" spans="1:61" s="1" customFormat="1" ht="36" customHeight="1" x14ac:dyDescent="0.25">
      <c r="A1" s="157"/>
      <c r="B1" s="158"/>
      <c r="C1" s="158"/>
      <c r="D1" s="158"/>
      <c r="E1" s="158"/>
      <c r="F1" s="158"/>
      <c r="G1" s="158"/>
      <c r="H1" s="174"/>
      <c r="I1" s="80"/>
      <c r="J1" s="80"/>
      <c r="K1" s="80"/>
      <c r="L1" s="80"/>
      <c r="M1" s="80"/>
      <c r="N1" s="80"/>
      <c r="O1" s="80"/>
      <c r="P1" s="80"/>
      <c r="Q1" s="80"/>
      <c r="R1" s="80"/>
      <c r="S1" s="178"/>
      <c r="T1" s="178"/>
      <c r="U1" s="80"/>
      <c r="V1" s="179"/>
      <c r="W1" s="179"/>
      <c r="X1" s="38"/>
      <c r="Y1" s="38"/>
      <c r="BH1" s="57"/>
      <c r="BI1" s="57"/>
    </row>
    <row r="2" spans="1:61" s="1" customFormat="1" ht="37.5" customHeight="1" x14ac:dyDescent="0.25">
      <c r="A2" s="1095" t="s">
        <v>558</v>
      </c>
      <c r="B2" s="1096"/>
      <c r="C2" s="1096"/>
      <c r="D2" s="56"/>
      <c r="E2" s="56"/>
      <c r="F2" s="56"/>
      <c r="G2" s="56"/>
      <c r="H2" s="182"/>
      <c r="I2" s="80"/>
      <c r="J2" s="80"/>
      <c r="K2" s="80"/>
      <c r="L2" s="80"/>
      <c r="M2" s="80"/>
      <c r="N2" s="80"/>
      <c r="O2" s="80"/>
      <c r="P2" s="80"/>
      <c r="Q2" s="6"/>
      <c r="R2" s="6"/>
      <c r="S2" s="6"/>
      <c r="T2" s="6"/>
      <c r="U2" s="6"/>
      <c r="V2" s="38"/>
      <c r="W2" s="38"/>
      <c r="X2" s="38"/>
      <c r="Y2" s="38"/>
      <c r="BF2" s="57"/>
      <c r="BG2" s="57"/>
    </row>
    <row r="3" spans="1:61" s="16" customFormat="1" ht="32.25" customHeight="1" x14ac:dyDescent="0.25">
      <c r="A3" s="1097">
        <f>Report_Date</f>
        <v>43190</v>
      </c>
      <c r="B3" s="1098"/>
      <c r="C3" s="1098"/>
      <c r="D3" s="162"/>
      <c r="E3" s="162"/>
      <c r="F3" s="162"/>
      <c r="G3" s="162"/>
      <c r="H3" s="183"/>
      <c r="I3" s="180"/>
      <c r="J3" s="180"/>
      <c r="K3" s="38"/>
      <c r="L3" s="180"/>
      <c r="M3" s="180"/>
      <c r="N3" s="180"/>
      <c r="O3" s="180"/>
      <c r="P3" s="180"/>
      <c r="Q3" s="180"/>
      <c r="R3" s="6"/>
      <c r="S3" s="181"/>
      <c r="T3" s="180"/>
      <c r="U3" s="180"/>
      <c r="V3" s="38"/>
      <c r="W3" s="38"/>
      <c r="X3" s="38"/>
      <c r="Y3" s="38"/>
      <c r="BF3" s="58"/>
      <c r="BG3" s="58"/>
    </row>
    <row r="4" spans="1:61" s="78" customFormat="1" hidden="1" x14ac:dyDescent="0.25"/>
    <row r="5" spans="1:61" s="78" customFormat="1" hidden="1" x14ac:dyDescent="0.25"/>
    <row r="6" spans="1:61" hidden="1" x14ac:dyDescent="0.25">
      <c r="A6" s="932" t="s">
        <v>329</v>
      </c>
      <c r="B6" s="401" t="s">
        <v>331</v>
      </c>
    </row>
    <row r="7" spans="1:61" ht="2.25" customHeight="1" x14ac:dyDescent="0.25"/>
    <row r="8" spans="1:61" s="104" customFormat="1" x14ac:dyDescent="0.25">
      <c r="A8" s="928" t="s">
        <v>0</v>
      </c>
      <c r="B8" s="928" t="s">
        <v>9</v>
      </c>
      <c r="C8" s="928" t="s">
        <v>8</v>
      </c>
      <c r="D8" s="928" t="s">
        <v>846</v>
      </c>
      <c r="E8" s="928" t="s">
        <v>615</v>
      </c>
      <c r="F8" s="929" t="s">
        <v>556</v>
      </c>
      <c r="G8" s="929" t="s">
        <v>557</v>
      </c>
      <c r="H8" s="401" t="s">
        <v>845</v>
      </c>
    </row>
    <row r="9" spans="1:61" ht="14.25" customHeight="1" x14ac:dyDescent="0.25">
      <c r="A9" s="401" t="s">
        <v>14</v>
      </c>
      <c r="B9" s="401"/>
      <c r="C9" s="401"/>
      <c r="D9" s="401"/>
      <c r="E9" s="401"/>
      <c r="F9" s="930">
        <v>85</v>
      </c>
      <c r="G9" s="930">
        <v>546</v>
      </c>
      <c r="H9" s="931">
        <v>1</v>
      </c>
    </row>
    <row r="10" spans="1:61" ht="14.25" customHeight="1" x14ac:dyDescent="0.25">
      <c r="A10" s="401" t="s">
        <v>13</v>
      </c>
      <c r="B10" s="401" t="s">
        <v>38</v>
      </c>
      <c r="C10" s="401" t="s">
        <v>124</v>
      </c>
      <c r="D10" s="401" t="s">
        <v>575</v>
      </c>
      <c r="E10" s="401" t="s">
        <v>612</v>
      </c>
      <c r="F10" s="930">
        <v>1238</v>
      </c>
      <c r="G10" s="930">
        <v>4364</v>
      </c>
      <c r="H10" s="931">
        <v>1</v>
      </c>
    </row>
    <row r="11" spans="1:61" ht="14.25" customHeight="1" x14ac:dyDescent="0.25">
      <c r="A11" s="401"/>
      <c r="B11" s="401" t="s">
        <v>40</v>
      </c>
      <c r="C11" s="401" t="s">
        <v>126</v>
      </c>
      <c r="D11" s="401" t="s">
        <v>273</v>
      </c>
      <c r="E11" s="401" t="s">
        <v>612</v>
      </c>
      <c r="F11" s="930">
        <v>1343</v>
      </c>
      <c r="G11" s="930">
        <v>5945</v>
      </c>
      <c r="H11" s="931">
        <v>1</v>
      </c>
    </row>
    <row r="12" spans="1:61" ht="14.25" customHeight="1" x14ac:dyDescent="0.25">
      <c r="A12" s="401"/>
      <c r="B12" s="401" t="s">
        <v>990</v>
      </c>
      <c r="C12" s="401" t="s">
        <v>125</v>
      </c>
      <c r="D12" s="401" t="s">
        <v>575</v>
      </c>
      <c r="E12" s="401" t="s">
        <v>612</v>
      </c>
      <c r="F12" s="930">
        <v>1010</v>
      </c>
      <c r="G12" s="930">
        <v>4592</v>
      </c>
      <c r="H12" s="931">
        <v>1</v>
      </c>
      <c r="N12" s="669"/>
    </row>
    <row r="13" spans="1:61" ht="14.25" customHeight="1" x14ac:dyDescent="0.25">
      <c r="A13" s="401"/>
      <c r="B13" s="401" t="s">
        <v>991</v>
      </c>
      <c r="C13" s="401" t="s">
        <v>125</v>
      </c>
      <c r="D13" s="401" t="s">
        <v>575</v>
      </c>
      <c r="E13" s="401" t="s">
        <v>612</v>
      </c>
      <c r="F13" s="930">
        <v>905</v>
      </c>
      <c r="G13" s="930">
        <v>4079</v>
      </c>
      <c r="H13" s="931">
        <v>1</v>
      </c>
      <c r="N13" s="669"/>
    </row>
    <row r="14" spans="1:61" ht="14.25" customHeight="1" x14ac:dyDescent="0.25">
      <c r="A14" s="401"/>
      <c r="B14" s="401" t="s">
        <v>41</v>
      </c>
      <c r="C14" s="401" t="s">
        <v>127</v>
      </c>
      <c r="D14" s="401" t="s">
        <v>273</v>
      </c>
      <c r="E14" s="401" t="s">
        <v>612</v>
      </c>
      <c r="F14" s="930">
        <v>617</v>
      </c>
      <c r="G14" s="930">
        <v>2845</v>
      </c>
      <c r="H14" s="931">
        <v>1</v>
      </c>
      <c r="N14" s="669"/>
    </row>
    <row r="15" spans="1:61" ht="14.25" customHeight="1" x14ac:dyDescent="0.25">
      <c r="A15" s="401" t="s">
        <v>598</v>
      </c>
      <c r="B15" s="401"/>
      <c r="C15" s="401"/>
      <c r="D15" s="401"/>
      <c r="E15" s="401"/>
      <c r="F15" s="930">
        <v>5113</v>
      </c>
      <c r="G15" s="930">
        <v>21825</v>
      </c>
      <c r="H15" s="931">
        <v>5</v>
      </c>
      <c r="N15" s="669"/>
    </row>
    <row r="16" spans="1:61" ht="14.25" customHeight="1" x14ac:dyDescent="0.25">
      <c r="A16" s="401" t="s">
        <v>17</v>
      </c>
      <c r="B16" s="401" t="s">
        <v>59</v>
      </c>
      <c r="C16" s="401" t="s">
        <v>145</v>
      </c>
      <c r="D16" s="401" t="s">
        <v>575</v>
      </c>
      <c r="E16" s="401" t="s">
        <v>612</v>
      </c>
      <c r="F16" s="930">
        <v>392</v>
      </c>
      <c r="G16" s="930">
        <v>2252</v>
      </c>
      <c r="H16" s="931">
        <v>1</v>
      </c>
      <c r="N16" s="669"/>
    </row>
    <row r="17" spans="1:14" ht="14.25" customHeight="1" x14ac:dyDescent="0.25">
      <c r="A17" s="401"/>
      <c r="B17" s="401" t="s">
        <v>509</v>
      </c>
      <c r="C17" s="401" t="s">
        <v>510</v>
      </c>
      <c r="D17" s="401" t="s">
        <v>270</v>
      </c>
      <c r="E17" s="401" t="s">
        <v>613</v>
      </c>
      <c r="F17" s="930">
        <v>41</v>
      </c>
      <c r="G17" s="930">
        <v>226</v>
      </c>
      <c r="H17" s="931">
        <v>1</v>
      </c>
      <c r="N17" s="669"/>
    </row>
    <row r="18" spans="1:14" ht="14.25" customHeight="1" x14ac:dyDescent="0.25">
      <c r="A18" s="401"/>
      <c r="B18" s="401" t="s">
        <v>581</v>
      </c>
      <c r="C18" s="401" t="s">
        <v>583</v>
      </c>
      <c r="D18" s="401" t="s">
        <v>273</v>
      </c>
      <c r="E18" s="401" t="s">
        <v>612</v>
      </c>
      <c r="F18" s="930">
        <v>1028</v>
      </c>
      <c r="G18" s="930">
        <v>4833</v>
      </c>
      <c r="H18" s="931">
        <v>1</v>
      </c>
      <c r="N18" s="669"/>
    </row>
    <row r="19" spans="1:14" ht="14.25" customHeight="1" x14ac:dyDescent="0.25">
      <c r="A19" s="401"/>
      <c r="B19" s="401" t="s">
        <v>582</v>
      </c>
      <c r="C19" s="401" t="s">
        <v>584</v>
      </c>
      <c r="D19" s="401" t="s">
        <v>273</v>
      </c>
      <c r="E19" s="401" t="s">
        <v>612</v>
      </c>
      <c r="F19" s="930">
        <v>1340</v>
      </c>
      <c r="G19" s="930">
        <v>7377</v>
      </c>
      <c r="H19" s="931">
        <v>1</v>
      </c>
      <c r="N19" s="669"/>
    </row>
    <row r="20" spans="1:14" ht="14.25" customHeight="1" x14ac:dyDescent="0.25">
      <c r="A20" s="401"/>
      <c r="B20" s="401" t="s">
        <v>61</v>
      </c>
      <c r="C20" s="401" t="s">
        <v>147</v>
      </c>
      <c r="D20" s="401" t="s">
        <v>273</v>
      </c>
      <c r="E20" s="401" t="s">
        <v>612</v>
      </c>
      <c r="F20" s="930">
        <v>1983</v>
      </c>
      <c r="G20" s="930">
        <v>11363</v>
      </c>
      <c r="H20" s="931">
        <v>1</v>
      </c>
      <c r="N20" s="669"/>
    </row>
    <row r="21" spans="1:14" ht="14.25" customHeight="1" x14ac:dyDescent="0.25">
      <c r="A21" s="401"/>
      <c r="B21" s="401" t="s">
        <v>499</v>
      </c>
      <c r="C21" s="401" t="s">
        <v>500</v>
      </c>
      <c r="D21" s="401" t="s">
        <v>270</v>
      </c>
      <c r="E21" s="401" t="s">
        <v>613</v>
      </c>
      <c r="F21" s="930">
        <v>518</v>
      </c>
      <c r="G21" s="930">
        <v>2951</v>
      </c>
      <c r="H21" s="931">
        <v>1</v>
      </c>
      <c r="N21" s="669"/>
    </row>
    <row r="22" spans="1:14" ht="14.25" customHeight="1" x14ac:dyDescent="0.25">
      <c r="A22" s="401"/>
      <c r="B22" s="401" t="s">
        <v>747</v>
      </c>
      <c r="C22" s="401" t="s">
        <v>148</v>
      </c>
      <c r="D22" s="401" t="s">
        <v>575</v>
      </c>
      <c r="E22" s="401" t="s">
        <v>612</v>
      </c>
      <c r="F22" s="930">
        <v>799</v>
      </c>
      <c r="G22" s="930">
        <v>4481</v>
      </c>
      <c r="H22" s="931">
        <v>1</v>
      </c>
      <c r="N22" s="669"/>
    </row>
    <row r="23" spans="1:14" ht="14.25" customHeight="1" x14ac:dyDescent="0.25">
      <c r="A23" s="401"/>
      <c r="B23" s="401" t="s">
        <v>580</v>
      </c>
      <c r="C23" s="401" t="s">
        <v>268</v>
      </c>
      <c r="D23" s="401" t="s">
        <v>913</v>
      </c>
      <c r="E23" s="401" t="s">
        <v>612</v>
      </c>
      <c r="F23" s="930">
        <v>621</v>
      </c>
      <c r="G23" s="930">
        <v>3440</v>
      </c>
      <c r="H23" s="931">
        <v>1</v>
      </c>
      <c r="N23" s="669"/>
    </row>
    <row r="24" spans="1:14" ht="14.25" customHeight="1" x14ac:dyDescent="0.25">
      <c r="A24" s="401"/>
      <c r="B24" s="401" t="s">
        <v>585</v>
      </c>
      <c r="C24" s="401" t="s">
        <v>502</v>
      </c>
      <c r="D24" s="401" t="s">
        <v>273</v>
      </c>
      <c r="E24" s="401" t="s">
        <v>612</v>
      </c>
      <c r="F24" s="930">
        <v>734</v>
      </c>
      <c r="G24" s="930">
        <v>4007</v>
      </c>
      <c r="H24" s="931">
        <v>1</v>
      </c>
      <c r="N24" s="669"/>
    </row>
    <row r="25" spans="1:14" ht="14.25" customHeight="1" x14ac:dyDescent="0.25">
      <c r="A25" s="401"/>
      <c r="B25" s="401" t="s">
        <v>586</v>
      </c>
      <c r="C25" s="401" t="s">
        <v>588</v>
      </c>
      <c r="D25" s="401" t="s">
        <v>273</v>
      </c>
      <c r="E25" s="401" t="s">
        <v>612</v>
      </c>
      <c r="F25" s="930">
        <v>2668</v>
      </c>
      <c r="G25" s="930">
        <v>13794</v>
      </c>
      <c r="H25" s="931">
        <v>1</v>
      </c>
      <c r="N25" s="669"/>
    </row>
    <row r="26" spans="1:14" ht="14.25" customHeight="1" x14ac:dyDescent="0.25">
      <c r="A26" s="401"/>
      <c r="B26" s="401" t="s">
        <v>587</v>
      </c>
      <c r="C26" s="401" t="s">
        <v>589</v>
      </c>
      <c r="D26" s="401" t="s">
        <v>575</v>
      </c>
      <c r="E26" s="401" t="s">
        <v>612</v>
      </c>
      <c r="F26" s="930">
        <v>2259</v>
      </c>
      <c r="G26" s="930">
        <v>11234</v>
      </c>
      <c r="H26" s="931">
        <v>1</v>
      </c>
      <c r="N26" s="669"/>
    </row>
    <row r="27" spans="1:14" ht="14.25" customHeight="1" x14ac:dyDescent="0.25">
      <c r="A27" s="401"/>
      <c r="B27" s="401" t="s">
        <v>65</v>
      </c>
      <c r="C27" s="401" t="s">
        <v>151</v>
      </c>
      <c r="D27" s="401" t="s">
        <v>273</v>
      </c>
      <c r="E27" s="401" t="s">
        <v>612</v>
      </c>
      <c r="F27" s="930">
        <v>2692</v>
      </c>
      <c r="G27" s="930">
        <v>13743</v>
      </c>
      <c r="H27" s="931">
        <v>1</v>
      </c>
      <c r="N27" s="669"/>
    </row>
    <row r="28" spans="1:14" ht="14.25" customHeight="1" x14ac:dyDescent="0.25">
      <c r="A28" s="401"/>
      <c r="B28" s="401" t="s">
        <v>66</v>
      </c>
      <c r="C28" s="401" t="s">
        <v>152</v>
      </c>
      <c r="D28" s="401" t="s">
        <v>575</v>
      </c>
      <c r="E28" s="401" t="s">
        <v>612</v>
      </c>
      <c r="F28" s="930">
        <v>2270</v>
      </c>
      <c r="G28" s="930">
        <v>13049</v>
      </c>
      <c r="H28" s="931">
        <v>1</v>
      </c>
      <c r="N28" s="669"/>
    </row>
    <row r="29" spans="1:14" ht="14.25" customHeight="1" x14ac:dyDescent="0.25">
      <c r="A29" s="401"/>
      <c r="B29" s="401" t="s">
        <v>68</v>
      </c>
      <c r="C29" s="401" t="s">
        <v>154</v>
      </c>
      <c r="D29" s="401" t="s">
        <v>913</v>
      </c>
      <c r="E29" s="401" t="s">
        <v>612</v>
      </c>
      <c r="F29" s="930">
        <v>981</v>
      </c>
      <c r="G29" s="930">
        <v>5855</v>
      </c>
      <c r="H29" s="931">
        <v>1</v>
      </c>
      <c r="N29" s="669"/>
    </row>
    <row r="30" spans="1:14" ht="14.25" customHeight="1" x14ac:dyDescent="0.25">
      <c r="A30" s="401"/>
      <c r="B30" s="401" t="s">
        <v>497</v>
      </c>
      <c r="C30" s="401" t="s">
        <v>267</v>
      </c>
      <c r="D30" s="401" t="s">
        <v>270</v>
      </c>
      <c r="E30" s="401" t="s">
        <v>613</v>
      </c>
      <c r="F30" s="930">
        <v>496</v>
      </c>
      <c r="G30" s="930">
        <v>2942</v>
      </c>
      <c r="H30" s="931">
        <v>1</v>
      </c>
      <c r="N30" s="669"/>
    </row>
    <row r="31" spans="1:14" ht="14.25" customHeight="1" x14ac:dyDescent="0.25">
      <c r="A31" s="401" t="s">
        <v>596</v>
      </c>
      <c r="B31" s="401"/>
      <c r="C31" s="401"/>
      <c r="D31" s="401"/>
      <c r="E31" s="401"/>
      <c r="F31" s="930">
        <v>18822</v>
      </c>
      <c r="G31" s="930">
        <v>101547</v>
      </c>
      <c r="H31" s="931">
        <v>15</v>
      </c>
    </row>
    <row r="32" spans="1:14" ht="14.25" customHeight="1" x14ac:dyDescent="0.25">
      <c r="A32" s="401" t="s">
        <v>817</v>
      </c>
      <c r="B32" s="401" t="s">
        <v>36</v>
      </c>
      <c r="C32" s="401" t="s">
        <v>122</v>
      </c>
      <c r="D32" s="401" t="s">
        <v>658</v>
      </c>
      <c r="E32" s="401" t="s">
        <v>613</v>
      </c>
      <c r="F32" s="930">
        <v>687</v>
      </c>
      <c r="G32" s="930">
        <v>2606</v>
      </c>
      <c r="H32" s="931">
        <v>1</v>
      </c>
    </row>
    <row r="33" spans="1:14" ht="14.25" customHeight="1" x14ac:dyDescent="0.25">
      <c r="A33" s="401" t="s">
        <v>818</v>
      </c>
      <c r="B33" s="401"/>
      <c r="C33" s="401"/>
      <c r="D33" s="401"/>
      <c r="E33" s="401"/>
      <c r="F33" s="930">
        <v>687</v>
      </c>
      <c r="G33" s="930">
        <v>2606</v>
      </c>
      <c r="H33" s="931">
        <v>1</v>
      </c>
    </row>
    <row r="34" spans="1:14" ht="14.25" customHeight="1" x14ac:dyDescent="0.25">
      <c r="A34" s="401" t="s">
        <v>561</v>
      </c>
      <c r="B34" s="401" t="s">
        <v>56</v>
      </c>
      <c r="C34" s="401" t="s">
        <v>141</v>
      </c>
      <c r="D34" s="401" t="s">
        <v>270</v>
      </c>
      <c r="E34" s="401" t="s">
        <v>613</v>
      </c>
      <c r="F34" s="930">
        <v>415</v>
      </c>
      <c r="G34" s="930">
        <v>1050</v>
      </c>
      <c r="H34" s="931">
        <v>1</v>
      </c>
    </row>
    <row r="35" spans="1:14" ht="14.25" customHeight="1" x14ac:dyDescent="0.25">
      <c r="A35" s="401" t="s">
        <v>942</v>
      </c>
      <c r="B35" s="401"/>
      <c r="C35" s="401"/>
      <c r="D35" s="401"/>
      <c r="E35" s="401"/>
      <c r="F35" s="930">
        <v>415</v>
      </c>
      <c r="G35" s="930">
        <v>1050</v>
      </c>
      <c r="H35" s="931">
        <v>1</v>
      </c>
    </row>
    <row r="36" spans="1:14" ht="14.25" customHeight="1" x14ac:dyDescent="0.25">
      <c r="A36" s="401" t="s">
        <v>204</v>
      </c>
      <c r="B36" s="401"/>
      <c r="C36" s="401"/>
      <c r="D36" s="401"/>
      <c r="E36" s="401"/>
      <c r="F36" s="930">
        <v>25122</v>
      </c>
      <c r="G36" s="930">
        <v>127574</v>
      </c>
      <c r="H36" s="931">
        <v>23</v>
      </c>
    </row>
    <row r="37" spans="1:14" ht="14.25" customHeight="1" x14ac:dyDescent="0.25"/>
    <row r="38" spans="1:14" ht="12" customHeight="1" x14ac:dyDescent="0.25"/>
    <row r="39" spans="1:14" ht="12" customHeight="1" x14ac:dyDescent="0.25"/>
    <row r="40" spans="1:14" ht="12" customHeight="1" x14ac:dyDescent="0.25"/>
    <row r="41" spans="1:14" ht="12" customHeight="1" x14ac:dyDescent="0.25"/>
    <row r="42" spans="1:14" ht="12" customHeight="1" x14ac:dyDescent="0.25"/>
    <row r="43" spans="1:14" ht="12" customHeight="1" x14ac:dyDescent="0.25">
      <c r="N43" s="78"/>
    </row>
    <row r="44" spans="1:14" ht="12" customHeight="1" x14ac:dyDescent="0.25">
      <c r="N44" s="78"/>
    </row>
    <row r="45" spans="1:14" ht="12" customHeight="1" x14ac:dyDescent="0.25">
      <c r="N45" s="78"/>
    </row>
    <row r="46" spans="1:14" ht="12" customHeight="1" x14ac:dyDescent="0.25">
      <c r="N46" s="78"/>
    </row>
    <row r="47" spans="1:14" ht="12" customHeight="1" x14ac:dyDescent="0.25"/>
    <row r="48" spans="1:14" ht="12" customHeight="1" x14ac:dyDescent="0.25"/>
    <row r="49" ht="12" customHeight="1" x14ac:dyDescent="0.25"/>
    <row r="50"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6" ht="12" customHeight="1" x14ac:dyDescent="0.25"/>
    <row r="87" ht="12" customHeight="1" x14ac:dyDescent="0.25"/>
    <row r="88" ht="12" customHeight="1" x14ac:dyDescent="0.25"/>
    <row r="89" ht="12" customHeight="1" x14ac:dyDescent="0.25"/>
  </sheetData>
  <mergeCells count="2">
    <mergeCell ref="A2:C2"/>
    <mergeCell ref="A3:C3"/>
  </mergeCells>
  <pageMargins left="0.15748031496063" right="0.15748031496063" top="0.15748031496063" bottom="0.15748031496063" header="0" footer="0"/>
  <pageSetup paperSize="9" orientation="landscape"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9725FCA6-9429-4B74-ABBE-463BB1727F91}">
            <xm:f>NOT(ISERROR(SEARCH("close",'Camp List'!R2)))</xm:f>
            <x14:dxf>
              <fill>
                <patternFill>
                  <bgColor rgb="FFFF0000"/>
                </patternFill>
              </fill>
            </x14:dxf>
          </x14:cfRule>
          <x14:cfRule type="containsText" priority="2" operator="containsText" text="open" id="{1C824DC0-5270-433C-A0CF-38CC3241F995}">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pageSetUpPr fitToPage="1"/>
  </sheetPr>
  <dimension ref="A1:BB49"/>
  <sheetViews>
    <sheetView showGridLines="0" showZeros="0" zoomScale="70" zoomScaleNormal="70" workbookViewId="0">
      <selection activeCell="S22" sqref="S22"/>
    </sheetView>
  </sheetViews>
  <sheetFormatPr defaultColWidth="9.140625" defaultRowHeight="15" x14ac:dyDescent="0.25"/>
  <cols>
    <col min="1" max="1" width="11.85546875" style="78" customWidth="1"/>
    <col min="2" max="4" width="10.85546875" style="32" customWidth="1"/>
    <col min="5" max="5" width="9.85546875" style="32" customWidth="1"/>
    <col min="6" max="6" width="12" style="78" customWidth="1"/>
    <col min="7" max="7" width="18.5703125" style="32" customWidth="1"/>
    <col min="8" max="8" width="14.42578125" style="32" customWidth="1"/>
    <col min="9" max="9" width="16.28515625" style="78" customWidth="1"/>
    <col min="10" max="10" width="16.7109375" style="32" customWidth="1"/>
    <col min="11" max="11" width="16.42578125" style="32" customWidth="1"/>
    <col min="12" max="12" width="15" style="32" customWidth="1"/>
    <col min="13" max="13" width="8.85546875" style="32" customWidth="1"/>
    <col min="14" max="16" width="10.85546875" style="32" customWidth="1"/>
    <col min="17" max="17" width="5.28515625" style="32" customWidth="1"/>
    <col min="18" max="18" width="24.28515625" style="32" customWidth="1"/>
    <col min="19" max="19" width="19.28515625" style="32" customWidth="1"/>
    <col min="20" max="20" width="12.140625" style="32" bestFit="1" customWidth="1"/>
    <col min="21" max="21" width="8.85546875" style="32" bestFit="1" customWidth="1"/>
    <col min="22" max="22" width="8.5703125" style="68" bestFit="1" customWidth="1"/>
    <col min="23" max="23" width="7.28515625" style="68" bestFit="1" customWidth="1"/>
    <col min="24" max="25" width="8.140625" style="68" bestFit="1" customWidth="1"/>
    <col min="26" max="26" width="11" style="68" customWidth="1"/>
    <col min="27" max="32" width="9.140625" style="68"/>
    <col min="33" max="33" width="15" style="68" customWidth="1"/>
    <col min="34" max="34" width="9.140625" style="68"/>
    <col min="35" max="40" width="17.85546875" style="68" customWidth="1"/>
    <col min="41" max="41" width="18.7109375" style="68" customWidth="1"/>
    <col min="42" max="43" width="17.85546875" style="68" customWidth="1"/>
    <col min="44" max="44" width="17.85546875" style="669" customWidth="1"/>
    <col min="45" max="45" width="18.28515625" style="68" customWidth="1"/>
    <col min="46" max="46" width="19.42578125" style="68" customWidth="1"/>
    <col min="47" max="16384" width="9.140625" style="32"/>
  </cols>
  <sheetData>
    <row r="1" spans="1:54" s="78" customFormat="1" ht="6.75" customHeight="1" x14ac:dyDescent="0.25">
      <c r="A1" s="362"/>
      <c r="B1" s="363"/>
      <c r="C1" s="363"/>
      <c r="D1" s="363"/>
      <c r="E1" s="363"/>
      <c r="F1" s="363"/>
      <c r="G1" s="363"/>
      <c r="H1" s="363"/>
      <c r="I1" s="363"/>
      <c r="J1" s="363"/>
      <c r="K1" s="363"/>
      <c r="L1" s="363"/>
      <c r="M1" s="363"/>
      <c r="N1" s="363"/>
      <c r="O1" s="363"/>
      <c r="P1" s="363"/>
      <c r="Q1" s="364"/>
      <c r="AR1" s="669"/>
    </row>
    <row r="2" spans="1:54" s="1" customFormat="1" ht="36.75" thickBot="1" x14ac:dyDescent="0.3">
      <c r="A2" s="365"/>
      <c r="B2" s="1099"/>
      <c r="C2" s="1099"/>
      <c r="D2" s="1099"/>
      <c r="E2" s="1099"/>
      <c r="F2" s="1099"/>
      <c r="G2" s="1099"/>
      <c r="H2" s="1099"/>
      <c r="I2" s="1099"/>
      <c r="J2" s="1099"/>
      <c r="K2" s="1099"/>
      <c r="L2" s="1099"/>
      <c r="M2" s="1099"/>
      <c r="N2" s="1099"/>
      <c r="O2" s="1099"/>
      <c r="P2" s="1099"/>
      <c r="Q2" s="366"/>
      <c r="BA2" s="57"/>
      <c r="BB2" s="57"/>
    </row>
    <row r="3" spans="1:54" s="1" customFormat="1" ht="33" customHeight="1" x14ac:dyDescent="0.25">
      <c r="A3" s="1111" t="s">
        <v>554</v>
      </c>
      <c r="B3" s="1112"/>
      <c r="C3" s="1112"/>
      <c r="D3" s="1112"/>
      <c r="E3" s="1112"/>
      <c r="F3" s="1112"/>
      <c r="G3" s="1112"/>
      <c r="H3" s="1112"/>
      <c r="I3" s="1112"/>
      <c r="J3" s="1112"/>
      <c r="K3" s="1112"/>
      <c r="L3" s="521"/>
      <c r="M3" s="521"/>
      <c r="N3" s="521"/>
      <c r="O3" s="521"/>
      <c r="P3" s="521"/>
      <c r="Q3" s="364"/>
      <c r="V3" s="68"/>
      <c r="W3" s="68"/>
      <c r="X3" s="68"/>
      <c r="Y3" s="68"/>
      <c r="Z3" s="68"/>
      <c r="AA3" s="68"/>
      <c r="AB3" s="68"/>
      <c r="AC3" s="68"/>
      <c r="AD3" s="68"/>
      <c r="AE3" s="68"/>
      <c r="AF3" s="68"/>
      <c r="AG3" s="68"/>
      <c r="AH3" s="68"/>
      <c r="AI3" s="68"/>
      <c r="AJ3" s="68"/>
      <c r="AK3" s="68"/>
      <c r="AL3" s="68"/>
      <c r="AM3" s="68"/>
      <c r="AN3" s="68"/>
      <c r="AO3" s="68"/>
      <c r="AP3" s="68"/>
      <c r="BA3" s="57"/>
      <c r="BB3" s="57"/>
    </row>
    <row r="4" spans="1:54" s="16" customFormat="1" ht="18" customHeight="1" x14ac:dyDescent="0.25">
      <c r="A4" s="1113">
        <f>Report_Date</f>
        <v>43190</v>
      </c>
      <c r="B4" s="1114"/>
      <c r="C4" s="1114"/>
      <c r="D4" s="1114"/>
      <c r="E4" s="1114"/>
      <c r="F4" s="1114"/>
      <c r="G4" s="1114"/>
      <c r="H4" s="1114"/>
      <c r="I4" s="1114"/>
      <c r="J4" s="1114"/>
      <c r="K4" s="1114"/>
      <c r="L4" s="357"/>
      <c r="M4" s="357"/>
      <c r="N4" s="357"/>
      <c r="O4" s="357"/>
      <c r="P4" s="357"/>
      <c r="Q4" s="366"/>
      <c r="R4" s="1"/>
      <c r="W4" s="68"/>
      <c r="X4" s="68"/>
      <c r="Y4" s="68"/>
      <c r="Z4" s="68"/>
      <c r="AA4" s="68"/>
      <c r="AB4" s="68"/>
      <c r="AC4" s="68"/>
      <c r="AD4" s="68"/>
      <c r="AE4" s="68"/>
      <c r="AF4" s="68"/>
      <c r="AG4" s="68"/>
      <c r="AH4" s="68"/>
      <c r="AI4" s="68"/>
      <c r="AJ4" s="68"/>
      <c r="AK4" s="68"/>
      <c r="AL4" s="68"/>
      <c r="AM4" s="68"/>
      <c r="AN4" s="68"/>
      <c r="AO4" s="68"/>
      <c r="AP4" s="68"/>
      <c r="BA4" s="58"/>
      <c r="BB4" s="58"/>
    </row>
    <row r="5" spans="1:54" ht="36" x14ac:dyDescent="0.25">
      <c r="A5" s="48"/>
      <c r="B5" s="38"/>
      <c r="C5" s="38"/>
      <c r="D5" s="38"/>
      <c r="E5" s="38"/>
      <c r="F5" s="38"/>
      <c r="G5" s="38"/>
      <c r="H5" s="38"/>
      <c r="I5" s="38"/>
      <c r="J5" s="38"/>
      <c r="K5" s="38"/>
      <c r="L5" s="38"/>
      <c r="M5" s="38"/>
      <c r="N5" s="38"/>
      <c r="O5" s="38"/>
      <c r="P5" s="38"/>
      <c r="Q5" s="367"/>
      <c r="R5" s="38"/>
      <c r="S5" s="80"/>
      <c r="T5" s="80"/>
      <c r="U5" s="80"/>
      <c r="V5" s="80"/>
      <c r="W5" s="80"/>
      <c r="X5" s="80"/>
      <c r="Y5" s="80"/>
      <c r="Z5" s="80"/>
      <c r="AA5" s="80"/>
      <c r="AB5" s="80"/>
      <c r="AC5" s="80"/>
      <c r="AD5" s="80"/>
      <c r="AE5" s="80"/>
      <c r="AF5" s="80"/>
      <c r="AT5" s="32"/>
    </row>
    <row r="6" spans="1:54" x14ac:dyDescent="0.25">
      <c r="A6" s="48"/>
      <c r="B6" s="38"/>
      <c r="C6" s="38"/>
      <c r="D6" s="38"/>
      <c r="E6" s="38"/>
      <c r="F6" s="38"/>
      <c r="G6" s="38"/>
      <c r="H6" s="38"/>
      <c r="I6" s="38"/>
      <c r="J6" s="38"/>
      <c r="K6" s="38"/>
      <c r="L6" s="38"/>
      <c r="M6" s="38"/>
      <c r="N6" s="38"/>
      <c r="O6" s="38"/>
      <c r="P6" s="38"/>
      <c r="Q6" s="367"/>
      <c r="R6" s="1"/>
      <c r="AG6" s="292" t="s">
        <v>1</v>
      </c>
      <c r="AH6" s="292" t="s">
        <v>544</v>
      </c>
      <c r="AI6" s="292" t="s">
        <v>547</v>
      </c>
      <c r="AJ6" s="292" t="s">
        <v>546</v>
      </c>
      <c r="AK6" s="292" t="s">
        <v>548</v>
      </c>
      <c r="AL6" s="34" t="s">
        <v>857</v>
      </c>
      <c r="AT6" s="32"/>
    </row>
    <row r="7" spans="1:54" ht="9.75" customHeight="1" x14ac:dyDescent="0.25">
      <c r="A7" s="48"/>
      <c r="B7" s="38"/>
      <c r="C7" s="38"/>
      <c r="D7" s="38"/>
      <c r="E7" s="38"/>
      <c r="F7" s="38"/>
      <c r="G7" s="38"/>
      <c r="H7" s="38"/>
      <c r="I7" s="38"/>
      <c r="J7" s="38"/>
      <c r="K7" s="38"/>
      <c r="L7" s="38"/>
      <c r="M7" s="38"/>
      <c r="N7" s="38"/>
      <c r="O7" s="38"/>
      <c r="P7" s="38"/>
      <c r="Q7" s="367"/>
      <c r="R7" s="1"/>
      <c r="AG7" s="283" t="s">
        <v>561</v>
      </c>
      <c r="AH7" s="282">
        <f>SUMIFS(Camp_List[Total],Camp_List[TOWNSHIP_NAME],$AG7,Camp_List[Total],"&gt;0",Camp_List[Total],"&lt;=1000",Camp_List[Status],"Open")</f>
        <v>0</v>
      </c>
      <c r="AI7" s="282">
        <f>SUMIFS(Camp_List[Total],Camp_List[TOWNSHIP_NAME],$AG7,Camp_List[Total],"&gt;1000",Camp_List[Total],"&lt;=5000",Camp_List[Status],"Open")</f>
        <v>1050</v>
      </c>
      <c r="AJ7" s="282">
        <f>SUMIFS(Camp_List[Total],Camp_List[TOWNSHIP_NAME],$AG7,Camp_List[Total],"&gt;5000",Camp_List[Total],"&lt;=10000",Camp_List[Status],"Open")</f>
        <v>0</v>
      </c>
      <c r="AK7" s="282">
        <f>SUMIFS(Camp_List[Total],Camp_List[TOWNSHIP_NAME],$AG7,Camp_List[Total],"&gt;10000",Camp_List[Total],"&lt;=100000",Camp_List[Status],"Open")</f>
        <v>0</v>
      </c>
      <c r="AL7" s="282">
        <f>SUMIFS(Camp_List[Total],Camp_List[TOWNSHIP_NAME],$AG7,Camp_List[Total],"",Camp_List[Status],"Open")</f>
        <v>0</v>
      </c>
      <c r="AT7" s="32"/>
    </row>
    <row r="8" spans="1:54" ht="12.75" customHeight="1" x14ac:dyDescent="0.25">
      <c r="A8" s="48"/>
      <c r="B8" s="38"/>
      <c r="C8" s="38"/>
      <c r="D8" s="38"/>
      <c r="E8" s="38"/>
      <c r="F8" s="38"/>
      <c r="G8" s="38"/>
      <c r="H8" s="38"/>
      <c r="I8" s="38"/>
      <c r="J8" s="38"/>
      <c r="K8" s="38"/>
      <c r="L8" s="38"/>
      <c r="M8" s="38"/>
      <c r="N8" s="38"/>
      <c r="O8" s="38"/>
      <c r="P8" s="38"/>
      <c r="Q8" s="367"/>
      <c r="R8" s="1"/>
      <c r="AG8" s="283" t="s">
        <v>14</v>
      </c>
      <c r="AH8" s="282">
        <f>SUMIFS(Camp_List[Total],Camp_List[TOWNSHIP_NAME],$AG8,Camp_List[Total],"&gt;0",Camp_List[Total],"&lt;=1000",Camp_List[Status],"Open")</f>
        <v>546</v>
      </c>
      <c r="AI8" s="282">
        <f>SUMIFS(Camp_List[Total],Camp_List[TOWNSHIP_NAME],$AG8,Camp_List[Total],"&gt;1000",Camp_List[Total],"&lt;=5000",Camp_List[Status],"Open")</f>
        <v>0</v>
      </c>
      <c r="AJ8" s="282">
        <f>SUMIFS(Camp_List[Total],Camp_List[TOWNSHIP_NAME],$AG8,Camp_List[Total],"&gt;5000",Camp_List[Total],"&lt;=10000",Camp_List[Status],"Open")</f>
        <v>0</v>
      </c>
      <c r="AK8" s="282">
        <f>SUMIFS(Camp_List[Total],Camp_List[TOWNSHIP_NAME],$AG8,Camp_List[Total],"&gt;10000",Camp_List[Total],"&lt;=100000",Camp_List[Status],"Open")</f>
        <v>0</v>
      </c>
      <c r="AL8" s="282">
        <f>SUMIFS(Camp_List[Total],Camp_List[TOWNSHIP_NAME],$AG8,Camp_List[Total],"",Camp_List[Status],"Open")</f>
        <v>0</v>
      </c>
      <c r="AT8" s="32"/>
    </row>
    <row r="9" spans="1:54" ht="18.75" customHeight="1" x14ac:dyDescent="0.25">
      <c r="A9" s="48"/>
      <c r="B9" s="38"/>
      <c r="C9" s="38"/>
      <c r="D9" s="38"/>
      <c r="E9" s="38"/>
      <c r="F9" s="38"/>
      <c r="G9" s="38"/>
      <c r="H9" s="38"/>
      <c r="I9" s="38"/>
      <c r="J9" s="38"/>
      <c r="K9" s="38"/>
      <c r="L9" s="38"/>
      <c r="M9" s="38"/>
      <c r="N9" s="38"/>
      <c r="O9" s="38"/>
      <c r="P9" s="38"/>
      <c r="Q9" s="367"/>
      <c r="R9" s="1"/>
      <c r="AG9" s="283" t="s">
        <v>18</v>
      </c>
      <c r="AH9" s="282">
        <f>SUMIFS(Camp_List[Total],Camp_List[TOWNSHIP_NAME],$AG9,Camp_List[Total],"&gt;0",Camp_List[Total],"&lt;=1000",Camp_List[Status],"Open")</f>
        <v>0</v>
      </c>
      <c r="AI9" s="282">
        <f>SUMIFS(Camp_List[Total],Camp_List[TOWNSHIP_NAME],$AG9,Camp_List[Total],"&gt;1000",Camp_List[Total],"&lt;=5000",Camp_List[Status],"Open")</f>
        <v>0</v>
      </c>
      <c r="AJ9" s="282">
        <f>SUMIFS(Camp_List[Total],Camp_List[TOWNSHIP_NAME],$AG9,Camp_List[Total],"&gt;5000",Camp_List[Total],"&lt;=10000",Camp_List[Status],"Open")</f>
        <v>0</v>
      </c>
      <c r="AK9" s="282">
        <f>SUMIFS(Camp_List[Total],Camp_List[TOWNSHIP_NAME],$AG9,Camp_List[Total],"&gt;10000",Camp_List[Total],"&lt;=100000",Camp_List[Status],"Open")</f>
        <v>0</v>
      </c>
      <c r="AL9" s="282">
        <f>SUMIFS(Camp_List[Total],Camp_List[TOWNSHIP_NAME],$AG9,Camp_List[Total],"",Camp_List[Status],"Open")</f>
        <v>0</v>
      </c>
      <c r="AT9" s="32"/>
    </row>
    <row r="10" spans="1:54" ht="29.25" customHeight="1" x14ac:dyDescent="0.25">
      <c r="A10" s="48"/>
      <c r="B10" s="38"/>
      <c r="C10" s="38"/>
      <c r="D10" s="38"/>
      <c r="E10" s="38"/>
      <c r="F10" s="38"/>
      <c r="G10" s="38"/>
      <c r="H10" s="1106" t="s">
        <v>937</v>
      </c>
      <c r="I10" s="1108"/>
      <c r="J10" s="1109"/>
      <c r="K10" s="1109"/>
      <c r="L10" s="1110"/>
      <c r="M10" s="38"/>
      <c r="N10" s="38"/>
      <c r="O10" s="38"/>
      <c r="P10" s="38"/>
      <c r="Q10" s="368"/>
      <c r="R10" s="1"/>
      <c r="AG10" s="283" t="s">
        <v>817</v>
      </c>
      <c r="AH10" s="282">
        <f>SUMIFS(Camp_List[Total],Camp_List[TOWNSHIP_NAME],$AG10,Camp_List[Total],"&gt;0",Camp_List[Total],"&lt;=1000",Camp_List[Status],"Open")</f>
        <v>0</v>
      </c>
      <c r="AI10" s="282">
        <f>SUMIFS(Camp_List[Total],Camp_List[TOWNSHIP_NAME],$AG10,Camp_List[Total],"&gt;1000",Camp_List[Total],"&lt;=5000",Camp_List[Status],"Open")</f>
        <v>2606</v>
      </c>
      <c r="AJ10" s="282">
        <f>SUMIFS(Camp_List[Total],Camp_List[TOWNSHIP_NAME],$AG10,Camp_List[Total],"&gt;5000",Camp_List[Total],"&lt;=10000",Camp_List[Status],"Open")</f>
        <v>0</v>
      </c>
      <c r="AK10" s="282">
        <f>SUMIFS(Camp_List[Total],Camp_List[TOWNSHIP_NAME],$AG10,Camp_List[Total],"&gt;10000",Camp_List[Total],"&lt;=100000",Camp_List[Status],"Open")</f>
        <v>0</v>
      </c>
      <c r="AL10" s="282">
        <f>SUMIFS(Camp_List[Total],Camp_List[TOWNSHIP_NAME],$AG10,Camp_List[Total],"",Camp_List[Status],"Open")</f>
        <v>0</v>
      </c>
      <c r="AT10" s="32"/>
    </row>
    <row r="11" spans="1:54" ht="18.75" x14ac:dyDescent="0.25">
      <c r="A11" s="48"/>
      <c r="B11" s="38"/>
      <c r="C11" s="38"/>
      <c r="D11" s="38"/>
      <c r="E11" s="38"/>
      <c r="F11" s="38"/>
      <c r="G11" s="38"/>
      <c r="H11" s="1107"/>
      <c r="I11" s="608" t="s">
        <v>669</v>
      </c>
      <c r="J11" s="609" t="s">
        <v>670</v>
      </c>
      <c r="K11" s="610" t="s">
        <v>671</v>
      </c>
      <c r="L11" s="611" t="s">
        <v>672</v>
      </c>
      <c r="M11" s="38"/>
      <c r="N11" s="38"/>
      <c r="O11" s="38"/>
      <c r="P11" s="38"/>
      <c r="Q11" s="369"/>
      <c r="AG11" s="283" t="s">
        <v>11</v>
      </c>
      <c r="AH11" s="282">
        <f>SUMIFS(Camp_List[Total],Camp_List[TOWNSHIP_NAME],$AG11,Camp_List[Total],"&gt;0",Camp_List[Total],"&lt;=1000",Camp_List[Status],"Open")</f>
        <v>0</v>
      </c>
      <c r="AI11" s="282">
        <f>SUMIFS(Camp_List[Total],Camp_List[TOWNSHIP_NAME],$AG11,Camp_List[Total],"&gt;1000",Camp_List[Total],"&lt;=5000",Camp_List[Status],"Open")</f>
        <v>0</v>
      </c>
      <c r="AJ11" s="282">
        <f>SUMIFS(Camp_List[Total],Camp_List[TOWNSHIP_NAME],$AG11,Camp_List[Total],"&gt;5000",Camp_List[Total],"&lt;=10000",Camp_List[Status],"Open")</f>
        <v>0</v>
      </c>
      <c r="AK11" s="282">
        <f>SUMIFS(Camp_List[Total],Camp_List[TOWNSHIP_NAME],$AG11,Camp_List[Total],"&gt;10000",Camp_List[Total],"&lt;=100000",Camp_List[Status],"Open")</f>
        <v>0</v>
      </c>
      <c r="AL11" s="282">
        <f>SUMIFS(Camp_List[Total],Camp_List[TOWNSHIP_NAME],$AG11,Camp_List[Total],"",Camp_List[Status],"Open")</f>
        <v>0</v>
      </c>
      <c r="AT11" s="32"/>
    </row>
    <row r="12" spans="1:54" ht="20.100000000000001" customHeight="1" x14ac:dyDescent="0.3">
      <c r="A12" s="48"/>
      <c r="B12" s="38"/>
      <c r="C12" s="38"/>
      <c r="D12" s="38"/>
      <c r="E12" s="38"/>
      <c r="F12" s="38"/>
      <c r="G12" s="38"/>
      <c r="H12" s="522" t="s">
        <v>712</v>
      </c>
      <c r="I12" s="523">
        <f>AH36</f>
        <v>2</v>
      </c>
      <c r="J12" s="523">
        <f>AI36</f>
        <v>13</v>
      </c>
      <c r="K12" s="523">
        <f>AJ36</f>
        <v>3</v>
      </c>
      <c r="L12" s="523">
        <f>AK36</f>
        <v>5</v>
      </c>
      <c r="M12" s="38"/>
      <c r="N12" s="38"/>
      <c r="O12" s="38"/>
      <c r="P12" s="38"/>
      <c r="Q12" s="369"/>
      <c r="V12" s="78"/>
      <c r="AG12" s="283" t="s">
        <v>941</v>
      </c>
      <c r="AH12" s="282">
        <f>SUMIFS(Camp_List[Total],Camp_List[TOWNSHIP_NAME],$AG12,Camp_List[Total],"&gt;0",Camp_List[Total],"&lt;=1000",Camp_List[Status],"Open")</f>
        <v>0</v>
      </c>
      <c r="AI12" s="282">
        <f>SUMIFS(Camp_List[Total],Camp_List[TOWNSHIP_NAME],$AG12,Camp_List[Total],"&gt;1000",Camp_List[Total],"&lt;=5000",Camp_List[Status],"Open")</f>
        <v>0</v>
      </c>
      <c r="AJ12" s="282">
        <f>SUMIFS(Camp_List[Total],Camp_List[TOWNSHIP_NAME],$AG12,Camp_List[Total],"&gt;5000",Camp_List[Total],"&lt;=10000",Camp_List[Status],"Open")</f>
        <v>0</v>
      </c>
      <c r="AK12" s="282">
        <f>SUMIFS(Camp_List[Total],Camp_List[TOWNSHIP_NAME],$AG12,Camp_List[Total],"&gt;10000",Camp_List[Total],"&lt;=100000",Camp_List[Status],"Open")</f>
        <v>0</v>
      </c>
      <c r="AL12" s="282">
        <f>SUMIFS(Camp_List[Total],Camp_List[TOWNSHIP_NAME],$AG12,Camp_List[Total],"",Camp_List[Status],"Open")</f>
        <v>0</v>
      </c>
      <c r="AT12" s="32"/>
    </row>
    <row r="13" spans="1:54" ht="20.100000000000001" customHeight="1" x14ac:dyDescent="0.3">
      <c r="A13" s="48"/>
      <c r="B13" s="38"/>
      <c r="C13" s="38"/>
      <c r="D13" s="38"/>
      <c r="E13" s="38"/>
      <c r="F13" s="38"/>
      <c r="G13" s="38"/>
      <c r="H13" s="522" t="s">
        <v>534</v>
      </c>
      <c r="I13" s="523">
        <f>AH17</f>
        <v>772</v>
      </c>
      <c r="J13" s="523">
        <f>AI17</f>
        <v>44442</v>
      </c>
      <c r="K13" s="523">
        <f>AJ17</f>
        <v>19177</v>
      </c>
      <c r="L13" s="523">
        <f>AK17</f>
        <v>63183</v>
      </c>
      <c r="M13" s="38"/>
      <c r="N13" s="38"/>
      <c r="O13" s="38"/>
      <c r="P13" s="38"/>
      <c r="Q13" s="367"/>
      <c r="R13" s="143"/>
      <c r="S13" s="142"/>
      <c r="T13" s="142"/>
      <c r="V13" s="78"/>
      <c r="AG13" s="283" t="s">
        <v>13</v>
      </c>
      <c r="AH13" s="282">
        <f>SUMIFS(Camp_List[Total],Camp_List[TOWNSHIP_NAME],$AG13,Camp_List[Total],"&gt;0",Camp_List[Total],"&lt;=1000",Camp_List[Status],"Open")</f>
        <v>0</v>
      </c>
      <c r="AI13" s="282">
        <f>SUMIFS(Camp_List[Total],Camp_List[TOWNSHIP_NAME],$AG13,Camp_List[Total],"&gt;1000",Camp_List[Total],"&lt;=5000",Camp_List[Status],"Open")</f>
        <v>15880</v>
      </c>
      <c r="AJ13" s="282">
        <f>SUMIFS(Camp_List[Total],Camp_List[TOWNSHIP_NAME],$AG13,Camp_List[Total],"&gt;5000",Camp_List[Total],"&lt;=10000",Camp_List[Status],"Open")</f>
        <v>5945</v>
      </c>
      <c r="AK13" s="282">
        <f>SUMIFS(Camp_List[Total],Camp_List[TOWNSHIP_NAME],$AG13,Camp_List[Total],"&gt;10000",Camp_List[Total],"&lt;=100000",Camp_List[Status],"Open")</f>
        <v>0</v>
      </c>
      <c r="AL13" s="282">
        <f>SUMIFS(Camp_List[Total],Camp_List[TOWNSHIP_NAME],$AG13,Camp_List[Total],"",Camp_List[Status],"Open")</f>
        <v>0</v>
      </c>
      <c r="AT13" s="32"/>
    </row>
    <row r="14" spans="1:54" ht="15" hidden="1" customHeight="1" x14ac:dyDescent="0.25">
      <c r="A14" s="48"/>
      <c r="B14" s="38"/>
      <c r="C14" s="38"/>
      <c r="D14" s="38"/>
      <c r="E14" s="38"/>
      <c r="F14" s="38"/>
      <c r="G14" s="38"/>
      <c r="H14" s="38"/>
      <c r="I14" s="607"/>
      <c r="J14" s="607"/>
      <c r="K14" s="607"/>
      <c r="L14" s="607"/>
      <c r="M14" s="38"/>
      <c r="N14" s="38"/>
      <c r="O14" s="38"/>
      <c r="P14" s="38"/>
      <c r="Q14" s="367"/>
      <c r="R14" s="23"/>
      <c r="S14" s="23"/>
      <c r="T14" s="23"/>
      <c r="V14" s="78"/>
      <c r="AG14" s="283" t="s">
        <v>16</v>
      </c>
      <c r="AH14" s="282">
        <f>SUMIFS(Camp_List[Total],Camp_List[TOWNSHIP_NAME],$AG14,Camp_List[Total],"&gt;0",Camp_List[Total],"&lt;=1000",Camp_List[Status],"Open")</f>
        <v>0</v>
      </c>
      <c r="AI14" s="282">
        <f>SUMIFS(Camp_List[Total],Camp_List[TOWNSHIP_NAME],$AG14,Camp_List[Total],"&gt;1000",Camp_List[Total],"&lt;=5000",Camp_List[Status],"Open")</f>
        <v>0</v>
      </c>
      <c r="AJ14" s="282">
        <f>SUMIFS(Camp_List[Total],Camp_List[TOWNSHIP_NAME],$AG14,Camp_List[Total],"&gt;5000",Camp_List[Total],"&lt;=10000",Camp_List[Status],"Open")</f>
        <v>0</v>
      </c>
      <c r="AK14" s="282">
        <f>SUMIFS(Camp_List[Total],Camp_List[TOWNSHIP_NAME],$AG14,Camp_List[Total],"&gt;10000",Camp_List[Total],"&lt;=100000",Camp_List[Status],"Open")</f>
        <v>0</v>
      </c>
      <c r="AL14" s="282">
        <f>SUMIFS(Camp_List[Total],Camp_List[TOWNSHIP_NAME],$AG14,Camp_List[Total],"",Camp_List[Status],"Open")</f>
        <v>0</v>
      </c>
      <c r="AT14" s="32"/>
    </row>
    <row r="15" spans="1:54" x14ac:dyDescent="0.25">
      <c r="A15" s="48"/>
      <c r="B15" s="38"/>
      <c r="C15" s="38"/>
      <c r="D15" s="38"/>
      <c r="E15" s="38"/>
      <c r="F15" s="38"/>
      <c r="G15" s="38"/>
      <c r="H15" s="38"/>
      <c r="I15" s="607"/>
      <c r="J15" s="607"/>
      <c r="K15" s="607"/>
      <c r="L15" s="607"/>
      <c r="M15" s="38"/>
      <c r="N15" s="38"/>
      <c r="O15" s="38"/>
      <c r="P15" s="38"/>
      <c r="Q15" s="367"/>
      <c r="V15" s="78"/>
      <c r="AG15" s="283" t="s">
        <v>15</v>
      </c>
      <c r="AH15" s="282">
        <f>SUMIFS(Camp_List[Total],Camp_List[TOWNSHIP_NAME],$AG15,Camp_List[Total],"&gt;0",Camp_List[Total],"&lt;=1000",Camp_List[Status],"Open")</f>
        <v>0</v>
      </c>
      <c r="AI15" s="282">
        <f>SUMIFS(Camp_List[Total],Camp_List[TOWNSHIP_NAME],$AG15,Camp_List[Total],"&gt;1000",Camp_List[Total],"&lt;=5000",Camp_List[Status],"Open")</f>
        <v>0</v>
      </c>
      <c r="AJ15" s="282">
        <f>SUMIFS(Camp_List[Total],Camp_List[TOWNSHIP_NAME],$AG15,Camp_List[Total],"&gt;5000",Camp_List[Total],"&lt;=10000",Camp_List[Status],"Open")</f>
        <v>0</v>
      </c>
      <c r="AK15" s="282">
        <f>SUMIFS(Camp_List[Total],Camp_List[TOWNSHIP_NAME],$AG15,Camp_List[Total],"&gt;10000",Camp_List[Total],"&lt;=100000",Camp_List[Status],"Open")</f>
        <v>0</v>
      </c>
      <c r="AL15" s="282">
        <f>SUMIFS(Camp_List[Total],Camp_List[TOWNSHIP_NAME],$AG15,Camp_List[Total],"",Camp_List[Status],"Open")</f>
        <v>0</v>
      </c>
      <c r="AT15" s="32"/>
    </row>
    <row r="16" spans="1:54" ht="33" customHeight="1" x14ac:dyDescent="0.25">
      <c r="A16" s="48"/>
      <c r="B16" s="38"/>
      <c r="C16" s="38"/>
      <c r="D16" s="38"/>
      <c r="E16" s="38"/>
      <c r="F16" s="38"/>
      <c r="G16" s="38"/>
      <c r="H16" s="526" t="s">
        <v>1</v>
      </c>
      <c r="I16" s="527" t="s">
        <v>530</v>
      </c>
      <c r="J16" s="527" t="s">
        <v>534</v>
      </c>
      <c r="K16" s="527" t="s">
        <v>714</v>
      </c>
      <c r="L16" s="588" t="s">
        <v>726</v>
      </c>
      <c r="M16" s="38"/>
      <c r="N16" s="38"/>
      <c r="O16" s="38"/>
      <c r="P16" s="1"/>
      <c r="Q16" s="49"/>
      <c r="T16" s="68"/>
      <c r="U16" s="68"/>
      <c r="AG16" s="283" t="s">
        <v>17</v>
      </c>
      <c r="AH16" s="282">
        <f>SUMIFS(Camp_List[Total],Camp_List[TOWNSHIP_NAME],$AG16,Camp_List[Total],"&gt;0",Camp_List[Total],"&lt;=1000",Camp_List[Status],"Open")</f>
        <v>226</v>
      </c>
      <c r="AI16" s="282">
        <f>SUMIFS(Camp_List[Total],Camp_List[TOWNSHIP_NAME],$AG16,Camp_List[Total],"&gt;1000",Camp_List[Total],"&lt;=5000",Camp_List[Status],"Open")</f>
        <v>24906</v>
      </c>
      <c r="AJ16" s="282">
        <f>SUMIFS(Camp_List[Total],Camp_List[TOWNSHIP_NAME],$AG16,Camp_List[Total],"&gt;5000",Camp_List[Total],"&lt;=10000",Camp_List[Status],"Open")</f>
        <v>13232</v>
      </c>
      <c r="AK16" s="282">
        <f>SUMIFS(Camp_List[Total],Camp_List[TOWNSHIP_NAME],$AG16,Camp_List[Total],"&gt;10000",Camp_List[Total],"&lt;=100000",Camp_List[Status],"Open")</f>
        <v>63183</v>
      </c>
      <c r="AL16" s="282">
        <f>SUMIFS(Camp_List[Total],Camp_List[TOWNSHIP_NAME],$AG16,Camp_List[Total],"",Camp_List[Status],"Open")</f>
        <v>0</v>
      </c>
      <c r="AM16" s="55"/>
      <c r="AQ16" s="32"/>
      <c r="AS16" s="32"/>
      <c r="AT16" s="32"/>
    </row>
    <row r="17" spans="1:47" ht="18.95" customHeight="1" x14ac:dyDescent="0.3">
      <c r="A17" s="48"/>
      <c r="B17" s="38"/>
      <c r="C17" s="38"/>
      <c r="D17" s="38"/>
      <c r="E17" s="38"/>
      <c r="F17" s="38"/>
      <c r="G17" s="38"/>
      <c r="H17" s="528" t="s">
        <v>561</v>
      </c>
      <c r="I17" s="523">
        <f>SUMIFS(Camplist_HH,Camplist_Township,'CCCM Dashboard'!$H17,CampList_Status,"Open")</f>
        <v>415</v>
      </c>
      <c r="J17" s="523">
        <f>SUMIFS(Camplist_Popl,Camplist_Township,'CCCM Dashboard'!$H17,CampList_Status,"Open")</f>
        <v>1050</v>
      </c>
      <c r="K17" s="523">
        <f t="shared" ref="K17:K18" si="0">AN21</f>
        <v>1</v>
      </c>
      <c r="L17" s="938"/>
      <c r="M17" s="38"/>
      <c r="N17" s="38"/>
      <c r="O17" s="38"/>
      <c r="P17" s="1"/>
      <c r="Q17" s="49"/>
      <c r="T17" s="68"/>
      <c r="U17" s="68"/>
      <c r="AG17" s="19" t="s">
        <v>222</v>
      </c>
      <c r="AH17" s="475">
        <f>SUM(AH7:AH16)</f>
        <v>772</v>
      </c>
      <c r="AI17" s="475">
        <f>SUM(AI7:AI16)</f>
        <v>44442</v>
      </c>
      <c r="AJ17" s="475">
        <f>SUM(AJ7:AJ16)</f>
        <v>19177</v>
      </c>
      <c r="AK17" s="475">
        <f>SUM(AK7:AK16)</f>
        <v>63183</v>
      </c>
      <c r="AL17" s="475">
        <f>SUM(AL7:AL16)</f>
        <v>0</v>
      </c>
      <c r="AM17" s="476">
        <f>SUM(AH17:AL17)</f>
        <v>127574</v>
      </c>
      <c r="AS17" s="32"/>
      <c r="AT17" s="32"/>
    </row>
    <row r="18" spans="1:47" ht="18.95" customHeight="1" x14ac:dyDescent="0.3">
      <c r="A18" s="48"/>
      <c r="B18" s="38"/>
      <c r="C18" s="38"/>
      <c r="D18" s="38"/>
      <c r="E18" s="38"/>
      <c r="F18" s="38"/>
      <c r="G18" s="38"/>
      <c r="H18" s="528" t="s">
        <v>14</v>
      </c>
      <c r="I18" s="523">
        <f>SUMIFS(Camplist_HH,Camplist_Township,'CCCM Dashboard'!$H18,CampList_Status,"Open")</f>
        <v>85</v>
      </c>
      <c r="J18" s="523">
        <f>SUMIFS(Camplist_Popl,Camplist_Township,'CCCM Dashboard'!$H18,CampList_Status,"Open")</f>
        <v>546</v>
      </c>
      <c r="K18" s="523">
        <f t="shared" si="0"/>
        <v>0</v>
      </c>
      <c r="L18" s="938">
        <f>AP22</f>
        <v>1</v>
      </c>
      <c r="M18" s="38"/>
      <c r="N18" s="38"/>
      <c r="O18" s="38"/>
      <c r="P18" s="1"/>
      <c r="Q18" s="49"/>
      <c r="T18" s="68"/>
      <c r="U18" s="68"/>
      <c r="AG18" s="32"/>
      <c r="AH18" s="32"/>
      <c r="AI18" s="32"/>
      <c r="AJ18" s="32"/>
      <c r="AK18" s="32"/>
      <c r="AL18" s="21"/>
      <c r="AM18" s="22"/>
      <c r="AS18" s="32"/>
      <c r="AT18" s="32"/>
    </row>
    <row r="19" spans="1:47" ht="18.95" customHeight="1" x14ac:dyDescent="0.3">
      <c r="A19" s="48"/>
      <c r="B19" s="38"/>
      <c r="C19" s="38"/>
      <c r="D19" s="38"/>
      <c r="E19" s="38"/>
      <c r="F19" s="38"/>
      <c r="G19" s="38"/>
      <c r="H19" s="528" t="s">
        <v>817</v>
      </c>
      <c r="I19" s="523">
        <f>SUMIFS(Camplist_HH,Camplist_Township,'CCCM Dashboard'!$H19,CampList_Status,"Open")</f>
        <v>687</v>
      </c>
      <c r="J19" s="523">
        <f>SUMIFS(Camplist_Popl,Camplist_Township,'CCCM Dashboard'!$H19,CampList_Status,"Open")</f>
        <v>2606</v>
      </c>
      <c r="K19" s="523">
        <f>AN24</f>
        <v>1</v>
      </c>
      <c r="L19" s="938"/>
      <c r="M19" s="38"/>
      <c r="N19" s="38"/>
      <c r="O19" s="38"/>
      <c r="P19" s="1"/>
      <c r="Q19" s="49"/>
      <c r="R19" s="479"/>
      <c r="T19" s="68"/>
      <c r="U19" s="68"/>
      <c r="AG19" s="669" t="s">
        <v>715</v>
      </c>
      <c r="AH19" s="32"/>
      <c r="AI19" s="32"/>
      <c r="AJ19" s="32"/>
      <c r="AK19" s="32"/>
      <c r="AL19" s="21"/>
      <c r="AM19" s="22"/>
      <c r="AS19" s="32"/>
      <c r="AT19" s="32"/>
    </row>
    <row r="20" spans="1:47" ht="18.95" customHeight="1" x14ac:dyDescent="0.3">
      <c r="A20" s="48"/>
      <c r="B20" s="38"/>
      <c r="C20" s="38"/>
      <c r="D20" s="38"/>
      <c r="E20" s="38"/>
      <c r="F20" s="38"/>
      <c r="G20" s="38"/>
      <c r="H20" s="528" t="s">
        <v>941</v>
      </c>
      <c r="I20" s="523">
        <f>SUMIFS(Camplist_HH,Camplist_Township,'CCCM Dashboard'!$H20,CampList_Status,"Open")</f>
        <v>0</v>
      </c>
      <c r="J20" s="523">
        <f>SUMIFS(Camplist_Popl,Camplist_Township,'CCCM Dashboard'!$H20,CampList_Status,"Open")</f>
        <v>0</v>
      </c>
      <c r="K20" s="523">
        <f>AN31</f>
        <v>0</v>
      </c>
      <c r="L20" s="938">
        <f>AR31-Table922[[#This Row],['# of Planned Camp]]</f>
        <v>0</v>
      </c>
      <c r="M20" s="38"/>
      <c r="N20" s="38"/>
      <c r="O20" s="38"/>
      <c r="P20" s="1"/>
      <c r="Q20" s="49"/>
      <c r="T20" s="68"/>
      <c r="U20" s="68"/>
      <c r="AG20" s="19" t="s">
        <v>1</v>
      </c>
      <c r="AH20" s="26" t="s">
        <v>544</v>
      </c>
      <c r="AI20" s="26" t="s">
        <v>545</v>
      </c>
      <c r="AJ20" s="26" t="s">
        <v>546</v>
      </c>
      <c r="AK20" s="26" t="s">
        <v>549</v>
      </c>
      <c r="AL20" s="26" t="s">
        <v>555</v>
      </c>
      <c r="AM20" s="139" t="s">
        <v>5</v>
      </c>
      <c r="AN20" s="141" t="s">
        <v>20</v>
      </c>
      <c r="AO20" s="141" t="s">
        <v>816</v>
      </c>
      <c r="AP20" s="78" t="s">
        <v>21</v>
      </c>
      <c r="AQ20" s="78" t="s">
        <v>759</v>
      </c>
      <c r="AR20" s="16" t="s">
        <v>1121</v>
      </c>
      <c r="AS20" s="32"/>
      <c r="AT20" s="32"/>
    </row>
    <row r="21" spans="1:47" ht="18.75" customHeight="1" x14ac:dyDescent="0.3">
      <c r="A21" s="48"/>
      <c r="B21" s="38"/>
      <c r="C21" s="38"/>
      <c r="D21" s="38"/>
      <c r="E21" s="38"/>
      <c r="F21" s="38"/>
      <c r="G21" s="38"/>
      <c r="H21" s="528" t="s">
        <v>13</v>
      </c>
      <c r="I21" s="523">
        <f>SUMIFS(Camplist_HH,Camplist_Township,'CCCM Dashboard'!$H21,CampList_Status,"Open")</f>
        <v>5113</v>
      </c>
      <c r="J21" s="523">
        <f>SUMIFS(Camplist_Popl,Camplist_Township,'CCCM Dashboard'!$H21,CampList_Status,"Open")</f>
        <v>21825</v>
      </c>
      <c r="K21" s="523">
        <f>AN32</f>
        <v>4</v>
      </c>
      <c r="L21" s="938">
        <f>AR32</f>
        <v>1</v>
      </c>
      <c r="M21" s="38"/>
      <c r="N21" s="38"/>
      <c r="O21" s="38"/>
      <c r="P21" s="1"/>
      <c r="Q21" s="49"/>
      <c r="T21" s="68"/>
      <c r="U21" s="68"/>
      <c r="AG21" s="283" t="s">
        <v>561</v>
      </c>
      <c r="AH21" s="33">
        <f>COUNTIFS(Camp_List[TOWNSHIP_NAME],$AG21,Camp_List[Total],"&gt;0",Camp_List[Total],"&lt;=1000", Camp_List[Status],"Open")</f>
        <v>0</v>
      </c>
      <c r="AI21" s="33">
        <f>COUNTIFS(Camp_List[TOWNSHIP_NAME],$AG21,Camp_List[Total],"&gt;1000",Camp_List[Total],"&lt;=5000",Camp_List[Status],"Open")</f>
        <v>1</v>
      </c>
      <c r="AJ21" s="282">
        <f>COUNTIFS(Camp_List[TOWNSHIP_NAME],$AG21,Camp_List[Total],"&gt;5000",Camp_List[Total],"&lt;=10000",Camp_List[Status],"Open")</f>
        <v>0</v>
      </c>
      <c r="AK21" s="282">
        <f>COUNTIFS(Camp_List[TOWNSHIP_NAME],$AG21,Camp_List[Total],"&gt;10000",Camp_List[Total],"&lt;=100000",Camp_List[Status],"Open")</f>
        <v>0</v>
      </c>
      <c r="AL21" s="282">
        <f>COUNTIFS(Camp_List[TOWNSHIP_NAME],$AG21,Camp_List[Total],"",Camp_List[Status],"Open")</f>
        <v>0</v>
      </c>
      <c r="AM21" s="140">
        <f>SUM(AH21:AL21)</f>
        <v>1</v>
      </c>
      <c r="AN21" s="68">
        <f>COUNTIFS(Camp_List[TOWNSHIP_NAME],$AG21,Camp_List[Total],"&gt;0",Camp_List[Status],"Open",Camp_List[Type of Accomodation],"Planned Camp")</f>
        <v>1</v>
      </c>
      <c r="AO21" s="78">
        <f>COUNTIFS(Camp_List[TOWNSHIP_NAME],$AG21,Camp_List[Total],"&gt;0",Camp_List[Status],"Open",Camp_List[Type of Accomodation],"Collective centre")</f>
        <v>0</v>
      </c>
      <c r="AP21" s="78">
        <f>COUNTIFS(Camp_List[TOWNSHIP_NAME],$AG21,Camp_List[Total],"&gt;0",Camp_List[Status],"open",Camp_List[Type of Accomodation],"Self Settled Camp")</f>
        <v>0</v>
      </c>
      <c r="AQ21" s="78">
        <f>COUNTIFS(Camp_List[TOWNSHIP_NAME],$AG21,Camp_List[Total],"&gt;0",Camp_List[Status],"Open",Camp_List[Type of Accomodation],"Host Families")</f>
        <v>0</v>
      </c>
      <c r="AS21" s="78">
        <f>SUM(AN21:AQ21)</f>
        <v>1</v>
      </c>
      <c r="AT21" s="32"/>
    </row>
    <row r="22" spans="1:47" ht="18.95" customHeight="1" x14ac:dyDescent="0.3">
      <c r="A22" s="48"/>
      <c r="B22" s="358"/>
      <c r="C22" s="38"/>
      <c r="D22" s="38"/>
      <c r="E22" s="38"/>
      <c r="F22" s="38"/>
      <c r="G22" s="38"/>
      <c r="H22" s="528" t="s">
        <v>16</v>
      </c>
      <c r="I22" s="523">
        <f>SUMIFS(Camplist_HH,Camplist_Township,'CCCM Dashboard'!$H22,CampList_Status,"Open")</f>
        <v>0</v>
      </c>
      <c r="J22" s="523">
        <f>SUMIFS(Camplist_Popl,Camplist_Township,'CCCM Dashboard'!$H22,CampList_Status,"Open")</f>
        <v>0</v>
      </c>
      <c r="K22" s="523">
        <f>AN33</f>
        <v>0</v>
      </c>
      <c r="L22" s="938">
        <f>AR33-Table922[[#This Row],['# of Planned Camp]]</f>
        <v>0</v>
      </c>
      <c r="M22" s="38"/>
      <c r="N22" s="38"/>
      <c r="O22" s="38"/>
      <c r="P22" s="1"/>
      <c r="Q22" s="49"/>
      <c r="T22" s="68"/>
      <c r="U22" s="68"/>
      <c r="AG22" s="283" t="s">
        <v>14</v>
      </c>
      <c r="AH22" s="33">
        <f>COUNTIFS(Camp_List[TOWNSHIP_NAME],$AG22,Camp_List[Total],"&gt;0",Camp_List[Total],"&lt;=1000", Camp_List[Status],"Open")</f>
        <v>1</v>
      </c>
      <c r="AI22" s="33">
        <f>COUNTIFS(Camp_List[TOWNSHIP_NAME],$AG22,Camp_List[Total],"&gt;1000",Camp_List[Total],"&lt;=5000",Camp_List[Status],"Open")</f>
        <v>0</v>
      </c>
      <c r="AJ22" s="282">
        <f>COUNTIFS(Camp_List[TOWNSHIP_NAME],$AG22,Camp_List[Total],"&gt;5000",Camp_List[Total],"&lt;=10000",Camp_List[Status],"Open")</f>
        <v>0</v>
      </c>
      <c r="AK22" s="282">
        <f>COUNTIFS(Camp_List[TOWNSHIP_NAME],$AG22,Camp_List[Total],"&gt;10000",Camp_List[Total],"&lt;=100000",Camp_List[Status],"Open")</f>
        <v>0</v>
      </c>
      <c r="AL22" s="282">
        <f>COUNTIFS(Camp_List[TOWNSHIP_NAME],$AG22,Camp_List[Total],"",Camp_List[Status],"Open")</f>
        <v>0</v>
      </c>
      <c r="AM22" s="140">
        <f>SUM(AH22:AL22)</f>
        <v>1</v>
      </c>
      <c r="AN22" s="78">
        <f>COUNTIFS(Camp_List[TOWNSHIP_NAME],$AG22,Camp_List[Total],"&gt;0",Camp_List[Status],"Open",Camp_List[Type of Accomodation],"Planned Camp")</f>
        <v>0</v>
      </c>
      <c r="AO22" s="78">
        <f>COUNTIFS(Camp_List[TOWNSHIP_NAME],$AG22,Camp_List[Total],"&gt;0",Camp_List[Status],"Open",Camp_List[Type of Accomodation],"Collective centre")</f>
        <v>0</v>
      </c>
      <c r="AP22" s="78">
        <f>COUNTIFS(Camp_List[TOWNSHIP_NAME],$AG22,Camp_List[Total],"&gt;0",Camp_List[Status],"open",Camp_List[Type of Accomodation],"Self Settled Camp")</f>
        <v>1</v>
      </c>
      <c r="AQ22" s="78">
        <f>COUNTIFS(Camp_List[TOWNSHIP_NAME],$AG22,Camp_List[Total],"&gt;0",Camp_List[Status],"Open",Camp_List[Type of Accomodation],"Host Families")</f>
        <v>0</v>
      </c>
      <c r="AS22" s="78">
        <f t="shared" ref="AS22:AS35" si="1">SUM(AN22:AQ22)</f>
        <v>1</v>
      </c>
      <c r="AT22" s="32"/>
    </row>
    <row r="23" spans="1:47" ht="18.95" customHeight="1" x14ac:dyDescent="0.3">
      <c r="A23" s="48"/>
      <c r="B23" s="38"/>
      <c r="C23" s="38"/>
      <c r="D23" s="38"/>
      <c r="E23" s="38"/>
      <c r="F23" s="38"/>
      <c r="G23" s="38"/>
      <c r="H23" s="528" t="s">
        <v>15</v>
      </c>
      <c r="I23" s="523">
        <f>SUMIFS(Camplist_HH,Camplist_Township,'CCCM Dashboard'!$H23,CampList_Status,"Open")</f>
        <v>0</v>
      </c>
      <c r="J23" s="523">
        <f>SUMIFS(Camplist_Popl,Camplist_Township,'CCCM Dashboard'!$H23,CampList_Status,"Open")</f>
        <v>0</v>
      </c>
      <c r="K23" s="523">
        <f t="shared" ref="K23:K25" si="2">AN34</f>
        <v>0</v>
      </c>
      <c r="L23" s="938">
        <f>AR34-Table922[[#This Row],['# of Planned Camp]]</f>
        <v>0</v>
      </c>
      <c r="M23" s="38"/>
      <c r="N23" s="38"/>
      <c r="O23" s="38"/>
      <c r="P23" s="1"/>
      <c r="Q23" s="49"/>
      <c r="T23" s="68"/>
      <c r="U23" s="68"/>
      <c r="AG23" s="283" t="s">
        <v>18</v>
      </c>
      <c r="AH23" s="33">
        <f>COUNTIFS(Camp_List[TOWNSHIP_NAME],$AG23,Camp_List[Total],"&gt;0",Camp_List[Total],"&lt;=1000", Camp_List[Status],"Open")</f>
        <v>0</v>
      </c>
      <c r="AI23" s="33">
        <f>COUNTIFS(Camp_List[TOWNSHIP_NAME],$AG23,Camp_List[Total],"&gt;1000",Camp_List[Total],"&lt;=5000",Camp_List[Status],"Open")</f>
        <v>0</v>
      </c>
      <c r="AJ23" s="282">
        <f>COUNTIFS(Camp_List[TOWNSHIP_NAME],$AG23,Camp_List[Total],"&gt;5000",Camp_List[Total],"&lt;=10000",Camp_List[Status],"Open")</f>
        <v>0</v>
      </c>
      <c r="AK23" s="282">
        <f>COUNTIFS(Camp_List[TOWNSHIP_NAME],$AG23,Camp_List[Total],"&gt;10000",Camp_List[Total],"&lt;=100000",Camp_List[Status],"Open")</f>
        <v>0</v>
      </c>
      <c r="AL23" s="282">
        <f>COUNTIFS(Camp_List[TOWNSHIP_NAME],$AG23,Camp_List[Total],"",Camp_List[Status],"Open")</f>
        <v>0</v>
      </c>
      <c r="AM23" s="140">
        <f>SUM(AH23:AL23)</f>
        <v>0</v>
      </c>
      <c r="AN23" s="78">
        <f>COUNTIFS(Camp_List[TOWNSHIP_NAME],$AG23,Camp_List[Total],"&gt;0",Camp_List[Status],"Open",Camp_List[Type of Accomodation],"Planned Camp")</f>
        <v>0</v>
      </c>
      <c r="AO23" s="78">
        <f>COUNTIFS(Camp_List[TOWNSHIP_NAME],$AG23,Camp_List[Total],"&gt;0",Camp_List[Status],"Open",Camp_List[Type of Accomodation],"Collective centre")</f>
        <v>0</v>
      </c>
      <c r="AP23" s="78">
        <f>COUNTIFS(Camp_List[TOWNSHIP_NAME],$AG23,Camp_List[Total],"&gt;0",Camp_List[Status],"open",Camp_List[Type of Accomodation],"Self Settled Camp")</f>
        <v>0</v>
      </c>
      <c r="AQ23" s="78">
        <f>COUNTIFS(Camp_List[TOWNSHIP_NAME],$AG23,Camp_List[Total],"&gt;0",Camp_List[Status],"Open",Camp_List[Type of Accomodation],"Host Families")</f>
        <v>0</v>
      </c>
      <c r="AS23" s="78">
        <f t="shared" si="1"/>
        <v>0</v>
      </c>
      <c r="AT23" s="32"/>
    </row>
    <row r="24" spans="1:47" ht="18.95" customHeight="1" x14ac:dyDescent="0.3">
      <c r="A24" s="48"/>
      <c r="B24" s="38"/>
      <c r="C24" s="38"/>
      <c r="D24" s="38"/>
      <c r="E24" s="38"/>
      <c r="F24" s="38"/>
      <c r="G24" s="38"/>
      <c r="H24" s="528" t="s">
        <v>17</v>
      </c>
      <c r="I24" s="523">
        <f>SUMIFS(Camplist_HH,Camplist_Township,'CCCM Dashboard'!$H24,CampList_Status,"Open")</f>
        <v>18822</v>
      </c>
      <c r="J24" s="523">
        <f>SUMIFS(Camplist_Popl,Camplist_Township,'CCCM Dashboard'!$H24,CampList_Status,"Open")</f>
        <v>101547</v>
      </c>
      <c r="K24" s="523">
        <f t="shared" si="2"/>
        <v>11</v>
      </c>
      <c r="L24" s="938">
        <f>AP35+AQ35</f>
        <v>4</v>
      </c>
      <c r="M24" s="38"/>
      <c r="N24" s="38"/>
      <c r="O24" s="38"/>
      <c r="P24" s="1"/>
      <c r="Q24" s="49"/>
      <c r="T24" s="68"/>
      <c r="U24" s="68"/>
      <c r="AG24" s="283" t="s">
        <v>817</v>
      </c>
      <c r="AH24" s="33">
        <f>COUNTIFS(Camp_List[TOWNSHIP_NAME],$AG24,Camp_List[Total],"&gt;0",Camp_List[Total],"&lt;=1000", Camp_List[Status],"Open")</f>
        <v>0</v>
      </c>
      <c r="AI24" s="33">
        <f>COUNTIFS(Camp_List[TOWNSHIP_NAME],$AG24,Camp_List[Total],"&gt;1000",Camp_List[Total],"&lt;=5000",Camp_List[Status],"Open")</f>
        <v>1</v>
      </c>
      <c r="AJ24" s="282">
        <f>COUNTIFS(Camp_List[TOWNSHIP_NAME],$AG24,Camp_List[Total],"&gt;5000",Camp_List[Total],"&lt;=10000",Camp_List[Status],"Open")</f>
        <v>0</v>
      </c>
      <c r="AK24" s="282">
        <f>COUNTIFS(Camp_List[TOWNSHIP_NAME],$AG24,Camp_List[Total],"&gt;10000",Camp_List[Total],"&lt;=100000",Camp_List[Status],"Open")</f>
        <v>0</v>
      </c>
      <c r="AL24" s="282">
        <f>COUNTIFS(Camp_List[TOWNSHIP_NAME],$AG24,Camp_List[Total],"",Camp_List[Status],"Open")</f>
        <v>0</v>
      </c>
      <c r="AM24" s="140">
        <f>SUM(AH24:AL24)</f>
        <v>1</v>
      </c>
      <c r="AN24" s="78">
        <f>COUNTIFS(Camp_List[TOWNSHIP_NAME],$AG24,Camp_List[Total],"&gt;0",Camp_List[Status],"Open",Camp_List[Type of Accomodation],"Planned Camp")</f>
        <v>1</v>
      </c>
      <c r="AO24" s="78">
        <f>COUNTIFS(Camp_List[TOWNSHIP_NAME],$AG24,Camp_List[Total],"&gt;0",Camp_List[Status],"Open",Camp_List[Type of Accomodation],"Collective centre")</f>
        <v>0</v>
      </c>
      <c r="AP24" s="78">
        <f>COUNTIFS(Camp_List[TOWNSHIP_NAME],$AG24,Camp_List[Total],"&gt;0",Camp_List[Status],"open",Camp_List[Type of Accomodation],"Self Settled Camp")</f>
        <v>0</v>
      </c>
      <c r="AQ24" s="78">
        <f>COUNTIFS(Camp_List[TOWNSHIP_NAME],$AG24,Camp_List[Total],"&gt;0",Camp_List[Status],"Open",Camp_List[Type of Accomodation],"Host Families")</f>
        <v>0</v>
      </c>
      <c r="AS24" s="78">
        <f t="shared" si="1"/>
        <v>1</v>
      </c>
      <c r="AT24" s="32"/>
    </row>
    <row r="25" spans="1:47" ht="18.95" customHeight="1" x14ac:dyDescent="0.3">
      <c r="A25" s="48"/>
      <c r="B25" s="38"/>
      <c r="C25" s="38"/>
      <c r="D25" s="38"/>
      <c r="E25" s="38"/>
      <c r="F25" s="38"/>
      <c r="G25" s="359"/>
      <c r="H25" s="529" t="s">
        <v>5</v>
      </c>
      <c r="I25" s="524">
        <f>SUM(I17:I24)</f>
        <v>25122</v>
      </c>
      <c r="J25" s="524">
        <f>SUM(J17:J24)</f>
        <v>127574</v>
      </c>
      <c r="K25" s="524">
        <f t="shared" si="2"/>
        <v>17</v>
      </c>
      <c r="L25" s="525">
        <f>SUBTOTAL(109,L17:L24)</f>
        <v>6</v>
      </c>
      <c r="M25" s="38"/>
      <c r="N25" s="38"/>
      <c r="O25" s="38"/>
      <c r="P25" s="1"/>
      <c r="Q25" s="49"/>
      <c r="T25" s="68"/>
      <c r="U25" s="68"/>
      <c r="AG25" s="283" t="s">
        <v>11</v>
      </c>
      <c r="AH25" s="33">
        <f>COUNTIFS(Camp_List[TOWNSHIP_NAME],$AG25,Camp_List[Total],"&gt;0",Camp_List[Total],"&lt;=1000", Camp_List[Status],"Open")</f>
        <v>0</v>
      </c>
      <c r="AI25" s="33">
        <f>COUNTIFS(Camp_List[TOWNSHIP_NAME],$AG25,Camp_List[Total],"&gt;1000",Camp_List[Total],"&lt;=5000",Camp_List[Status],"Open")</f>
        <v>0</v>
      </c>
      <c r="AJ25" s="282">
        <f>COUNTIFS(Camp_List[TOWNSHIP_NAME],$AG25,Camp_List[Total],"&gt;5000",Camp_List[Total],"&lt;=10000",Camp_List[Status],"Open")</f>
        <v>0</v>
      </c>
      <c r="AK25" s="282">
        <f>COUNTIFS(Camp_List[TOWNSHIP_NAME],$AG25,Camp_List[Total],"&gt;10000",Camp_List[Total],"&lt;=100000",Camp_List[Status],"Open")</f>
        <v>0</v>
      </c>
      <c r="AL25" s="282">
        <f>COUNTIFS(Camp_List[TOWNSHIP_NAME],$AG25,Camp_List[Total],"",Camp_List[Status],"Open")</f>
        <v>0</v>
      </c>
      <c r="AM25" s="140">
        <f t="shared" ref="AM25:AM31" si="3">SUM(AH25:AL25)</f>
        <v>0</v>
      </c>
      <c r="AN25" s="78">
        <f>COUNTIFS(Camp_List[TOWNSHIP_NAME],$AG25,Camp_List[Total],"&gt;0",Camp_List[Status],"Open",Camp_List[Type of Accomodation],"Planned Camp")</f>
        <v>0</v>
      </c>
      <c r="AO25" s="78">
        <f>COUNTIFS(Camp_List[TOWNSHIP_NAME],$AG25,Camp_List[Total],"&gt;0",Camp_List[Status],"Open",Camp_List[Type of Accomodation],"Collective centre")</f>
        <v>0</v>
      </c>
      <c r="AP25" s="78">
        <f>COUNTIFS(Camp_List[TOWNSHIP_NAME],$AG25,Camp_List[Total],"&gt;0",Camp_List[Status],"open",Camp_List[Type of Accomodation],"Self Settled Camp")</f>
        <v>0</v>
      </c>
      <c r="AQ25" s="78">
        <f>COUNTIFS(Camp_List[TOWNSHIP_NAME],$AG25,Camp_List[Total],"&gt;0",Camp_List[Status],"Open",Camp_List[Type of Accomodation],"Host Families")</f>
        <v>0</v>
      </c>
      <c r="AS25" s="78">
        <f t="shared" si="1"/>
        <v>0</v>
      </c>
      <c r="AT25" s="32"/>
    </row>
    <row r="26" spans="1:47" s="78" customFormat="1" x14ac:dyDescent="0.25">
      <c r="A26" s="48"/>
      <c r="B26" s="38"/>
      <c r="C26" s="38"/>
      <c r="D26" s="38"/>
      <c r="E26" s="38"/>
      <c r="F26" s="38"/>
      <c r="G26" s="359"/>
      <c r="H26" s="519"/>
      <c r="I26" s="520"/>
      <c r="J26" s="520"/>
      <c r="K26" s="520"/>
      <c r="L26" s="520"/>
      <c r="M26" s="38"/>
      <c r="N26" s="38"/>
      <c r="O26" s="38"/>
      <c r="P26" s="1"/>
      <c r="Q26" s="49"/>
      <c r="AG26" s="283"/>
      <c r="AH26" s="33"/>
      <c r="AI26" s="33"/>
      <c r="AJ26" s="282"/>
      <c r="AK26" s="282"/>
      <c r="AL26" s="282"/>
      <c r="AM26" s="140"/>
      <c r="AR26" s="669"/>
    </row>
    <row r="27" spans="1:47" s="78" customFormat="1" x14ac:dyDescent="0.25">
      <c r="A27" s="48"/>
      <c r="B27" s="38"/>
      <c r="C27" s="38"/>
      <c r="D27" s="38"/>
      <c r="E27" s="38"/>
      <c r="F27" s="38"/>
      <c r="G27" s="359"/>
      <c r="H27" s="519"/>
      <c r="I27" s="520"/>
      <c r="J27" s="520"/>
      <c r="K27" s="520"/>
      <c r="L27" s="520"/>
      <c r="M27" s="38"/>
      <c r="N27" s="38"/>
      <c r="O27" s="38"/>
      <c r="P27" s="1"/>
      <c r="Q27" s="49"/>
      <c r="AG27" s="283"/>
      <c r="AH27" s="33"/>
      <c r="AI27" s="33"/>
      <c r="AJ27" s="282"/>
      <c r="AK27" s="282"/>
      <c r="AL27" s="282"/>
      <c r="AM27" s="140"/>
      <c r="AR27" s="669"/>
    </row>
    <row r="28" spans="1:47" s="78" customFormat="1" x14ac:dyDescent="0.25">
      <c r="A28" s="48"/>
      <c r="B28" s="38"/>
      <c r="C28" s="38"/>
      <c r="D28" s="38"/>
      <c r="E28" s="38"/>
      <c r="F28" s="38"/>
      <c r="G28" s="359"/>
      <c r="H28" s="519"/>
      <c r="I28" s="520"/>
      <c r="J28" s="520"/>
      <c r="K28" s="520"/>
      <c r="L28" s="520"/>
      <c r="M28" s="38"/>
      <c r="N28" s="38"/>
      <c r="O28" s="38"/>
      <c r="P28" s="1"/>
      <c r="Q28" s="49"/>
      <c r="AG28" s="283"/>
      <c r="AH28" s="33"/>
      <c r="AI28" s="33"/>
      <c r="AJ28" s="282"/>
      <c r="AK28" s="282"/>
      <c r="AL28" s="282"/>
      <c r="AM28" s="140"/>
      <c r="AR28" s="669"/>
    </row>
    <row r="29" spans="1:47" s="78" customFormat="1" x14ac:dyDescent="0.25">
      <c r="A29" s="48"/>
      <c r="B29" s="38"/>
      <c r="C29" s="38"/>
      <c r="D29" s="38"/>
      <c r="E29" s="38"/>
      <c r="F29" s="38"/>
      <c r="G29" s="359"/>
      <c r="H29" s="519"/>
      <c r="I29" s="520"/>
      <c r="J29" s="520"/>
      <c r="K29" s="520"/>
      <c r="L29" s="520"/>
      <c r="M29" s="38"/>
      <c r="N29" s="38"/>
      <c r="O29" s="38"/>
      <c r="P29" s="1"/>
      <c r="Q29" s="49"/>
      <c r="AG29" s="283"/>
      <c r="AH29" s="33"/>
      <c r="AI29" s="33"/>
      <c r="AJ29" s="282"/>
      <c r="AK29" s="282"/>
      <c r="AL29" s="282"/>
      <c r="AM29" s="140"/>
      <c r="AR29" s="669"/>
    </row>
    <row r="30" spans="1:47" s="78" customFormat="1" x14ac:dyDescent="0.25">
      <c r="A30" s="48"/>
      <c r="B30" s="38"/>
      <c r="C30" s="38"/>
      <c r="D30" s="38"/>
      <c r="E30" s="38"/>
      <c r="F30" s="38"/>
      <c r="G30" s="359"/>
      <c r="H30" s="519"/>
      <c r="I30" s="520"/>
      <c r="J30" s="520"/>
      <c r="K30" s="520"/>
      <c r="L30" s="520"/>
      <c r="M30" s="38"/>
      <c r="N30" s="38"/>
      <c r="O30" s="38"/>
      <c r="P30" s="1"/>
      <c r="Q30" s="49"/>
      <c r="AG30" s="283"/>
      <c r="AH30" s="33"/>
      <c r="AI30" s="33"/>
      <c r="AJ30" s="282"/>
      <c r="AK30" s="282"/>
      <c r="AL30" s="282"/>
      <c r="AM30" s="140"/>
      <c r="AR30" s="669"/>
    </row>
    <row r="31" spans="1:47" x14ac:dyDescent="0.25">
      <c r="A31" s="370"/>
      <c r="B31" s="38"/>
      <c r="C31" s="38"/>
      <c r="D31" s="38"/>
      <c r="E31" s="38"/>
      <c r="F31" s="38"/>
      <c r="G31" s="359"/>
      <c r="H31" s="359"/>
      <c r="I31" s="359"/>
      <c r="J31" s="360"/>
      <c r="K31" s="360"/>
      <c r="L31" s="360"/>
      <c r="M31" s="38"/>
      <c r="N31" s="38"/>
      <c r="O31" s="38"/>
      <c r="P31" s="38"/>
      <c r="Q31" s="367"/>
      <c r="AG31" s="283" t="s">
        <v>941</v>
      </c>
      <c r="AH31" s="33">
        <f>COUNTIFS(Camp_List[TOWNSHIP_NAME],$AG31,Camp_List[Total],"&gt;0",Camp_List[Total],"&lt;=1000", Camp_List[Status],"Open")</f>
        <v>0</v>
      </c>
      <c r="AI31" s="33">
        <f>COUNTIFS(Camp_List[TOWNSHIP_NAME],$AG31,Camp_List[Total],"&gt;1000",Camp_List[Total],"&lt;=5000",Camp_List[Status],"Open")</f>
        <v>0</v>
      </c>
      <c r="AJ31" s="282">
        <f>COUNTIFS(Camp_List[TOWNSHIP_NAME],$AG31,Camp_List[Total],"&gt;5000",Camp_List[Total],"&lt;=10000",Camp_List[Status],"Open")</f>
        <v>0</v>
      </c>
      <c r="AK31" s="282">
        <f>COUNTIFS(Camp_List[TOWNSHIP_NAME],$AG31,Camp_List[Total],"&gt;10000",Camp_List[Total],"&lt;=100000",Camp_List[Status],"Open")</f>
        <v>0</v>
      </c>
      <c r="AL31" s="282">
        <f>COUNTIFS(Camp_List[TOWNSHIP_NAME],$AG31,Camp_List[Total],"",Camp_List[Status],"Open")</f>
        <v>0</v>
      </c>
      <c r="AM31" s="140">
        <f t="shared" si="3"/>
        <v>0</v>
      </c>
      <c r="AN31" s="78">
        <f>COUNTIFS(Camp_List[TOWNSHIP_NAME],$AG31,Camp_List[Total],"&gt;0",Camp_List[Status],"Open",Camp_List[Type of Accomodation],"Planned Camp")</f>
        <v>0</v>
      </c>
      <c r="AO31" s="78">
        <f>COUNTIFS(Camp_List[TOWNSHIP_NAME],$AG31,Camp_List[Total],"&gt;0",Camp_List[Status],"Open",Camp_List[Type of Accomodation],"Collective centre")</f>
        <v>0</v>
      </c>
      <c r="AP31" s="78">
        <f>COUNTIFS(Camp_List[TOWNSHIP_NAME],$AG31,Camp_List[Total],"&gt;0",Camp_List[Status],"open",Camp_List[Type of Accomodation],"Self Settled Camp")</f>
        <v>0</v>
      </c>
      <c r="AQ31" s="78">
        <f>COUNTIFS(Camp_List[TOWNSHIP_NAME],$AG31,Camp_List[Total],"&gt;0",Camp_List[Status],"Open",Camp_List[Type of Accomodation],"Host Families")</f>
        <v>0</v>
      </c>
      <c r="AS31" s="78">
        <f t="shared" si="1"/>
        <v>0</v>
      </c>
      <c r="AT31" s="78"/>
      <c r="AU31" s="78"/>
    </row>
    <row r="32" spans="1:47" x14ac:dyDescent="0.25">
      <c r="A32" s="370"/>
      <c r="B32" s="38"/>
      <c r="C32" s="38"/>
      <c r="D32" s="38"/>
      <c r="E32" s="38"/>
      <c r="F32" s="38"/>
      <c r="G32" s="359"/>
      <c r="H32" s="359"/>
      <c r="I32" s="359"/>
      <c r="J32" s="360"/>
      <c r="K32" s="360"/>
      <c r="L32" s="360"/>
      <c r="M32" s="38"/>
      <c r="N32" s="38"/>
      <c r="O32" s="38"/>
      <c r="P32" s="38"/>
      <c r="Q32" s="367"/>
      <c r="AG32" s="283" t="s">
        <v>13</v>
      </c>
      <c r="AH32" s="33">
        <f>COUNTIFS(Camp_List[TOWNSHIP_NAME],$AG32,Camp_List[Total],"&gt;0",Camp_List[Total],"&lt;=1000", Camp_List[Status],"Open")</f>
        <v>0</v>
      </c>
      <c r="AI32" s="33">
        <f>COUNTIFS(Camp_List[TOWNSHIP_NAME],$AG32,Camp_List[Total],"&gt;1000",Camp_List[Total],"&lt;=5000",Camp_List[Status],"Open")</f>
        <v>4</v>
      </c>
      <c r="AJ32" s="282">
        <f>COUNTIFS(Camp_List[TOWNSHIP_NAME],$AG32,Camp_List[Total],"&gt;5000",Camp_List[Total],"&lt;=10000",Camp_List[Status],"Open")</f>
        <v>1</v>
      </c>
      <c r="AK32" s="282">
        <f>COUNTIFS(Camp_List[TOWNSHIP_NAME],$AG32,Camp_List[Total],"&gt;10000",Camp_List[Total],"&lt;=100000",Camp_List[Status],"Open")</f>
        <v>0</v>
      </c>
      <c r="AL32" s="282">
        <f>COUNTIFS(Camp_List[TOWNSHIP_NAME],$AG32,Camp_List[Total],"",Camp_List[Status],"Open")</f>
        <v>0</v>
      </c>
      <c r="AM32" s="140">
        <f>SUM(AH32:AL32)</f>
        <v>5</v>
      </c>
      <c r="AN32" s="78">
        <f>COUNTIFS(Camp_List[TOWNSHIP_NAME],$AG32,Camp_List[Total],"&gt;0",Camp_List[Status],"Open",Camp_List[Type of Accomodation],"Planned Camp")</f>
        <v>4</v>
      </c>
      <c r="AO32" s="78">
        <f>COUNTIFS(Camp_List[TOWNSHIP_NAME],$AG32,Camp_List[Total],"&gt;0",Camp_List[Status],"Open",Camp_List[Type of Accomodation],"Collective centre")</f>
        <v>0</v>
      </c>
      <c r="AP32" s="78">
        <f>COUNTIFS(Camp_List[TOWNSHIP_NAME],$AG32,Camp_List[Total],"&gt;0",Camp_List[Status],"open",Camp_List[Type of Accomodation],"Self Settled Camp")</f>
        <v>0</v>
      </c>
      <c r="AQ32" s="78">
        <f>COUNTIFS(Camp_List[TOWNSHIP_NAME],$AG32,Camp_List[Total],"&gt;0",Camp_List[Status],"Open",Camp_List[Type of Accomodation],"Host Families")</f>
        <v>0</v>
      </c>
      <c r="AR32" s="669">
        <f>COUNTIFS(Camp_List[TOWNSHIP_NAME],$AG32,Camp_List[Total],"&gt;0",Camp_List[Status],"Open",Camp_List[Type of Accomodation],"Individual House")</f>
        <v>1</v>
      </c>
      <c r="AS32" s="78">
        <f>SUM(AN32:AR32)</f>
        <v>5</v>
      </c>
      <c r="AT32" s="78"/>
      <c r="AU32" s="78"/>
    </row>
    <row r="33" spans="1:47" x14ac:dyDescent="0.25">
      <c r="A33" s="370"/>
      <c r="B33" s="38"/>
      <c r="C33" s="38"/>
      <c r="D33" s="38"/>
      <c r="E33" s="38"/>
      <c r="F33" s="38"/>
      <c r="G33" s="359"/>
      <c r="H33" s="38"/>
      <c r="I33" s="38"/>
      <c r="J33" s="38"/>
      <c r="K33" s="38"/>
      <c r="L33" s="38"/>
      <c r="M33" s="38"/>
      <c r="N33" s="38"/>
      <c r="O33" s="38"/>
      <c r="P33" s="38"/>
      <c r="Q33" s="367"/>
      <c r="AG33" s="283" t="s">
        <v>16</v>
      </c>
      <c r="AH33" s="33">
        <f>COUNTIFS(Camp_List[TOWNSHIP_NAME],$AG33,Camp_List[Total],"&gt;0",Camp_List[Total],"&lt;=1000", Camp_List[Status],"Open")</f>
        <v>0</v>
      </c>
      <c r="AI33" s="33">
        <f>COUNTIFS(Camp_List[TOWNSHIP_NAME],$AG33,Camp_List[Total],"&gt;1000",Camp_List[Total],"&lt;=5000",Camp_List[Status],"Open")</f>
        <v>0</v>
      </c>
      <c r="AJ33" s="282">
        <f>COUNTIFS(Camp_List[TOWNSHIP_NAME],$AG33,Camp_List[Total],"&gt;5000",Camp_List[Total],"&lt;=10000",Camp_List[Status],"Open")</f>
        <v>0</v>
      </c>
      <c r="AK33" s="282">
        <f>COUNTIFS(Camp_List[TOWNSHIP_NAME],$AG33,Camp_List[Total],"&gt;10000",Camp_List[Total],"&lt;=100000",Camp_List[Status],"Open")</f>
        <v>0</v>
      </c>
      <c r="AL33" s="282">
        <f>COUNTIFS(Camp_List[TOWNSHIP_NAME],$AG33,Camp_List[Total],"",Camp_List[Status],"Open")</f>
        <v>0</v>
      </c>
      <c r="AM33" s="140">
        <f>SUM(AH33:AL33)</f>
        <v>0</v>
      </c>
      <c r="AN33" s="78">
        <f>COUNTIFS(Camp_List[TOWNSHIP_NAME],$AG33,Camp_List[Total],"&gt;0",Camp_List[Status],"Open",Camp_List[Type of Accomodation],"Planned Camp")</f>
        <v>0</v>
      </c>
      <c r="AO33" s="78">
        <f>COUNTIFS(Camp_List[TOWNSHIP_NAME],$AG33,Camp_List[Total],"&gt;0",Camp_List[Status],"Open",Camp_List[Type of Accomodation],"Collective centre")</f>
        <v>0</v>
      </c>
      <c r="AP33" s="78">
        <f>COUNTIFS(Camp_List[TOWNSHIP_NAME],$AG33,Camp_List[Total],"&gt;0",Camp_List[Status],"open",Camp_List[Type of Accomodation],"Self Settled Camp")</f>
        <v>0</v>
      </c>
      <c r="AQ33" s="78">
        <f>COUNTIFS(Camp_List[TOWNSHIP_NAME],$AG33,Camp_List[Total],"&gt;0",Camp_List[Status],"Open",Camp_List[Type of Accomodation],"Host Families")</f>
        <v>0</v>
      </c>
      <c r="AS33" s="78">
        <f t="shared" si="1"/>
        <v>0</v>
      </c>
      <c r="AT33" s="78"/>
      <c r="AU33" s="78"/>
    </row>
    <row r="34" spans="1:47" ht="15" customHeight="1" x14ac:dyDescent="0.25">
      <c r="A34" s="370"/>
      <c r="B34" s="38"/>
      <c r="C34" s="38"/>
      <c r="D34" s="38"/>
      <c r="E34" s="38"/>
      <c r="F34" s="38"/>
      <c r="G34" s="359"/>
      <c r="H34" s="38"/>
      <c r="I34" s="38"/>
      <c r="J34" s="38"/>
      <c r="K34" s="38"/>
      <c r="L34" s="38"/>
      <c r="M34" s="38"/>
      <c r="N34" s="38"/>
      <c r="O34" s="38"/>
      <c r="P34" s="38"/>
      <c r="Q34" s="367"/>
      <c r="AG34" s="283" t="s">
        <v>15</v>
      </c>
      <c r="AH34" s="33">
        <f>COUNTIFS(Camp_List[TOWNSHIP_NAME],$AG34,Camp_List[Total],"&gt;0",Camp_List[Total],"&lt;=1000", Camp_List[Status],"Open")</f>
        <v>0</v>
      </c>
      <c r="AI34" s="33">
        <f>COUNTIFS(Camp_List[TOWNSHIP_NAME],$AG34,Camp_List[Total],"&gt;1000",Camp_List[Total],"&lt;=5000",Camp_List[Status],"Open")</f>
        <v>0</v>
      </c>
      <c r="AJ34" s="282">
        <f>COUNTIFS(Camp_List[TOWNSHIP_NAME],$AG34,Camp_List[Total],"&gt;5000",Camp_List[Total],"&lt;=10000",Camp_List[Status],"Open")</f>
        <v>0</v>
      </c>
      <c r="AK34" s="282">
        <f>COUNTIFS(Camp_List[TOWNSHIP_NAME],$AG34,Camp_List[Total],"&gt;10000",Camp_List[Total],"&lt;=100000",Camp_List[Status],"Open")</f>
        <v>0</v>
      </c>
      <c r="AL34" s="282">
        <f>COUNTIFS(Camp_List[TOWNSHIP_NAME],$AG34,Camp_List[Total],"",Camp_List[Status],"Open")</f>
        <v>0</v>
      </c>
      <c r="AM34" s="140">
        <f>SUM(AH34:AL34)</f>
        <v>0</v>
      </c>
      <c r="AN34" s="78">
        <f>COUNTIFS(Camp_List[TOWNSHIP_NAME],$AG34,Camp_List[Total],"&gt;0",Camp_List[Status],"Open",Camp_List[Type of Accomodation],"Planned Camp")</f>
        <v>0</v>
      </c>
      <c r="AO34" s="78">
        <f>COUNTIFS(Camp_List[TOWNSHIP_NAME],$AG34,Camp_List[Total],"&gt;0",Camp_List[Status],"Open",Camp_List[Type of Accomodation],"Collective centre")</f>
        <v>0</v>
      </c>
      <c r="AP34" s="78">
        <f>COUNTIFS(Camp_List[TOWNSHIP_NAME],$AG34,Camp_List[Total],"&gt;0",Camp_List[Status],"open",Camp_List[Type of Accomodation],"Self Settled Camp")</f>
        <v>0</v>
      </c>
      <c r="AQ34" s="78">
        <f>COUNTIFS(Camp_List[TOWNSHIP_NAME],$AG34,Camp_List[Total],"&gt;0",Camp_List[Status],"Open",Camp_List[Type of Accomodation],"Host Families")</f>
        <v>0</v>
      </c>
      <c r="AS34" s="78">
        <f t="shared" si="1"/>
        <v>0</v>
      </c>
      <c r="AT34" s="78"/>
      <c r="AU34" s="78"/>
    </row>
    <row r="35" spans="1:47" s="78" customFormat="1" ht="14.25" customHeight="1" x14ac:dyDescent="0.25">
      <c r="A35" s="370"/>
      <c r="B35" s="38"/>
      <c r="C35" s="38"/>
      <c r="D35" s="38"/>
      <c r="E35" s="38"/>
      <c r="F35" s="38"/>
      <c r="G35" s="359"/>
      <c r="H35" s="38"/>
      <c r="I35" s="38"/>
      <c r="J35" s="38"/>
      <c r="K35" s="38"/>
      <c r="L35" s="38"/>
      <c r="M35" s="38"/>
      <c r="N35" s="38"/>
      <c r="O35" s="38"/>
      <c r="P35" s="38"/>
      <c r="Q35" s="367"/>
      <c r="AG35" s="283" t="s">
        <v>17</v>
      </c>
      <c r="AH35" s="33">
        <f>COUNTIFS(Camp_List[TOWNSHIP_NAME],$AG35,Camp_List[Total],"&gt;0",Camp_List[Total],"&lt;=1000", Camp_List[Status],"Open")</f>
        <v>1</v>
      </c>
      <c r="AI35" s="33">
        <f>COUNTIFS(Camp_List[TOWNSHIP_NAME],$AG35,Camp_List[Total],"&gt;1000",Camp_List[Total],"&lt;=5000",Camp_List[Status],"Open")</f>
        <v>7</v>
      </c>
      <c r="AJ35" s="282">
        <f>COUNTIFS(Camp_List[TOWNSHIP_NAME],$AG35,Camp_List[Total],"&gt;5000",Camp_List[Total],"&lt;=10000",Camp_List[Status],"Open")</f>
        <v>2</v>
      </c>
      <c r="AK35" s="282">
        <f>COUNTIFS(Camp_List[TOWNSHIP_NAME],$AG35,Camp_List[Total],"&gt;10000",Camp_List[Total],"&lt;=100000",Camp_List[Status],"Open")</f>
        <v>5</v>
      </c>
      <c r="AL35" s="282">
        <f>COUNTIFS(Camp_List[TOWNSHIP_NAME],$AG35,Camp_List[Total],"",Camp_List[Status],"Open")</f>
        <v>0</v>
      </c>
      <c r="AM35" s="140">
        <f>SUM(AH35:AL35)</f>
        <v>15</v>
      </c>
      <c r="AN35" s="78">
        <f>COUNTIFS(Camp_List[TOWNSHIP_NAME],$AG35,Camp_List[Total],"&gt;0",Camp_List[Status],"Open",Camp_List[Type of Accomodation],"Planned Camp")</f>
        <v>11</v>
      </c>
      <c r="AO35" s="78">
        <f>COUNTIFS(Camp_List[TOWNSHIP_NAME],$AG35,Camp_List[Total],"&gt;0",Camp_List[Status],"Open",Camp_List[Type of Accomodation],"Collective centre")</f>
        <v>0</v>
      </c>
      <c r="AP35" s="78">
        <f>COUNTIFS(Camp_List[TOWNSHIP_NAME],$AG35,Camp_List[Total],"&gt;0",Camp_List[Status],"open",Camp_List[Type of Accomodation],"Self Settled Camp")</f>
        <v>1</v>
      </c>
      <c r="AQ35" s="78">
        <f>COUNTIFS(Camp_List[TOWNSHIP_NAME],$AG35,Camp_List[Total],"&gt;0",Camp_List[Status],"Open",Camp_List[Type of Accomodation],"Host Families")</f>
        <v>3</v>
      </c>
      <c r="AR35" s="669"/>
      <c r="AS35" s="78">
        <f t="shared" si="1"/>
        <v>15</v>
      </c>
    </row>
    <row r="36" spans="1:47" x14ac:dyDescent="0.25">
      <c r="A36" s="370"/>
      <c r="B36" s="38"/>
      <c r="C36" s="38"/>
      <c r="D36" s="38"/>
      <c r="E36" s="38"/>
      <c r="F36" s="38"/>
      <c r="G36" s="38"/>
      <c r="H36" s="38"/>
      <c r="I36" s="38"/>
      <c r="J36" s="38"/>
      <c r="K36" s="38"/>
      <c r="L36" s="38"/>
      <c r="M36" s="38"/>
      <c r="N36" s="38"/>
      <c r="O36" s="38"/>
      <c r="P36" s="38"/>
      <c r="Q36" s="367"/>
      <c r="AG36" s="292" t="s">
        <v>5</v>
      </c>
      <c r="AH36" s="474">
        <f>SUM(AH21:AH35)</f>
        <v>2</v>
      </c>
      <c r="AI36" s="474">
        <f>SUM(AI21:AI35)</f>
        <v>13</v>
      </c>
      <c r="AJ36" s="291">
        <f t="shared" ref="AJ36:AS36" si="4">SUM(AJ21:AJ35)</f>
        <v>3</v>
      </c>
      <c r="AK36" s="291">
        <f t="shared" si="4"/>
        <v>5</v>
      </c>
      <c r="AL36" s="473">
        <f t="shared" si="4"/>
        <v>0</v>
      </c>
      <c r="AM36" s="140">
        <f>SUM(AM21:AM35)</f>
        <v>23</v>
      </c>
      <c r="AN36" s="261">
        <f>SUM(AN21:AN35)</f>
        <v>17</v>
      </c>
      <c r="AO36" s="140">
        <f>SUM(AO21:AO35)</f>
        <v>0</v>
      </c>
      <c r="AP36" s="78">
        <f>SUM(AP21:AP35)</f>
        <v>2</v>
      </c>
      <c r="AQ36" s="78">
        <f>SUM(AQ21:AQ35)</f>
        <v>3</v>
      </c>
      <c r="AS36" s="140">
        <f t="shared" si="4"/>
        <v>23</v>
      </c>
      <c r="AT36" s="140"/>
      <c r="AU36" s="55"/>
    </row>
    <row r="37" spans="1:47" x14ac:dyDescent="0.25">
      <c r="A37" s="370"/>
      <c r="B37" s="38"/>
      <c r="C37" s="38"/>
      <c r="D37" s="38"/>
      <c r="E37" s="38"/>
      <c r="F37" s="38"/>
      <c r="G37" s="38"/>
      <c r="H37" s="38"/>
      <c r="I37" s="38"/>
      <c r="J37" s="38"/>
      <c r="K37" s="38"/>
      <c r="L37" s="38"/>
      <c r="M37" s="38"/>
      <c r="N37" s="38"/>
      <c r="O37" s="38"/>
      <c r="P37" s="38"/>
      <c r="Q37" s="367"/>
      <c r="U37" s="68"/>
      <c r="AH37" s="32"/>
      <c r="AI37" s="32"/>
      <c r="AJ37" s="32"/>
      <c r="AK37" s="32"/>
      <c r="AL37" s="32"/>
      <c r="AM37" s="32"/>
      <c r="AN37" s="32"/>
      <c r="AO37" s="32"/>
    </row>
    <row r="38" spans="1:47" x14ac:dyDescent="0.25">
      <c r="A38" s="370"/>
      <c r="B38" s="38"/>
      <c r="C38" s="38"/>
      <c r="D38" s="38"/>
      <c r="E38" s="38"/>
      <c r="F38" s="38"/>
      <c r="G38" s="38"/>
      <c r="H38" s="38"/>
      <c r="I38" s="38"/>
      <c r="J38" s="38"/>
      <c r="K38" s="38"/>
      <c r="L38" s="38"/>
      <c r="M38" s="38"/>
      <c r="N38" s="38"/>
      <c r="O38" s="38"/>
      <c r="P38" s="38"/>
      <c r="Q38" s="367"/>
      <c r="U38" s="68"/>
      <c r="AH38" s="32"/>
      <c r="AO38" s="32"/>
    </row>
    <row r="39" spans="1:47" s="78" customFormat="1" x14ac:dyDescent="0.25">
      <c r="A39" s="370"/>
      <c r="B39" s="38"/>
      <c r="C39" s="38"/>
      <c r="D39" s="38"/>
      <c r="E39" s="38"/>
      <c r="F39" s="38"/>
      <c r="G39" s="38"/>
      <c r="H39" s="38"/>
      <c r="I39" s="38"/>
      <c r="J39" s="38"/>
      <c r="K39" s="38"/>
      <c r="L39" s="38"/>
      <c r="M39" s="38"/>
      <c r="N39" s="38"/>
      <c r="O39" s="38"/>
      <c r="P39" s="38"/>
      <c r="Q39" s="367"/>
      <c r="AI39" s="68"/>
      <c r="AJ39" s="68"/>
      <c r="AK39" s="68"/>
      <c r="AL39" s="68"/>
      <c r="AM39" s="68"/>
      <c r="AN39" s="68"/>
      <c r="AO39" s="32"/>
      <c r="AP39" s="68"/>
      <c r="AQ39" s="68"/>
      <c r="AR39" s="669"/>
      <c r="AS39" s="68"/>
      <c r="AT39" s="68"/>
    </row>
    <row r="40" spans="1:47" ht="63.75" customHeight="1" x14ac:dyDescent="0.25">
      <c r="A40" s="370"/>
      <c r="B40" s="38"/>
      <c r="C40" s="38"/>
      <c r="D40" s="38"/>
      <c r="E40" s="38"/>
      <c r="F40" s="38"/>
      <c r="G40" s="38"/>
      <c r="H40" s="38"/>
      <c r="I40" s="38"/>
      <c r="J40" s="38"/>
      <c r="K40" s="38"/>
      <c r="L40" s="38"/>
      <c r="M40" s="38"/>
      <c r="N40" s="38"/>
      <c r="O40" s="38"/>
      <c r="P40" s="38"/>
      <c r="Q40" s="367"/>
      <c r="U40" s="68"/>
      <c r="AH40" s="32"/>
      <c r="AO40" s="32"/>
    </row>
    <row r="41" spans="1:47" s="78" customFormat="1" ht="6.75" customHeight="1" x14ac:dyDescent="0.25">
      <c r="A41" s="370"/>
      <c r="B41" s="38"/>
      <c r="C41" s="38"/>
      <c r="D41" s="38"/>
      <c r="E41" s="38"/>
      <c r="F41" s="38"/>
      <c r="G41" s="361"/>
      <c r="H41" s="361"/>
      <c r="I41" s="361"/>
      <c r="J41" s="361"/>
      <c r="K41" s="361"/>
      <c r="L41" s="361"/>
      <c r="M41" s="38"/>
      <c r="N41" s="38"/>
      <c r="O41" s="38"/>
      <c r="P41" s="38"/>
      <c r="Q41" s="367"/>
      <c r="AI41" s="68"/>
      <c r="AJ41" s="68"/>
      <c r="AK41" s="68"/>
      <c r="AL41" s="68"/>
      <c r="AM41" s="68"/>
      <c r="AN41" s="68"/>
      <c r="AO41" s="32"/>
      <c r="AP41" s="68"/>
      <c r="AQ41" s="68"/>
      <c r="AR41" s="669"/>
      <c r="AS41" s="68"/>
      <c r="AT41" s="68"/>
    </row>
    <row r="42" spans="1:47" x14ac:dyDescent="0.25">
      <c r="A42" s="370"/>
      <c r="B42" s="38"/>
      <c r="C42" s="38"/>
      <c r="D42" s="38"/>
      <c r="E42" s="38"/>
      <c r="F42" s="38"/>
      <c r="G42" s="38"/>
      <c r="H42" s="38"/>
      <c r="I42" s="38"/>
      <c r="J42" s="38"/>
      <c r="K42" s="38"/>
      <c r="L42" s="38"/>
      <c r="M42" s="38"/>
      <c r="N42" s="38"/>
      <c r="O42" s="38"/>
      <c r="P42" s="38"/>
      <c r="Q42" s="367"/>
      <c r="AO42" s="32"/>
    </row>
    <row r="43" spans="1:47" x14ac:dyDescent="0.25">
      <c r="A43" s="370"/>
      <c r="B43" s="38"/>
      <c r="C43" s="38"/>
      <c r="D43" s="38"/>
      <c r="E43" s="38"/>
      <c r="F43" s="38"/>
      <c r="G43" s="38"/>
      <c r="H43" s="38"/>
      <c r="I43" s="38"/>
      <c r="J43" s="38"/>
      <c r="K43" s="38"/>
      <c r="L43" s="38"/>
      <c r="M43" s="38"/>
      <c r="N43" s="38"/>
      <c r="O43" s="38"/>
      <c r="P43" s="38"/>
      <c r="Q43" s="367"/>
      <c r="AO43" s="32"/>
    </row>
    <row r="44" spans="1:47" ht="3.75" customHeight="1" x14ac:dyDescent="0.25">
      <c r="A44" s="370"/>
      <c r="B44" s="38"/>
      <c r="C44" s="38"/>
      <c r="D44" s="38"/>
      <c r="E44" s="38"/>
      <c r="F44" s="38"/>
      <c r="G44" s="38"/>
      <c r="H44" s="38"/>
      <c r="I44" s="38"/>
      <c r="J44" s="38"/>
      <c r="K44" s="38"/>
      <c r="L44" s="38"/>
      <c r="M44" s="38"/>
      <c r="N44" s="38"/>
      <c r="O44" s="38"/>
      <c r="P44" s="38"/>
      <c r="Q44" s="367"/>
      <c r="AO44" s="32"/>
    </row>
    <row r="45" spans="1:47" x14ac:dyDescent="0.25">
      <c r="A45" s="370"/>
      <c r="B45" s="38"/>
      <c r="C45" s="38"/>
      <c r="D45" s="38"/>
      <c r="E45" s="38"/>
      <c r="F45" s="38"/>
      <c r="G45" s="38"/>
      <c r="H45" s="38"/>
      <c r="I45" s="38"/>
      <c r="J45" s="38"/>
      <c r="K45" s="38"/>
      <c r="L45" s="38"/>
      <c r="M45" s="38"/>
      <c r="N45" s="38"/>
      <c r="O45" s="38"/>
      <c r="P45" s="38"/>
      <c r="Q45" s="367"/>
      <c r="AO45" s="32"/>
    </row>
    <row r="46" spans="1:47" x14ac:dyDescent="0.25">
      <c r="A46" s="1100"/>
      <c r="B46" s="1101"/>
      <c r="C46" s="1101"/>
      <c r="D46" s="1101"/>
      <c r="E46" s="1101"/>
      <c r="F46" s="1101"/>
      <c r="G46" s="1101"/>
      <c r="H46" s="1101"/>
      <c r="I46" s="1101"/>
      <c r="J46" s="1101"/>
      <c r="K46" s="1101"/>
      <c r="L46" s="1101"/>
      <c r="M46" s="1101"/>
      <c r="N46" s="1101"/>
      <c r="O46" s="1101"/>
      <c r="P46" s="1101"/>
      <c r="Q46" s="1102"/>
      <c r="AO46" s="32"/>
    </row>
    <row r="47" spans="1:47" x14ac:dyDescent="0.25">
      <c r="A47" s="1100"/>
      <c r="B47" s="1101"/>
      <c r="C47" s="1101"/>
      <c r="D47" s="1101"/>
      <c r="E47" s="1101"/>
      <c r="F47" s="1101"/>
      <c r="G47" s="1101"/>
      <c r="H47" s="1101"/>
      <c r="I47" s="1101"/>
      <c r="J47" s="1101"/>
      <c r="K47" s="1101"/>
      <c r="L47" s="1101"/>
      <c r="M47" s="1101"/>
      <c r="N47" s="1101"/>
      <c r="O47" s="1101"/>
      <c r="P47" s="1101"/>
      <c r="Q47" s="1102"/>
      <c r="AO47" s="32"/>
    </row>
    <row r="48" spans="1:47" ht="15.75" thickBot="1" x14ac:dyDescent="0.3">
      <c r="A48" s="1103"/>
      <c r="B48" s="1104"/>
      <c r="C48" s="1104"/>
      <c r="D48" s="1104"/>
      <c r="E48" s="1104"/>
      <c r="F48" s="1104"/>
      <c r="G48" s="1104"/>
      <c r="H48" s="1104"/>
      <c r="I48" s="1104"/>
      <c r="J48" s="1104"/>
      <c r="K48" s="1104"/>
      <c r="L48" s="1104"/>
      <c r="M48" s="1104"/>
      <c r="N48" s="1104"/>
      <c r="O48" s="1104"/>
      <c r="P48" s="1104"/>
      <c r="Q48" s="1105"/>
      <c r="AO48" s="32"/>
    </row>
    <row r="49" spans="41:41" x14ac:dyDescent="0.25">
      <c r="AO49" s="32"/>
    </row>
  </sheetData>
  <mergeCells count="7">
    <mergeCell ref="B2:P2"/>
    <mergeCell ref="A46:Q47"/>
    <mergeCell ref="A48:Q48"/>
    <mergeCell ref="H10:H11"/>
    <mergeCell ref="I10:L10"/>
    <mergeCell ref="A3:K3"/>
    <mergeCell ref="A4:K4"/>
  </mergeCells>
  <conditionalFormatting sqref="G41:L41">
    <cfRule type="dataBar" priority="10">
      <dataBar>
        <cfvo type="min"/>
        <cfvo type="max"/>
        <color rgb="FFFF555A"/>
      </dataBar>
      <extLst>
        <ext xmlns:x14="http://schemas.microsoft.com/office/spreadsheetml/2009/9/main" uri="{B025F937-C7B1-47D3-B67F-A62EFF666E3E}">
          <x14:id>{F4C70125-1057-4E38-A462-9636FD4D9058}</x14:id>
        </ext>
      </extLst>
    </cfRule>
  </conditionalFormatting>
  <conditionalFormatting sqref="G41:L41">
    <cfRule type="dataBar" priority="11">
      <dataBar>
        <cfvo type="min"/>
        <cfvo type="max"/>
        <color rgb="FF638EC6"/>
      </dataBar>
      <extLst>
        <ext xmlns:x14="http://schemas.microsoft.com/office/spreadsheetml/2009/9/main" uri="{B025F937-C7B1-47D3-B67F-A62EFF666E3E}">
          <x14:id>{F224388A-3AE2-418E-9807-862C0873C2F7}</x14:id>
        </ext>
      </extLst>
    </cfRule>
  </conditionalFormatting>
  <conditionalFormatting sqref="I12:L12">
    <cfRule type="dataBar" priority="12">
      <dataBar>
        <cfvo type="min"/>
        <cfvo type="max"/>
        <color rgb="FF92D050"/>
      </dataBar>
      <extLst>
        <ext xmlns:x14="http://schemas.microsoft.com/office/spreadsheetml/2009/9/main" uri="{B025F937-C7B1-47D3-B67F-A62EFF666E3E}">
          <x14:id>{BCB3053E-2B0F-452E-96A5-411C648F2BC0}</x14:id>
        </ext>
      </extLst>
    </cfRule>
  </conditionalFormatting>
  <conditionalFormatting sqref="I13:L13">
    <cfRule type="dataBar" priority="13">
      <dataBar>
        <cfvo type="min"/>
        <cfvo type="max"/>
        <color rgb="FF92D050"/>
      </dataBar>
      <extLst>
        <ext xmlns:x14="http://schemas.microsoft.com/office/spreadsheetml/2009/9/main" uri="{B025F937-C7B1-47D3-B67F-A62EFF666E3E}">
          <x14:id>{58797E56-CFDF-4DBC-A230-D92C33A8180C}</x14:id>
        </ext>
      </extLst>
    </cfRule>
  </conditionalFormatting>
  <conditionalFormatting sqref="J17:J24">
    <cfRule type="dataBar" priority="91">
      <dataBar>
        <cfvo type="num" val="0"/>
        <cfvo type="num" val="$J$24"/>
        <color rgb="FF00B0F0"/>
      </dataBar>
      <extLst>
        <ext xmlns:x14="http://schemas.microsoft.com/office/spreadsheetml/2009/9/main" uri="{B025F937-C7B1-47D3-B67F-A62EFF666E3E}">
          <x14:id>{E134678B-ADFD-4863-919C-08B21CF1F005}</x14:id>
        </ext>
      </extLst>
    </cfRule>
    <cfRule type="dataBar" priority="92">
      <dataBar>
        <cfvo type="min"/>
        <cfvo type="max"/>
        <color rgb="FF638EC6"/>
      </dataBar>
      <extLst>
        <ext xmlns:x14="http://schemas.microsoft.com/office/spreadsheetml/2009/9/main" uri="{B025F937-C7B1-47D3-B67F-A62EFF666E3E}">
          <x14:id>{03831D0B-0760-4AEE-84E6-7B4916BBCAEC}</x14:id>
        </ext>
      </extLst>
    </cfRule>
  </conditionalFormatting>
  <conditionalFormatting sqref="I17:I24">
    <cfRule type="dataBar" priority="95">
      <dataBar>
        <cfvo type="num" val="0"/>
        <cfvo type="num" val="$I$24"/>
        <color rgb="FF92D050"/>
      </dataBar>
      <extLst>
        <ext xmlns:x14="http://schemas.microsoft.com/office/spreadsheetml/2009/9/main" uri="{B025F937-C7B1-47D3-B67F-A62EFF666E3E}">
          <x14:id>{E606F107-9936-41E8-BD05-235EAC5A38EE}</x14:id>
        </ext>
      </extLst>
    </cfRule>
    <cfRule type="dataBar" priority="96">
      <dataBar>
        <cfvo type="min"/>
        <cfvo type="max"/>
        <color rgb="FF63C384"/>
      </dataBar>
      <extLst>
        <ext xmlns:x14="http://schemas.microsoft.com/office/spreadsheetml/2009/9/main" uri="{B025F937-C7B1-47D3-B67F-A62EFF666E3E}">
          <x14:id>{9D4DDEDA-BCE4-4523-8BB4-D3E56600D372}</x14:id>
        </ext>
      </extLst>
    </cfRule>
  </conditionalFormatting>
  <conditionalFormatting sqref="J17:J24">
    <cfRule type="dataBar" priority="99">
      <dataBar>
        <cfvo type="min"/>
        <cfvo type="max"/>
        <color rgb="FF008AEF"/>
      </dataBar>
      <extLst>
        <ext xmlns:x14="http://schemas.microsoft.com/office/spreadsheetml/2009/9/main" uri="{B025F937-C7B1-47D3-B67F-A62EFF666E3E}">
          <x14:id>{C5B3B776-CBDF-4272-925E-80B3F68101C0}</x14:id>
        </ext>
      </extLst>
    </cfRule>
  </conditionalFormatting>
  <conditionalFormatting sqref="I17:I24">
    <cfRule type="dataBar" priority="101">
      <dataBar>
        <cfvo type="min"/>
        <cfvo type="max"/>
        <color rgb="FF63C384"/>
      </dataBar>
      <extLst>
        <ext xmlns:x14="http://schemas.microsoft.com/office/spreadsheetml/2009/9/main" uri="{B025F937-C7B1-47D3-B67F-A62EFF666E3E}">
          <x14:id>{ACBC99BE-E681-4544-A15F-A88FF610CA52}</x14:id>
        </ext>
      </extLst>
    </cfRule>
  </conditionalFormatting>
  <conditionalFormatting sqref="K17:L24">
    <cfRule type="dataBar" priority="103">
      <dataBar>
        <cfvo type="min"/>
        <cfvo type="max"/>
        <color rgb="FFFFB628"/>
      </dataBar>
      <extLst>
        <ext xmlns:x14="http://schemas.microsoft.com/office/spreadsheetml/2009/9/main" uri="{B025F937-C7B1-47D3-B67F-A62EFF666E3E}">
          <x14:id>{8A7552F2-BCD8-4C5C-AA89-A758C0BE455E}</x14:id>
        </ext>
      </extLst>
    </cfRule>
  </conditionalFormatting>
  <conditionalFormatting sqref="K17:L24">
    <cfRule type="dataBar" priority="105">
      <dataBar>
        <cfvo type="num" val="0"/>
        <cfvo type="num" val="$K$24"/>
        <color rgb="FFFFC800"/>
      </dataBar>
      <extLst>
        <ext xmlns:x14="http://schemas.microsoft.com/office/spreadsheetml/2009/9/main" uri="{B025F937-C7B1-47D3-B67F-A62EFF666E3E}">
          <x14:id>{21F89631-D5EC-4D00-8610-11BC09387C62}</x14:id>
        </ext>
      </extLst>
    </cfRule>
    <cfRule type="dataBar" priority="106">
      <dataBar>
        <cfvo type="min"/>
        <cfvo type="max"/>
        <color rgb="FFFFB628"/>
      </dataBar>
      <extLst>
        <ext xmlns:x14="http://schemas.microsoft.com/office/spreadsheetml/2009/9/main" uri="{B025F937-C7B1-47D3-B67F-A62EFF666E3E}">
          <x14:id>{2A9BD962-4FE4-49E8-94C5-8A9C679AFA57}</x14:id>
        </ext>
      </extLst>
    </cfRule>
  </conditionalFormatting>
  <printOptions horizontalCentered="1" verticalCentered="1"/>
  <pageMargins left="0.157" right="0.157" top="0.157" bottom="0.157" header="0" footer="0"/>
  <pageSetup paperSize="9" scale="68"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4C70125-1057-4E38-A462-9636FD4D9058}">
            <x14:dataBar minLength="0" maxLength="100" gradient="0">
              <x14:cfvo type="autoMin"/>
              <x14:cfvo type="autoMax"/>
              <x14:negativeFillColor rgb="FFFF0000"/>
              <x14:axisColor rgb="FF000000"/>
            </x14:dataBar>
          </x14:cfRule>
          <xm:sqref>G41:L41</xm:sqref>
        </x14:conditionalFormatting>
        <x14:conditionalFormatting xmlns:xm="http://schemas.microsoft.com/office/excel/2006/main">
          <x14:cfRule type="dataBar" id="{F224388A-3AE2-418E-9807-862C0873C2F7}">
            <x14:dataBar minLength="0" maxLength="100" border="1" negativeBarBorderColorSameAsPositive="0">
              <x14:cfvo type="autoMin"/>
              <x14:cfvo type="autoMax"/>
              <x14:borderColor rgb="FF638EC6"/>
              <x14:negativeFillColor rgb="FFFF0000"/>
              <x14:negativeBorderColor rgb="FFFF0000"/>
              <x14:axisColor rgb="FF000000"/>
            </x14:dataBar>
          </x14:cfRule>
          <xm:sqref>G41:L41</xm:sqref>
        </x14:conditionalFormatting>
        <x14:conditionalFormatting xmlns:xm="http://schemas.microsoft.com/office/excel/2006/main">
          <x14:cfRule type="dataBar" id="{BCB3053E-2B0F-452E-96A5-411C648F2BC0}">
            <x14:dataBar minLength="0" maxLength="100" gradient="0">
              <x14:cfvo type="autoMin"/>
              <x14:cfvo type="autoMax"/>
              <x14:negativeFillColor rgb="FFFF0000"/>
              <x14:axisColor rgb="FF000000"/>
            </x14:dataBar>
          </x14:cfRule>
          <xm:sqref>I12:L12</xm:sqref>
        </x14:conditionalFormatting>
        <x14:conditionalFormatting xmlns:xm="http://schemas.microsoft.com/office/excel/2006/main">
          <x14:cfRule type="dataBar" id="{58797E56-CFDF-4DBC-A230-D92C33A8180C}">
            <x14:dataBar minLength="0" maxLength="100" gradient="0">
              <x14:cfvo type="autoMin"/>
              <x14:cfvo type="autoMax"/>
              <x14:negativeFillColor rgb="FFFF0000"/>
              <x14:axisColor rgb="FF000000"/>
            </x14:dataBar>
          </x14:cfRule>
          <xm:sqref>I13:L13</xm:sqref>
        </x14:conditionalFormatting>
        <x14:conditionalFormatting xmlns:xm="http://schemas.microsoft.com/office/excel/2006/main">
          <x14:cfRule type="dataBar" id="{E134678B-ADFD-4863-919C-08B21CF1F005}">
            <x14:dataBar minLength="0" maxLength="100">
              <x14:cfvo type="num">
                <xm:f>0</xm:f>
              </x14:cfvo>
              <x14:cfvo type="num">
                <xm:f>$J$24</xm:f>
              </x14:cfvo>
              <x14:negativeFillColor rgb="FFFF0000"/>
              <x14:axisColor rgb="FF000000"/>
            </x14:dataBar>
          </x14:cfRule>
          <x14:cfRule type="dataBar" id="{03831D0B-0760-4AEE-84E6-7B4916BBCAEC}">
            <x14:dataBar minLength="0" maxLength="100" border="1" negativeBarBorderColorSameAsPositive="0">
              <x14:cfvo type="autoMin"/>
              <x14:cfvo type="autoMax"/>
              <x14:borderColor rgb="FF638EC6"/>
              <x14:negativeFillColor rgb="FFFF0000"/>
              <x14:negativeBorderColor rgb="FFFF0000"/>
              <x14:axisColor rgb="FF000000"/>
            </x14:dataBar>
          </x14:cfRule>
          <xm:sqref>J17:J24</xm:sqref>
        </x14:conditionalFormatting>
        <x14:conditionalFormatting xmlns:xm="http://schemas.microsoft.com/office/excel/2006/main">
          <x14:cfRule type="dataBar" id="{E606F107-9936-41E8-BD05-235EAC5A38EE}">
            <x14:dataBar minLength="0" maxLength="100">
              <x14:cfvo type="num">
                <xm:f>0</xm:f>
              </x14:cfvo>
              <x14:cfvo type="num">
                <xm:f>$I$24</xm:f>
              </x14:cfvo>
              <x14:negativeFillColor rgb="FFFF0000"/>
              <x14:axisColor rgb="FF000000"/>
            </x14:dataBar>
          </x14:cfRule>
          <x14:cfRule type="dataBar" id="{9D4DDEDA-BCE4-4523-8BB4-D3E56600D372}">
            <x14:dataBar minLength="0" maxLength="100" border="1" negativeBarBorderColorSameAsPositive="0">
              <x14:cfvo type="autoMin"/>
              <x14:cfvo type="autoMax"/>
              <x14:borderColor rgb="FF63C384"/>
              <x14:negativeFillColor rgb="FFFF0000"/>
              <x14:negativeBorderColor rgb="FFFF0000"/>
              <x14:axisColor rgb="FF000000"/>
            </x14:dataBar>
          </x14:cfRule>
          <xm:sqref>I17:I24</xm:sqref>
        </x14:conditionalFormatting>
        <x14:conditionalFormatting xmlns:xm="http://schemas.microsoft.com/office/excel/2006/main">
          <x14:cfRule type="dataBar" id="{C5B3B776-CBDF-4272-925E-80B3F68101C0}">
            <x14:dataBar minLength="0" maxLength="100" border="1" negativeBarBorderColorSameAsPositive="0">
              <x14:cfvo type="autoMin"/>
              <x14:cfvo type="autoMax"/>
              <x14:borderColor rgb="FF008AEF"/>
              <x14:negativeFillColor rgb="FFFF0000"/>
              <x14:negativeBorderColor rgb="FFFF0000"/>
              <x14:axisColor rgb="FF000000"/>
            </x14:dataBar>
          </x14:cfRule>
          <xm:sqref>J17:J24</xm:sqref>
        </x14:conditionalFormatting>
        <x14:conditionalFormatting xmlns:xm="http://schemas.microsoft.com/office/excel/2006/main">
          <x14:cfRule type="dataBar" id="{ACBC99BE-E681-4544-A15F-A88FF610CA52}">
            <x14:dataBar minLength="0" maxLength="100" border="1" negativeBarBorderColorSameAsPositive="0">
              <x14:cfvo type="autoMin"/>
              <x14:cfvo type="autoMax"/>
              <x14:borderColor rgb="FF63C384"/>
              <x14:negativeFillColor rgb="FFFF0000"/>
              <x14:negativeBorderColor rgb="FFFF0000"/>
              <x14:axisColor rgb="FF000000"/>
            </x14:dataBar>
          </x14:cfRule>
          <xm:sqref>I17:I24</xm:sqref>
        </x14:conditionalFormatting>
        <x14:conditionalFormatting xmlns:xm="http://schemas.microsoft.com/office/excel/2006/main">
          <x14:cfRule type="dataBar" id="{8A7552F2-BCD8-4C5C-AA89-A758C0BE455E}">
            <x14:dataBar minLength="0" maxLength="100" border="1" negativeBarBorderColorSameAsPositive="0">
              <x14:cfvo type="autoMin"/>
              <x14:cfvo type="autoMax"/>
              <x14:borderColor rgb="FFFFB628"/>
              <x14:negativeFillColor rgb="FFFF0000"/>
              <x14:negativeBorderColor rgb="FFFF0000"/>
              <x14:axisColor rgb="FF000000"/>
            </x14:dataBar>
          </x14:cfRule>
          <xm:sqref>K17:L24</xm:sqref>
        </x14:conditionalFormatting>
        <x14:conditionalFormatting xmlns:xm="http://schemas.microsoft.com/office/excel/2006/main">
          <x14:cfRule type="dataBar" id="{21F89631-D5EC-4D00-8610-11BC09387C62}">
            <x14:dataBar minLength="0" maxLength="100" gradient="0">
              <x14:cfvo type="num">
                <xm:f>0</xm:f>
              </x14:cfvo>
              <x14:cfvo type="num">
                <xm:f>$K$24</xm:f>
              </x14:cfvo>
              <x14:negativeFillColor rgb="FFFF0000"/>
              <x14:axisColor rgb="FF000000"/>
            </x14:dataBar>
          </x14:cfRule>
          <x14:cfRule type="dataBar" id="{2A9BD962-4FE4-49E8-94C5-8A9C679AFA57}">
            <x14:dataBar minLength="0" maxLength="100" border="1" negativeBarBorderColorSameAsPositive="0">
              <x14:cfvo type="autoMin"/>
              <x14:cfvo type="autoMax"/>
              <x14:borderColor rgb="FFFFB628"/>
              <x14:negativeFillColor rgb="FFFF0000"/>
              <x14:negativeBorderColor rgb="FFFF0000"/>
              <x14:axisColor rgb="FF000000"/>
            </x14:dataBar>
          </x14:cfRule>
          <xm:sqref>K17:L24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T a b l e _ C a m p L i s t , T a b l e _ S h e l t e r ] ] > < / C u s t o m C o n t e n t > < / G e m i n i > 
</file>

<file path=customXml/item10.xml>��< ? x m l   v e r s i o n = " 1 . 0 "   e n c o d i n g = " U T F - 1 6 " ? > < G e m i n i   x m l n s = " h t t p : / / g e m i n i / p i v o t c u s t o m i z a t i o n / M a n u a l C a l c M o d e " > < C u s t o m C o n t e n t > < ! [ C D A T A [ F a l s e ] ] > < / C u s t o m C o n t e n t > < / G e m i n i > 
</file>

<file path=customXml/item11.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 2 6 0 0 F 5 E 6 E 1 F F 4 F 7 D 8 E D 2 < / 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D a t a T y p e > B i g I n t < / D a t a T y p e > < N u l l P r o c e s s i n g > P r e s e r v e < / N u l l P r o c e s s i n g > < / K e y C o l u m n > < / K e y C o l u m n s > < N a m e C o l u m n > < D a t a T y p e > W C h a r < / D a t a T y p e > < N u l l P r o c e s s i n g > Z e r o O r B l a n k < / N u l l P r o c e s s i n g > < / N a m e C o l u m n > < O r d e r B y > K e y < / O r d e r B y > < / A t t r i b u t e > < A t t r i b u t e > < I D > U p d a t e   D a t e < / I D > < N a m e > U p d a t e   D a t e < / N a m e > < D e s c r i p t i o n > B < / D e s c r i p t i o n > < K e y C o l u m n s > < K e y C o l u m n > < D a t a T y p e > D a t e < / D a t a T y p e > < N u l l P r o c e s s i n g > P r e s e r v e < / N u l l P r o c e s s i n g > < / K e y C o l u m n > < / K e y C o l u m n s > < N a m e C o l u m n > < D a t a T y p e > W C h a r < / D a t a T y p e > < N u l l P r o c e s s i n g > Z e r o O r B l a n k < / N u l l P r o c e s s i n g > < / N a m e C o l u m n > < O r d e r B y > K e y < / O r d e r B y > < / A t t r i b u t e > < A t t r i b u t e > < I D > S t a t u s < / I D > < N a m e > S t a t u s < / 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 S t a t e _ P c o d e < / I D > < N a m e > S t a t e _ P c o d e < / N a m e > < D e s c r i p t i o n > E < / D e s c r i p t i o n > < K e y C o l u m n s > < K e y C o l u m n > < D a t a T y p e > W C h a r < / D a t a T y p e > < N u l l P r o c e s s i n g > P r e s e r v e < / N u l l P r o c e s s i n g > < / K e y C o l u m n > < / K e y C o l u m n s > < N a m e C o l u m n > < D a t a T y p e > W C h a r < / D a t a T y p e > < N u l l P r o c e s s i n g > Z e r o O r B l a n k < / N u l l P r o c e s s i n g > < / N a m e C o l u m n > < O r d e r B y > K e y < / O r d e r B y > < / A t t r i b u t e > < A t t r i b u t e > < I D > D i s t r i c t < / I D > < N a m e > D i s t r i c t < / N a m e > < D e s c r i p t i o n > F < / D e s c r i p t i o n > < K e y C o l u m n s > < K e y C o l u m n > < D a t a T y p e > W C h a r < / D a t a T y p e > < N u l l P r o c e s s i n g > P r e s e r v e < / N u l l P r o c e s s i n g > < / K e y C o l u m n > < / K e y C o l u m n s > < N a m e C o l u m n > < D a t a T y p e > W C h a r < / D a t a T y p e > < N u l l P r o c e s s i n g > Z e r o O r B l a n k < / N u l l P r o c e s s i n g > < / N a m e C o l u m n > < O r d e r B y > K e y < / O r d e r B y > < / A t t r i b u t e > < A t t r i b u t e > < I D > D i s t r i c t _ P c o d e < / I D > < N a m e > D i s t r i c t _ P c o d e < / N a m e > < D e s c r i p t i o n > G < / D e s c r i p t i o n > < K e y C o l u m n s > < K e y C o l u m n > < D a t a T y p e > W C h a r < / D a t a T y p e > < N u l l P r o c e s s i n g > P r e s e r v e < / N u l l P r o c e s s i n g > < / K e y C o l u m n > < / K e y C o l u m n s > < N a m e C o l u m n > < D a t a T y p e > W C h a r < / D a t a T y p e > < N u l l P r o c e s s i n g > Z e r o O r B l a n k < / N u l l P r o c e s s i n g > < / N a m e C o l u m n > < O r d e r B y > K e y < / O r d e r B y > < / A t t r i b u t e > < A t t r i b u t e > < I D > T O W N S H I P _ N A M E < / I D > < N a m e > T O W N S H I P _ N A M E < / N a m e > < D e s c r i p t i o n > H < / D e s c r i p t i o n > < K e y C o l u m n s > < K e y C o l u m n > < D a t a T y p e > W C h a r < / D a t a T y p e > < N u l l P r o c e s s i n g > P r e s e r v e < / N u l l P r o c e s s i n g > < / K e y C o l u m n > < / K e y C o l u m n s > < N a m e C o l u m n > < D a t a T y p e > W C h a r < / D a t a T y p e > < N u l l P r o c e s s i n g > Z e r o O r B l a n k < / N u l l P r o c e s s i n g > < / N a m e C o l u m n > < O r d e r B y > K e y < / O r d e r B y > < / A t t r i b u t e > < A t t r i b u t e > < I D > T o w n s h i p _ P c o d e < / I D > < N a m e > T o w n s h i p _ P c o d e < / N a m e > < D e s c r i p t i o n > I < / D e s c r i p t i o n > < K e y C o l u m n s > < K e y C o l u m n > < D a t a T y p e > W C h a r < / D a t a T y p e > < N u l l P r o c e s s i n g > P r e s e r v e < / N u l l P r o c e s s i n g > < / K e y C o l u m n > < / K e y C o l u m n s > < N a m e C o l u m n > < D a t a T y p e > W C h a r < / D a t a T y p e > < N u l l P r o c e s s i n g > Z e r o O r B l a n k < / N u l l P r o c e s s i n g > < / N a m e C o l u m n > < O r d e r B y > K e y < / O r d e r B y > < / A t t r i b u t e > < A t t r i b u t e > < I D > V i l l a g e T r a c K T o w n _ N a m e < / I D > < N a m e > V i l l a g e T r a c K T o w n _ N a m e < / N a m e > < D e s c r i p t i o n > J < / D e s c r i p t i o n > < K e y C o l u m n s > < K e y C o l u m n > < D a t a T y p e > W C h a r < / D a t a T y p e > < N u l l P r o c e s s i n g > P r e s e r v e < / N u l l P r o c e s s i n g > < / K e y C o l u m n > < / K e y C o l u m n s > < N a m e C o l u m n > < D a t a T y p e > W C h a r < / D a t a T y p e > < N u l l P r o c e s s i n g > Z e r o O r B l a n k < / N u l l P r o c e s s i n g > < / N a m e C o l u m n > < O r d e r B y > K e y < / O r d e r B y > < / A t t r i b u t e > < A t t r i b u t e > < I D > V i l l a g e T r a c k T o w n _ P c o d e < / I D > < N a m e > V i l l a g e T r a c k T o w n _ P c o d e < / N a m e > < D e s c r i p t i o n > K < / D e s c r i p t i o n > < K e y C o l u m n s > < K e y C o l u m n > < D a t a T y p e > W C h a r < / D a t a T y p e > < N u l l P r o c e s s i n g > P r e s e r v e < / N u l l P r o c e s s i n g > < / K e y C o l u m n > < / K e y C o l u m n s > < N a m e C o l u m n > < D a t a T y p e > W C h a r < / D a t a T y p e > < N u l l P r o c e s s i n g > Z e r o O r B l a n k < / N u l l P r o c e s s i n g > < / N a m e C o l u m n > < O r d e r B y > K e y < / O r d e r B y > < / A t t r i b u t e > < A t t r i b u t e > < I D > V i l l a g e W a r d _ N a m e < / I D > < N a m e > V i l l a g e W a r d _ N a m e < / N a m e > < D e s c r i p t i o n > L < / D e s c r i p t i o n > < K e y C o l u m n s > < K e y C o l u m n > < D a t a T y p e > W C h a r < / D a t a T y p e > < N u l l P r o c e s s i n g > P r e s e r v e < / N u l l P r o c e s s i n g > < / K e y C o l u m n > < / K e y C o l u m n s > < N a m e C o l u m n > < D a t a T y p e > W C h a r < / D a t a T y p e > < N u l l P r o c e s s i n g > Z e r o O r B l a n k < / N u l l P r o c e s s i n g > < / N a m e C o l u m n > < O r d e r B y > K e y < / O r d e r B y > < / A t t r i b u t e > < A t t r i b u t e > < I D > V i l l a g e W a r d _ P c o d e < / I D > < N a m e > V i l l a g e W a r d _ P c o d e < / N a m e > < D e s c r i p t i o n > M < / D e s c r i p t i o n > < K e y C o l u m n s > < K e y C o l u m n > < D a t a T y p e > W C h a r < / D a t a T y p e > < N u l l P r o c e s s i n g > P r e s e r v e < / N u l l P r o c e s s i n g > < / K e y C o l u m n > < / K e y C o l u m n s > < N a m e C o l u m n > < D a t a T y p e > W C h a r < / D a t a T y p e > < N u l l P r o c e s s i n g > Z e r o O r B l a n k < / N u l l P r o c e s s i n g > < / N a m e C o l u m n > < O r d e r B y > K e y < / O r d e r B y > < / A t t r i b u t e > < A t t r i b u t e > < I D > C a m p   N a m e < / I D > < N a m e > C a m p   N a m e < / N a m e > < D e s c r i p t i o n > N < / D e s c r i p t i o n > < K e y C o l u m n s > < K e y C o l u m n > < D a t a T y p e > W C h a r < / D a t a T y p e > < N u l l P r o c e s s i n g > P r e s e r v e < / N u l l P r o c e s s i n g > < / K e y C o l u m n > < / K e y C o l u m n s > < N a m e C o l u m n > < D a t a T y p e > W C h a r < / D a t a T y p e > < N u l l P r o c e s s i n g > Z e r o O r B l a n k < / N u l l P r o c e s s i n g > < / N a m e C o l u m n > < O r d e r B y > K e y < / O r d e r B y > < / A t t r i b u t e > < A t t r i b u t e > < I D > P _ C o d e < / I D > < N a m e > P _ C o d e < / N a m e > < D e s c r i p t i o n > O < / D e s c r i p t i o n > < K e y C o l u m n s > < K e y C o l u m n > < D a t a T y p e > W C h a r < / D a t a T y p e > < N u l l P r o c e s s i n g > E r r o r < / N u l l P r o c e s s i n g > < / K e y C o l u m n > < / K e y C o l u m n s > < N a m e C o l u m n > < D a t a T y p e > W C h a r < / D a t a T y p e > < N u l l P r o c e s s i n g > Z e r o O r B l a n k < / N u l l P r o c e s s i n g > < / N a m e C o l u m n > < O r d e r B y > K e y < / O r d e r B y > < / A t t r i b u t e > < A t t r i b u t e > < I D > A c c e s s i b i l i t y < / I D > < N a m e > A c c e s s i b i l i t y < / N a m e > < D e s c r i p t i o n > P < / D e s c r i p t i o n > < K e y C o l u m n s > < K e y C o l u m n > < D a t a T y p e > W C h a r < / D a t a T y p e > < N u l l P r o c e s s i n g > P r e s e r v e < / N u l l P r o c e s s i n g > < / K e y C o l u m n > < / K e y C o l u m n s > < N a m e C o l u m n > < D a t a T y p e > W C h a r < / D a t a T y p e > < N u l l P r o c e s s i n g > Z e r o O r B l a n k < / N u l l P r o c e s s i n g > < / N a m e C o l u m n > < O r d e r B y > K e y < / O r d e r B y > < / A t t r i b u t e > < A t t r i b u t e > < I D > L o n g i t u d e < / I D > < N a m e > L o n g i t u d e < / N a m e > < D e s c r i p t i o n > Q < / D e s c r i p t i o n > < K e y C o l u m n s > < K e y C o l u m n > < D a t a T y p e > W C h a r < / D a t a T y p e > < N u l l P r o c e s s i n g > P r e s e r v e < / N u l l P r o c e s s i n g > < / K e y C o l u m n > < / K e y C o l u m n s > < N a m e C o l u m n > < D a t a T y p e > W C h a r < / D a t a T y p e > < N u l l P r o c e s s i n g > Z e r o O r B l a n k < / N u l l P r o c e s s i n g > < / N a m e C o l u m n > < O r d e r B y > K e y < / O r d e r B y > < / A t t r i b u t e > < A t t r i b u t e > < I D > L a t i t u d e < / I D > < N a m e > L a t i t u d e < / N a m e > < D e s c r i p t i o n > R < / D e s c r i p t i o n > < K e y C o l u m n s > < K e y C o l u m n > < D a t a T y p e > W C h a r < / D a t a T y p e > < N u l l P r o c e s s i n g > P r e s e r v e < / N u l l P r o c e s s i n g > < / K e y C o l u m n > < / K e y C o l u m n s > < N a m e C o l u m n > < D a t a T y p e > W C h a r < / D a t a T y p e > < N u l l P r o c e s s i n g > Z e r o O r B l a n k < / N u l l P r o c e s s i n g > < / N a m e C o l u m n > < O r d e r B y > K e y < / O r d e r B y > < / A t t r i b u t e > < A t t r i b u t e > < I D > H H < / I D > < N a m e > H H < / N a m e > < D e s c r i p t i o n > S < / D e s c r i p t i o n > < K e y C o l u m n s > < K e y C o l u m n > < D a t a T y p e > B i g I n t < / D a t a T y p e > < N u l l P r o c e s s i n g > P r e s e r v e < / N u l l P r o c e s s i n g > < / K e y C o l u m n > < / K e y C o l u m n s > < N a m e C o l u m n > < D a t a T y p e > W C h a r < / D a t a T y p e > < N u l l P r o c e s s i n g > Z e r o O r B l a n k < / N u l l P r o c e s s i n g > < / N a m e C o l u m n > < O r d e r B y > K e y < / O r d e r B y > < / A t t r i b u t e > < A t t r i b u t e > < I D > T o t a l < / I D > < N a m e > T o t a l < / N a m e > < D e s c r i p t i o n > T < / D e s c r i p t i o n > < K e y C o l u m n s > < K e y C o l u m n > < D a t a T y p e > B i g I n t < / D a t a T y p e > < N u l l P r o c e s s i n g > P r e s e r v e < / N u l l P r o c e s s i n g > < / K e y C o l u m n > < / K e y C o l u m n s > < N a m e C o l u m n > < D a t a T y p e > W C h a r < / D a t a T y p e > < N u l l P r o c e s s i n g > Z e r o O r B l a n k < / N u l l P r o c e s s i n g > < / N a m e C o l u m n > < O r d e r B y > K e y < / O r d e r B y > < / A t t r i b u t e > < A t t r i b u t e > < I D > A v g < / I D > < N a m e > A v g < / N a m e > < D e s c r i p t i o n > U < / D e s c r i p t i o n > < K e y C o l u m n s > < K e y C o l u m n > < D a t a T y p e > D o u b l e < / D a t a T y p e > < N u l l P r o c e s s i n g > P r e s e r v e < / N u l l P r o c e s s i n g > < / K e y C o l u m n > < / K e y C o l u m n s > < N a m e C o l u m n > < D a t a T y p e > W C h a r < / D a t a T y p e > < N u l l P r o c e s s i n g > Z e r o O r B l a n k < / N u l l P r o c e s s i n g > < / N a m e C o l u m n > < O r d e r B y > K e y < / O r d e r B y > < / A t t r i b u t e > < A t t r i b u t e > < I D > S o u r c e < / I D > < N a m e > S o u r c e < / N a m e > < D e s c r i p t i o n > V < / D e s c r i p t i o n > < K e y C o l u m n s > < K e y C o l u m n > < D a t a T y p e > W C h a r < / D a t a T y p e > < N u l l P r o c e s s i n g > P r e s e r v e < / N u l l P r o c e s s i n g > < / K e y C o l u m n > < / K e y C o l u m n s > < N a m e C o l u m n > < D a t a T y p e > W C h a r < / D a t a T y p e > < N u l l P r o c e s s i n g > Z e r o O r B l a n k < / N u l l P r o c e s s i n g > < / N a m e C o l u m n > < O r d e r B y > K e y < / O r d e r B y > < / A t t r i b u t e > < A t t r i b u t e > < I D > M e t h o d < / I D > < N a m e > M e t h o d < / N a m e > < D e s c r i p t i o n > W < / D e s c r i p t i o n > < K e y C o l u m n s > < K e y C o l u m n > < D a t a T y p e > W C h a r < / D a t a T y p e > < N u l l P r o c e s s i n g > P r e s e r v e < / N u l l P r o c e s s i n g > < / K e y C o l u m n > < / K e y C o l u m n s > < N a m e C o l u m n > < D a t a T y p e > W C h a r < / D a t a T y p e > < N u l l P r o c e s s i n g > Z e r o O r B l a n k < / N u l l P r o c e s s i n g > < / N a m e C o l u m n > < O r d e r B y > K e y < / O r d e r B y > < / A t t r i b u t e > < A t t r i b u t e > < I D > T y p e   o f   A c c o m o d a t i o n < / I D > < N a m e > T y p e   o f   A c c o m o d a t i o n < / N a m e > < D e s c r i p t i o n > X < / D e s c r i p t i o n > < K e y C o l u m n s > < K e y C o l u m n > < D a t a T y p e > W C h a r < / D a t a T y p e > < N u l l P r o c e s s i n g > P r e s e r v e < / N u l l P r o c e s s i n g > < / K e y C o l u m n > < / K e y C o l u m n s > < N a m e C o l u m n > < D a t a T y p e > W C h a r < / D a t a T y p e > < N u l l P r o c e s s i n g > Z e r o O r B l a n k < / N u l l P r o c e s s i n g > < / N a m e C o l u m n > < O r d e r B y > K e y < / O r d e r B y > < / A t t r i b u t e > < A t t r i b u t e > < I D > C o m m e n t < / I D > < N a m e > C o m m e n t < / N a m e > < D e s c r i p t i o n > Y < / D e s c r i p t i o n > < K e y C o l u m n s > < K e y C o l u m n > < D a t a T y p e > W C h a r < / D a t a T y p e > < N u l l P r o c e s s i n g > P r e s e r v e < / N u l l P r o c e s s i n g > < / K e y C o l u m n > < / K e y C o l u m n s > < N a m e C o l u m n > < D a t a T y p e > W C h a r < / D a t a T y p e > < N u l l P r o c e s s i n g > Z e r o O r B l a n k < / N u l l P r o c e s s i n g > < / N a m e C o l u m n > < O r d e r B y > K e y < / O r d e r B y > < / A t t r i b u t e > < A t t r i b u t e > < I D > C o u n t < / I D > < N a m e > C o u n t < / N a m e > < D e s c r i p t i o n > Z < / D e s c r i p t i o n > < K e y C o l u m n s > < K e y C o l u m n > < D a t a T y p e > B i g I n t < / D a t a T y p e > < N u l l P r o c e s s i n g > P r e s e r v e < / N u l l P r o c e s s i n g > < / K e y C o l u m n > < / K e y C o l u m n s > < N a m e C o l u m n > < D a t a T y p e > W C h a r < / D a t a T y p e > < N u l l P r o c e s s i n g > Z e r o O r B l a n k < / N u l l P r o c e s s i n g > < / N a m e C o l u m n > < O r d e r B y > K e y < / O r d e r B y > < / A t t r i b u t e > < A t t r i b u t e > < I D > S t a t u s 2 < / I D > < N a m e > S t a t u s 2 < / N a m e > < D e s c r i p t i o n > A A < / D e s c r i p t i o n > < 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 S t a t e < / A t t r i b u t e I D > < O v e r r i d e B e h a v i o r > N o n e < / O v e r r i d e B e h a v i o r > < N a m e > S t a t e < / N a m e > < / A t t r i b u t e R e l a t i o n s h i p > < A t t r i b u t e R e l a t i o n s h i p > < A t t r i b u t e I D > S t a t u s < / A t t r i b u t e I D > < O v e r r i d e B e h a v i o r > N o n e < / O v e r r i d e B e h a v i o r > < N a m e > S t a t u s < / N a m e > < / A t t r i b u t e R e l a t i o n s h i p > < 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 S t a t e _ P c o d e < / A t t r i b u t e I D > < O v e r r i d e B e h a v i o r > N o n e < / O v e r r i d e B e h a v i o r > < N a m e > S t a t e _ P c o d e < / N a m e > < / A t t r i b u t e R e l a t i o n s h i p > < A t t r i b u t e R e l a t i o n s h i p > < A t t r i b u t e I D > D i s t r i c t < / A t t r i b u t e I D > < O v e r r i d e B e h a v i o r > N o n e < / O v e r r i d e B e h a v i o r > < N a m e > D i s t r i c t < / N a m e > < / A t t r i b u t e R e l a t i o n s h i p > < A t t r i b u t e R e l a t i o n s h i p > < A t t r i b u t e I D > D i s t r i c t _ P c o d e < / A t t r i b u t e I D > < O v e r r i d e B e h a v i o r > N o n e < / O v e r r i d e B e h a v i o r > < N a m e > D i s t r i c t _ P c o d e 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A t t r i b u t e I D > C a m p   N a m e < / A t t r i b u t e I D > < O v e r r i d e B e h a v i o r > N o n e < / O v e r r i d e B e h a v i o r > < N a m e > C a m p   N a m e < / N a m e > < / A t t r i b u t e R e l a t i o n s h i p > < A t t r i b u t e R e l a t i o n s h i p > < A t t r i b u t e I D > P _ C o d e < / A t t r i b u t e I D > < C a r d i n a l i t y > O n e < / C a r d i n a l i t y > < 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 C o u n t < / A t t r i b u t e I D > < O v e r r i d e B e h a v i o r > N o n e < / O v e r r i d e B e h a v i o r > < N a m e > C o u n t < / N a m e > < / A t t r i b u t e R e l a t i o n s h i p > < A t t r i b u t e R e l a t i o n s h i p > < A t t r i b u t e I D > S t a t u s 2 < / A t t r i b u t e I D > < O v e r r i d e B e h a v i o r > N o n e < / O v e r r i d e B e h a v i o r > < N a m e > S t a t u s 2 < / 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D a t a T y p e > D a t e < / D a t a T y p e > < N u l l P r o c e s s i n g > P r e s e r v e < / N u l l P r o c e s s i n g > < / K e y C o l u m n > < / K e y C o l u m n s > < N a m e C o l u m n > < D a t a T y p e > W C h a r < / D a t a T y p e > < N u l l P r o c e s s i n g > Z e r o O r B l a n k < / N u l l P r o c e s s i n g > < / N a m e C o l u m n > < O r d e r B y > K e y < / O r d e r B y > < / A t t r i b u t e > < A t t r i b u t e > < I D > O r g a n i z a t i o n < / I D > < N a m e > O r g a n i z a t i o n < / N a m e > < D e s c r i p t i o n > B < / D e s c r i p t i o n > < K e y C o l u m n s > < K e y C o l u m n > < D a t a T y p e > W C h a r < / D a t a T y p e > < N u l l P r o c e s s i n g > P r e s e r v e < / N u l l P r o c e s s i n g > < / K e y C o l u m n > < / K e y C o l u m n s > < N a m e C o l u m n > < D a t a T y p e > W C h a r < / D a t a T y p e > < N u l l P r o c e s s i n g > Z e r o O r B l a n k < / N u l l P r o c e s s i n g > < / N a m e C o l u m n > < O r d e r B y > K e y < / O r d e r B y > < / A t t r i b u t e > < A t t r i b u t e > < I D > I m p l e m e n t i n g P a r t n e r < / I D > < N a m e > I m p l e m e n t i n g P a r t n e r < / 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 T o w n s h i p < / I D > < N a m e > T o w n s h i p < / N a m e > < D e s c r i p t i o n > E < / D e s c r i p t i o n > < K e y C o l u m n s > < K e y C o l u m n > < D a t a T y p e > W C h a r < / D a t a T y p e > < N u l l P r o c e s s i n g > P r e s e r v e < / N u l l P r o c e s s i n g > < / K e y C o l u m n > < / K e y C o l u m n s > < N a m e C o l u m n > < D a t a T y p e > W C h a r < / D a t a T y p e > < N u l l P r o c e s s i n g > Z e r o O r B l a n k < / N u l l P r o c e s s i n g > < / N a m e C o l u m n > < O r d e r B y > K e y < / O r d e r B y > < / A t t r i b u t e > < A t t r i b u t e > < I D > C a m p N a m e < / I D > < N a m e > C a m p N a m e < / N a m e > < D e s c r i p t i o n > F < / D e s c r i p t i o n > < K e y C o l u m n s > < K e y C o l u m n > < D a t a T y p e > W C h a r < / D a t a T y p e > < N u l l P r o c e s s i n g > P r e s e r v e < / N u l l P r o c e s s i n g > < / K e y C o l u m n > < / K e y C o l u m n s > < N a m e C o l u m n > < D a t a T y p e > W C h a r < / D a t a T y p e > < N u l l P r o c e s s i n g > Z e r o O r B l a n k < / N u l l P r o c e s s i n g > < / N a m e C o l u m n > < O r d e r B y > K e y < / O r d e r B y > < / A t t r i b u t e > < A t t r i b u t e > < I D > H H p e r S h e l t e r < / I D > < N a m e > H H p e r S h e l t e r < / N a m e > < D e s c r i p t i o n > G < / D e s c r i p t i o n > < K e y C o l u m n s > < K e y C o l u m n > < D a t a T y p e > B i g I n t < / D a t a T y p e > < N u l l P r o c e s s i n g > P r e s e r v e < / N u l l P r o c e s s i n g > < / K e y C o l u m n > < / K e y C o l u m n s > < N a m e C o l u m n > < D a t a T y p e > W C h a r < / D a t a T y p e > < N u l l P r o c e s s i n g > Z e r o O r B l a n k < / N u l l P r o c e s s i n g > < / N a m e C o l u m n > < O r d e r B y > K e y < / O r d e r B y > < / A t t r i b u t e > < A t t r i b u t e > < I D > # o f F a m i l y T e n t P l a n n e d   T a r g e t < / I D > < N a m e > # o f F a m i l y T e n t P l a n n e d   T a r g e t < / N a m e > < D e s c r i p t i o n > H < / D e s c r i p t i o n > < K e y C o l u m n s > < K e y C o l u m n > < D a t a T y p e > W C h a r < / D a t a T y p e > < N u l l P r o c e s s i n g > P r e s e r v e < / N u l l P r o c e s s i n g > < / K e y C o l u m n > < / K e y C o l u m n s > < N a m e C o l u m n > < D a t a T y p e > W C h a r < / D a t a T y p e > < N u l l P r o c e s s i n g > Z e r o O r B l a n k < / N u l l P r o c e s s i n g > < / N a m e C o l u m n > < O r d e r B y > K e y < / O r d e r B y > < / A t t r i b u t e > < A t t r i b u t e > < I D > # o f F a m i l y T e n t D i s t r i b u t e d < / I D > < N a m e > # o f F a m i l y T e n t D i s t r i b u t e d < / N a m e > < D e s c r i p t i o n > I < / D e s c r i p t i o n > < K e y C o l u m n s > < K e y C o l u m n > < D a t a T y p e > B i g I n t < / D a t a T y p e > < N u l l P r o c e s s i n g > P r e s e r v e < / N u l l P r o c e s s i n g > < / K e y C o l u m n > < / K e y C o l u m n s > < N a m e C o l u m n > < D a t a T y p e > W C h a r < / D a t a T y p e > < N u l l P r o c e s s i n g > Z e r o O r B l a n k < / N u l l P r o c e s s i n g > < / N a m e C o l u m n > < O r d e r B y > K e y < / O r d e r B y > < / A t t r i b u t e > < A t t r i b u t e > < I D > # o f T e m p o r a r y S h e l t e r P l a n n e d   T a r g e t < / I D > < N a m e > # o f T e m p o r a r y S h e l t e r P l a n n e d   T a r g e t < / N a m e > < D e s c r i p t i o n > J < / D e s c r i p t i o n > < K e y C o l u m n s > < K e y C o l u m n > < D a t a T y p e > B i g I n t < / D a t a T y p e > < N u l l P r o c e s s i n g > P r e s e r v e < / N u l l P r o c e s s i n g > < / K e y C o l u m n > < / K e y C o l u m n s > < N a m e C o l u m n > < D a t a T y p e > W C h a r < / D a t a T y p e > < N u l l P r o c e s s i n g > Z e r o O r B l a n k < / N u l l P r o c e s s i n g > < / N a m e C o l u m n > < O r d e r B y > K e y < / O r d e r B y > < / A t t r i b u t e > < A t t r i b u t e > < I D > # o f T e m p o r a r y S h e l t e r B u i l t < / I D > < N a m e > # o f T e m p o r a r y S h e l t e r B u i l t < / N a m e > < D e s c r i p t i o n > K < / D e s c r i p t i o n > < K e y C o l u m n s > < K e y C o l u m n > < D a t a T y p e > B i g I n t < / D a t a T y p e > < N u l l P r o c e s s i n g > P r e s e r v e < / N u l l P r o c e s s i n g > < / K e y C o l u m n > < / K e y C o l u m n s > < N a m e C o l u m n > < D a t a T y p e > W C h a r < / D a t a T y p e > < N u l l P r o c e s s i n g > Z e r o O r B l a n k < / N u l l P r o c e s s i n g > < / N a m e C o l u m n > < O r d e r B y > K e y < / O r d e r B y > < / A t t r i b u t e > < A t t r i b u t e > < I D > # o f T e m p o r a r y S h e l t e r U n d e r C o n s t r u c t i o n < / I D > < N a m e > # o f T e m p o r a r y S h e l t e r U n d e r C o n s t r u c t i o n < / N a m e > < D e s c r i p t i o n > L < / D e s c r i p t i o n > < K e y C o l u m n s > < K e y C o l u m n > < D a t a T y p e > B i g I n t < / D a t a T y p e > < N u l l P r o c e s s i n g > P r e s e r v e < / N u l l P r o c e s s i n g > < / K e y C o l u m n > < / K e y C o l u m n s > < N a m e C o l u m n > < D a t a T y p e > W C h a r < / D a t a T y p e > < N u l l P r o c e s s i n g > Z e r o O r B l a n k < / N u l l P r o c e s s i n g > < / N a m e C o l u m n > < O r d e r B y > K e y < / O r d e r B y > < / A t t r i b u t e > < A t t r i b u t e > < I D > # o f P e r m a n e n t H o u s e P l a n n e d   T a r g e t < / I D > < N a m e > # o f P e r m a n e n t H o u s e P l a n n e d   T a r g e t < / N a m e > < D e s c r i p t i o n > M < / D e s c r i p t i o n > < K e y C o l u m n s > < K e y C o l u m n > < D a t a T y p e > B i g I n t < / D a t a T y p e > < N u l l P r o c e s s i n g > P r e s e r v e < / N u l l P r o c e s s i n g > < / K e y C o l u m n > < / K e y C o l u m n s > < N a m e C o l u m n > < D a t a T y p e > W C h a r < / D a t a T y p e > < N u l l P r o c e s s i n g > Z e r o O r B l a n k < / N u l l P r o c e s s i n g > < / N a m e C o l u m n > < O r d e r B y > K e y < / O r d e r B y > < / A t t r i b u t e > < A t t r i b u t e > < I D > # o f P e r m a n e n t H o u s e B u i l t < / I D > < N a m e > # o f P e r m a n e n t H o u s e B u i l t < / N a m e > < D e s c r i p t i o n > N < / D e s c r i p t i o n > < K e y C o l u m n s > < K e y C o l u m n > < D a t a T y p e > B i g I n t < / D a t a T y p e > < N u l l P r o c e s s i n g > P r e s e r v e < / N u l l P r o c e s s i n g > < / K e y C o l u m n > < / K e y C o l u m n s > < N a m e C o l u m n > < D a t a T y p e > W C h a r < / D a t a T y p e > < N u l l P r o c e s s i n g > Z e r o O r B l a n k < / N u l l P r o c e s s i n g > < / N a m e C o l u m n > < O r d e r B y > K e y < / O r d e r B y > < / A t t r i b u t e > < A t t r i b u t e > < I D > # o f P e r m a n e n t H o u s e U n d e r C o n s t r u c t i o n < / I D > < N a m e > # o f P e r m a n e n t H o u s e U n d e r C o n s t r u c t i o n < / N a m e > < D e s c r i p t i o n > O < / D e s c r i p t i o n > < K e y C o l u m n s > < K e y C o l u m n > < D a t a T y p e > B i g I n t < / D a t a T y p e > < N u l l P r o c e s s i n g > P r e s e r v e < / N u l l P r o c e s s i n g > < / K e y C o l u m n > < / K e y C o l u m n s > < N a m e C o l u m n > < D a t a T y p e > W C h a r < / D a t a T y p e > < N u l l P r o c e s s i n g > Z e r o O r B l a n k < / N u l l P r o c e s s i n g > < / N a m e C o l u m n > < O r d e r B y > K e y < / O r d e r B y > < / A t t r i b u t e > < A t t r i b u t e > < I D > H H C o v e r e d < / I D > < N a m e > H H C o v e r e d < / N a m e > < D e s c r i p t i o n > P < / D e s c r i p t i o n > < K e y C o l u m n s > < K e y C o l u m n > < D a t a T y p e > B i g I n t < / D a t a T y p e > < N u l l P r o c e s s i n g > P r e s e r v e < / N u l l P r o c e s s i n g > < / K e y C o l u m n > < / K e y C o l u m n s > < N a m e C o l u m n > < D a t a T y p e > W C h a r < / D a t a T y p e > < N u l l P r o c e s s i n g > Z e r o O r B l a n k < / N u l l P r o c e s s i n g > < / N a m e C o l u m n > < O r d e r B y > K e y < / O r d e r B y > < / A t t r i b u t e > < A t t r i b u t e > < I D > P c o d e < / I D > < N a m e > P c o d e < / N a m e > < D e s c r i p t i o n > Q < / D e s c r i p t i o n > < K e y C o l u m n s > < K e y C o l u m n > < D a t a T y p e > W C h a r < / D a t a T y p e > < N u l l P r o c e s s i n g > P r e s e r v e < / N u l l P r o c e s s i n g > < / K e y C o l u m n > < / K e y C o l u m n s > < N a m e C o l u m n > < D a t a T y p e > W C h a r < / D a t a T y p e > < N u l l P r o c e s s i n g > Z e r o O r B l a n k < / N u l l P r o c e s s i n g > < / N a m e C o l u m n > < O r d e r B y > K e y < / O r d e r B y > < / A t t r i b u t e > < A t t r i b u t e > < I D > S t a t u s < / I D > < N a m e > S t a t u s < / N a m e > < D e s c r i p t i o n > R < / D e s c r i p t i o n > < K e y C o l u m n s > < K e y C o l u m n > < D a t a T y p e > W C h a r < / D a t a T y p e > < N u l l P r o c e s s i n g > P r e s e r v e < / N u l l P r o c e s s i n g > < / K e y C o l u m n > < / K e y C o l u m n s > < N a m e C o l u m n > < D a t a T y p e > W C h a r < / D a t a T y p e > < N u l l P r o c e s s i n g > Z e r o O r B l a n k < / N u l l P r o c e s s i n g > < / N a m e C o l u m n > < O r d e r B y > K e y < / O r d e r B y > < / A t t r i b u t e > < A t t r i b u t e > < I D > C o v e r a g e < / I D > < N a m e > C o v e r a g e < / N a m e > < D e s c r i p t i o n > S < / D e s c r i p t i o n > < K e y C o l u m n s > < K e y C o l u m n > < D a t a T y p e > D o u b l e < / 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A t t r i b u t e I D > P c o d e < / A t t r i b u t e I D > < O v e r r i d e B e h a v i o r > N o n e < / O v e r r i d e B e h a v i o r > < N a m e > P c o d e < / N a m e > < / A t t r i b u t e R e l a t i o n s h i p > < A t t r i b u t e R e l a t i o n s h i p > < A t t r i b u t e I D > S t a t u s < / A t t r i b u t e I D > < O v e r r i d e B e h a v i o r > N o n e < / O v e r r i d e B e h a v i o r > < N a m e > S t a t u s < / N a m e > < / A t t r i b u t e R e l a t i o n s h i p > < A t t r i b u t e R e l a t i o n s h i p > < A t t r i b u t e I D > C o v e r a g e < / A t t r i b u t e I D > < O v e r r i d e B e h a v i o r > N o n e < / O v e r r i d e B e h a v i o r > < N a m e > C o v e r a g e 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 D i s t r i c t < / A t t r i b u t e I D > < / A t t r i b u t e > < A t t r i b u t e > < A t t r i b u t e I D > D i s t r i c t _ P c o d e 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 C o u n t < / A t t r i b u t e I D > < / A t t r i b u t e > < A t t r i b u t e > < A t t r i b u t e I D > S t a t u s 2 < / A t t r i b u t e I D > < / A t t r i b u t e > < A t t r i b u t e > < A t t r i b u t e I D > R o w N u m b e r < / A t t r i b u t e I D > < A t t r i b u t e H i e r a r c h y V i s i b l e > f a l s e < / A t t r i b u t e H i e r a r c h y V i s i b l e > < / 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 P c o d e < / A t t r i b u t e I D > < / A t t r i b u t e > < A t t r i b u t e > < A t t r i b u t e I D > S t a t u s < / A t t r i b u t e I D > < / A t t r i b u t e > < A t t r i b u t e > < A t t r i b u t e I D > C o v e r a g e < / A t t r i b u t e I D > < / A t t r i b u t e > < A t t r i b u t e > < A t t r i b u t e I D > R o w N u m b e r < / A t t r i b u t e I D > < A t t r i b u t e H i e r a r c h y V i s i b l e > f a l s e < / A t t r i b u t e H i e r a r c h y V i s i b l e > < / A t t r i b u t e > < / A t t r i b u t e s > < / D i m e n s i o n > < / D i m e n s i o n s > < M e a s u r e G r o u p s > < M e a s u r e G r o u p > < I D > T a b l e _ C a m p L i s t < / I D > < N a m e > T a b l e _ C a m p L i s t < / N a m e > < M e a s u r e s > < M e a s u r e > < I D > T a b l e _ C a m p L i s t < / I D > < N a m e > _ C o u n t   T a b l e _ C a m p L i s t < / 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 T a b l e _ S h e l t e r < / I D > < N a m e > T a b l e _ S h e l t e r < / N a m e > < M e a s u r e s > < M e a s u r e > < I D > T a b l e _ S h e l t e r < / I D > < N a m e > _ C o u n t   T a b l e _ S h e l t e r < / 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 D a t e U p d a t e d < / A t t r i b u t e I D > < K e y C o l u m n s > < K e y C o l u m n > < D a t a T y p e > D a t e < / D a t a T y p e > < N u l l P r o c e s s i n g > P r e s e r v e < / N u l l P r o c e s s i n g > < / K e y C o l u m n > < / K e y C o l u m n s > < / A t t r i b u t e > < A t t r i b u t e > < A t t r i b u t e I D > O r g a n i z a t i o n < / A t t r i b u t e I D > < K e y C o l u m n s > < K e y C o l u m n > < D a t a T y p e > W C h a r < / D a t a T y p e > < N u l l P r o c e s s i n g > P r e s e r v e < / N u l l P r o c e s s i n g > < / K e y C o l u m n > < / K e y C o l u m n s > < / A t t r i b u t e > < A t t r i b u t e > < A t t r i b u t e I D > I m p l e m e n t i n g P a r t n e r < / A t t r i b u t e I D > < K e y C o l u m n s > < K e y C o l u m n > < D a t a T y p e > W C h a r < / D a t a T y p e > < N u l l P r o c e s s i n g > P r e s e r v e < / N u l l P r o c e s s i n g > < / K e y C o l u m n > < / K e y C o l u m n s > < / A t t r i b u t e > < A t t r i b u t e > < A t t r i b u t e I D > S t a t e < / A t t r i b u t e I D > < K e y C o l u m n s > < K e y C o l u m n > < D a t a T y p e > W C h a r < / D a t a T y p e > < N u l l P r o c e s s i n g > P r e s e r v e < / N u l l P r o c e s s i n g > < / K e y C o l u m n > < / K e y C o l u m n s > < / A t t r i b u t e > < A t t r i b u t e > < A t t r i b u t e I D > T o w n s h i p < / A t t r i b u t e I D > < K e y C o l u m n s > < K e y C o l u m n > < D a t a T y p e > W C h a r < / D a t a T y p e > < N u l l P r o c e s s i n g > P r e s e r v e < / N u l l P r o c e s s i n g > < / K e y C o l u m n > < / K e y C o l u m n s > < / A t t r i b u t e > < A t t r i b u t e > < A t t r i b u t e I D > C a m p N a m e < / A t t r i b u t e I D > < K e y C o l u m n s > < K e y C o l u m n > < D a t a T y p e > W C h a r < / D a t a T y p e > < N u l l P r o c e s s i n g > P r e s e r v e < / N u l l P r o c e s s i n g > < / K e y C o l u m n > < / K e y C o l u m n s > < / A t t r i b u t e > < A t t r i b u t e > < A t t r i b u t e I D > H H p e r S h e l t e r < / A t t r i b u t e I D > < K e y C o l u m n s > < K e y C o l u m n > < D a t a T y p e > B i g I n t < / D a t a T y p e > < N u l l P r o c e s s i n g > P r e s e r v e < / N u l l P r o c e s s i n g > < / K e y C o l u m n > < / K e y C o l u m n s > < / A t t r i b u t e > < A t t r i b u t e > < A t t r i b u t e I D > # o f F a m i l y T e n t P l a n n e d   T a r g e t < / A t t r i b u t e I D > < K e y C o l u m n s > < K e y C o l u m n > < D a t a T y p e > W C h a r < / D a t a T y p e > < N u l l P r o c e s s i n g > P r e s e r v e < / N u l l P r o c e s s i n g > < / K e y C o l u m n > < / K e y C o l u m n s > < / A t t r i b u t e > < A t t r i b u t e > < A t t r i b u t e I D > # o f F a m i l y T e n t D i s t r i b u t e d < / A t t r i b u t e I D > < K e y C o l u m n s > < K e y C o l u m n > < D a t a T y p e > B i g I n t < / D a t a T y p e > < N u l l P r o c e s s i n g > P r e s e r v e < / N u l l P r o c e s s i n g > < / K e y C o l u m n > < / K e y C o l u m n s > < / A t t r i b u t e > < A t t r i b u t e > < A t t r i b u t e I D > # o f T e m p o r a r y S h e l t e r P l a n n e d   T a r g e t < / A t t r i b u t e I D > < K e y C o l u m n s > < K e y C o l u m n > < D a t a T y p e > B i g I n t < / D a t a T y p e > < N u l l P r o c e s s i n g > P r e s e r v e < / N u l l P r o c e s s i n g > < / K e y C o l u m n > < / K e y C o l u m n s > < / A t t r i b u t e > < A t t r i b u t e > < A t t r i b u t e I D > # o f T e m p o r a r y S h e l t e r B u i l t < / A t t r i b u t e I D > < K e y C o l u m n s > < K e y C o l u m n > < D a t a T y p e > B i g I n t < / D a t a T y p e > < N u l l P r o c e s s i n g > P r e s e r v e < / N u l l P r o c e s s i n g > < / K e y C o l u m n > < / K e y C o l u m n s > < / A t t r i b u t e > < A t t r i b u t e > < A t t r i b u t e I D > # o f T e m p o r a r y S h e l t e r U n d e r C o n s t r u c t i o n < / A t t r i b u t e I D > < K e y C o l u m n s > < K e y C o l u m n > < D a t a T y p e > B i g I n t < / D a t a T y p e > < N u l l P r o c e s s i n g > P r e s e r v e < / N u l l P r o c e s s i n g > < / K e y C o l u m n > < / K e y C o l u m n s > < / A t t r i b u t e > < A t t r i b u t e > < A t t r i b u t e I D > # o f P e r m a n e n t H o u s e P l a n n e d   T a r g e t < / A t t r i b u t e I D > < K e y C o l u m n s > < K e y C o l u m n > < D a t a T y p e > B i g I n t < / D a t a T y p e > < N u l l P r o c e s s i n g > P r e s e r v e < / N u l l P r o c e s s i n g > < / K e y C o l u m n > < / K e y C o l u m n s > < / A t t r i b u t e > < A t t r i b u t e > < A t t r i b u t e I D > # o f P e r m a n e n t H o u s e B u i l t < / A t t r i b u t e I D > < K e y C o l u m n s > < K e y C o l u m n > < D a t a T y p e > B i g I n t < / D a t a T y p e > < N u l l P r o c e s s i n g > P r e s e r v e < / N u l l P r o c e s s i n g > < / K e y C o l u m n > < / K e y C o l u m n s > < / A t t r i b u t e > < A t t r i b u t e > < A t t r i b u t e I D > # o f P e r m a n e n t H o u s e U n d e r C o n s t r u c t i o n < / A t t r i b u t e I D > < K e y C o l u m n s > < K e y C o l u m n > < D a t a T y p e > B i g I n t < / D a t a T y p e > < N u l l P r o c e s s i n g > P r e s e r v e < / N u l l P r o c e s s i n g > < / K e y C o l u m n > < / K e y C o l u m n s > < / A t t r i b u t e > < A t t r i b u t e > < A t t r i b u t e I D > H H C o v e r e d < / A t t r i b u t e I D > < K e y C o l u m n s > < K e y C o l u m n > < D a t a T y p e > B i g I n t < / D a t a T y p e > < N u l l P r o c e s s i n g > P r e s e r v e < / N u l l P r o c e s s i n g > < / K e y C o l u m n > < / K e y C o l u m n s > < / A t t r i b u t e > < A t t r i b u t e > < A t t r i b u t e I D > P c o d e < / A t t r i b u t e I D > < K e y C o l u m n s > < K e y C o l u m n > < D a t a T y p e > W C h a r < / D a t a T y p e > < N u l l P r o c e s s i n g > P r e s e r v e < / N u l l P r o c e s s i n g > < / K e y C o l u m n > < / K e y C o l u m n s > < / A t t r i b u t e > < A t t r i b u t e > < A t t r i b u t e I D > S t a t u s < / A t t r i b u t e I D > < K e y C o l u m n s > < K e y C o l u m n > < D a t a T y p e > W C h a r < / D a t a T y p e > < N u l l P r o c e s s i n g > P r e s e r v e < / N u l l P r o c e s s i n g > < / K e y C o l u m n > < / K e y C o l u m n s > < / A t t r i b u t e > < 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  x s i : t y p e = " R e f e r e n c 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T y p e > G r a n u l a r i t y < / T y p e > < / 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 T a b l e _ S h e l t e r < / I n t e r m e d i a t e C u b e D i m e n s i o n I D > < I n t e r m e d i a t e G r a n u l a r i t y A t t r i b u t e I D > P c o d e < / I n t e r m e d i a t e G r a n u l a r i t y A t t r i b u t e I D > < M a t e r i a l i z a t i o n > R e g u l a r < / M a t e r i a l i z a t i o n > < / D i m e n s i o n > < / D i m e n s i o n s > < P a r t i t i o n s > < P a r t i t i o n > < I D > T a b l e _ S h e l t e r < / I D > < N a m e > T a b l e _ S h e l t e r 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 C U R R E N T C U B E . M e a s u r e s . [ d 3 8 3 2 2 7 a - 2 1 0 e - 4 4 8 8 - a 5 2 1 - b 0 a 8 e 0 c 2 e 6 8 4 ]   A S   1 ,   V i s i b l e = 0 ;    
 A L T E R   C U B E   C U R R E N T C U B E   U P D A T E   D I M E N S I O N   M e a s u r e s ,   D e f a u l t _ M e m b e r   =   [ d 3 8 3 2 2 7 a - 2 1 0 e - 4 4 8 8 - a 5 2 1 - b 0 a 8 e 0 c 2 e 6 8 4 ] ;    
 C R E A T E   M E A S U R E   [ S a n d b o x ] . ' T a b l e _ C a m p L i s t ' [ S u m   o f   H H ] = S U M ( ' T a b l e _ C a m p L i s t ' [ H H ] ) ;    
 C R E A T E   M E A S U R E   [ S a n d b o x ] . ' T a b l e _ C a m p L i s t ' [ S u m   o f   T o t a l ] = S U M ( ' T a b l e _ C a m p L i s t ' [ T o t a l ] ) ;    
 C R E A T E   M E A S U R E   [ S a n d b o x ] . ' T a b l e _ S h e l t e r ' [ S u m   o f   H H C o v e r e d ] = S U M ( ' T a b l e _ S h e l t e r ' [ H H C o v e r e d ] ) ;   < / T e x t > < / C o m m a n d > < / C o m m a n d s > < C a l c u l a t i o n P r o p e r t i e s > < C a l c u l a t i o n P r o p e r t y > < A n n o t a t i o n s > < A n n o t a t i o n > < N a m e > T y p e < / N a m e > < V a l u e > I m p l i c i t < / V a l u e > < / A n n o t a t i o n > < A n n o t a t i o n > < N a m e > R e f C o u n t < / N a m e > < V a l u e > 1 < / V a l u e > < / A n n o t a t i o n > < / A n n o t a t i o n s > < C a l c u l a t i o n R e f e r e n c e > [ S u m   o f   H H ] < / C a l c u l a t i o n R e f e r e n c e > < C a l c u l a t i o n T y p e > M e m b e r < / C a l c u l a t i o n T y p e > < / C a l c u l a t i o n P r o p e r t y > < C a l c u l a t i o n P r o p e r t y > < A n n o t a t i o n s > < A n n o t a t i o n > < N a m e > T y p e < / N a m e > < V a l u e > I m p l i c i t < / V a l u e > < / A n n o t a t i o n > < A n n o t a t i o n > < N a m e > R e f C o u n t < / N a m e > < V a l u e > 1 < / V a l u e > < / A n n o t a t i o n > < / A n n o t a t i o n s > < C a l c u l a t i o n R e f e r e n c e > [ S u m   o f   T o t a l ] < / C a l c u l a t i o n R e f e r e n c e > < C a l c u l a t i o n T y p e > M e m b e r < / C a l c u l a t i o n T y p e > < / C a l c u l a t i o n P r o p e r t y > < C a l c u l a t i o n P r o p e r t y > < A n n o t a t i o n s > < A n n o t a t i o n > < N a m e > T y p e < / N a m e > < V a l u e > I m p l i c i t < / V a l u e > < / A n n o t a t i o n > < A n n o t a t i o n > < N a m e > R e f C o u n t < / N a m e > < V a l u e > 1 < / V a l u e > < / A n n o t a t i o n > < / A n n o t a t i o n s > < C a l c u l a t i o n R e f e r e n c e > [ S u m   o f   H H C o v e r e d ] < / C a l c u l a t i o n R e f e r e n c e > < C a l c u l a t i o n T y p e > M e m b e r < / C a l c u l a t i o n T y p 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d l 2 0 0 _ 2 0 0 : S t o r a g e E n g i n e U s e d > I n M e m o r y < / d d l 2 0 0 _ 2 0 0 : S t o r a g e E n g i n e U s e d > < / D a t a b a s e > < / O b j e c t D e f i n i t i o n > < / C r e a t e > ] ] > < / C u s t o m C o n t e n t > < / G e m i n i > 
</file>

<file path=customXml/item12.xml><?xml version="1.0" encoding="utf-8"?>
<ct:contentTypeSchema xmlns:ct="http://schemas.microsoft.com/office/2006/metadata/contentType" xmlns:ma="http://schemas.microsoft.com/office/2006/metadata/properties/metaAttributes" ct:_="" ma:_="" ma:contentTypeName="Documents" ma:contentTypeID="0x010100AA7AFC8FE433CD4B94E991D812AE17EB00A4F904E876BA64499D936E72A62E2535" ma:contentTypeVersion="77" ma:contentTypeDescription="" ma:contentTypeScope="" ma:versionID="ca9f92c09a11b3cb09b3b69d233a9aef">
  <xsd:schema xmlns:xsd="http://www.w3.org/2001/XMLSchema" xmlns:xs="http://www.w3.org/2001/XMLSchema" xmlns:p="http://schemas.microsoft.com/office/2006/metadata/properties" xmlns:ns1="http://schemas.microsoft.com/sharepoint/v3" xmlns:ns2="96664bca-06c0-4657-b6f9-0a997f5ff9b9" xmlns:ns3="c2760211-3e43-4ff7-a9ea-22e8b7d99117" xmlns:ns4="410da107-b4b9-4416-82f0-a17ea7b4313c" xmlns:ns5="44d82dea-fc32-4e1e-a3c6-c3136ef66f65" targetNamespace="http://schemas.microsoft.com/office/2006/metadata/properties" ma:root="true" ma:fieldsID="a14c215efa0409b6943d1b9507fdf27a" ns1:_="" ns2:_="" ns3:_="" ns4:_="" ns5:_="">
    <xsd:import namespace="http://schemas.microsoft.com/sharepoint/v3"/>
    <xsd:import namespace="96664bca-06c0-4657-b6f9-0a997f5ff9b9"/>
    <xsd:import namespace="c2760211-3e43-4ff7-a9ea-22e8b7d99117"/>
    <xsd:import namespace="410da107-b4b9-4416-82f0-a17ea7b4313c"/>
    <xsd:import namespace="44d82dea-fc32-4e1e-a3c6-c3136ef66f65"/>
    <xsd:element name="properties">
      <xsd:complexType>
        <xsd:sequence>
          <xsd:element name="documentManagement">
            <xsd:complexType>
              <xsd:all>
                <xsd:element ref="ns2:Document_x0020_Description" minOccurs="0"/>
                <xsd:element ref="ns2:Report_x0020_Date" minOccurs="0"/>
                <xsd:element ref="ns2:Publishing_x0020_Agency1" minOccurs="0"/>
                <xsd:element ref="ns3:Is_x0020_Key_x0020_Document1" minOccurs="0"/>
                <xsd:element ref="ns2:Is_x0020_Reference_x0020_Doc" minOccurs="0"/>
                <xsd:element ref="ns2:Is_x0020_Cluster_x0020_Management_x003f_" minOccurs="0"/>
                <xsd:element ref="ns2:Inter_x0020_Cluster" minOccurs="0"/>
                <xsd:element ref="ns2:IM" minOccurs="0"/>
                <xsd:element ref="ns2:A_x002c_M_x0020_and_x0020_E" minOccurs="0"/>
                <xsd:element ref="ns2:Shelter_x0020_Planning" minOccurs="0"/>
                <xsd:element ref="ns2:Shelter_x0020_Technical" minOccurs="0"/>
                <xsd:element ref="ns2:Shelter_x0020_Programming" minOccurs="0"/>
                <xsd:element ref="ns2:NFI_x0020_Guidance" minOccurs="0"/>
                <xsd:element ref="ns2:Cross_x0020_Cutting" minOccurs="0"/>
                <xsd:element ref="ns2:Media_x0020_Comms" minOccurs="0"/>
                <xsd:element ref="ns2:Event_x0020_Day" minOccurs="0"/>
                <xsd:element ref="ns2:Event_x0020_Month" minOccurs="0"/>
                <xsd:element ref="ns2:Event_x0020_Year" minOccurs="0"/>
                <xsd:element ref="ns2:Websio_x0020_Document_x0020_Preview" minOccurs="0"/>
                <xsd:element ref="ns2:p4235251fcc1450fb6d384a4ad55daef" minOccurs="0"/>
                <xsd:element ref="ns2:g7e01d2410934a95afa409e0dbebe315" minOccurs="0"/>
                <xsd:element ref="ns2:fbbb2add3bda4432ae4dea6625736703" minOccurs="0"/>
                <xsd:element ref="ns3:CountryTaxHTField0" minOccurs="0"/>
                <xsd:element ref="ns2:mff2b4bb9c8044d88061963b2a68513a" minOccurs="0"/>
                <xsd:element ref="ns2:b1a5a839b88a4a15abdc90cae864525c" minOccurs="0"/>
                <xsd:element ref="ns2:TaxCatchAll" minOccurs="0"/>
                <xsd:element ref="ns3:Event_x0020_TypeTaxHTField0" minOccurs="0"/>
                <xsd:element ref="ns2:hd9d801fa33a4aa2b8220e3e5f4d4756" minOccurs="0"/>
                <xsd:element ref="ns3:Degree_x0020_Of_x0020_DisplacementTaxHTField0" minOccurs="0"/>
                <xsd:element ref="ns4:Current_x0020_Lead_x0020_AgencyTaxHTField0" minOccurs="0"/>
                <xsd:element ref="ns2:a83348d14d814196bcaad6bde9cb9d0c" minOccurs="0"/>
                <xsd:element ref="ns5:Damage_x0020_LocationTaxHTField0" minOccurs="0"/>
                <xsd:element ref="ns2:TaxKeywordTaxHTField" minOccurs="0"/>
                <xsd:element ref="ns3:Site_x0020_TypeTaxHTField0" minOccurs="0"/>
                <xsd:element ref="ns5:Status_x0020_Of_x0020_SiteTaxHTField0" minOccurs="0"/>
                <xsd:element ref="ns2:e7570bd437624e0480332ee2423de9d8" minOccurs="0"/>
                <xsd:element ref="ns2:p866212cea484a06bc999f7bb36c5e20" minOccurs="0"/>
                <xsd:element ref="ns2:p9d35d47f93d40ab99282662ef2417ca" minOccurs="0"/>
                <xsd:element ref="ns2:TaxCatchAllLabel" minOccurs="0"/>
                <xsd:element ref="ns3:RegionTaxHTField0" minOccurs="0"/>
                <xsd:element ref="ns2:ff39aabcbcfa4b29888983c5e6d736f9" minOccurs="0"/>
                <xsd:element ref="ns2:e6f2ccbddc7344129cbcce7800e6bf7e" minOccurs="0"/>
                <xsd:element ref="ns1:RoutingRuleDescription" minOccurs="0"/>
                <xsd:element ref="ns2:g2834a0a4b5b445382f80b4d1c20b873" minOccurs="0"/>
                <xsd:element ref="ns2:ied6aaf0461f439496f935d3461379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7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664bca-06c0-4657-b6f9-0a997f5ff9b9"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Report_x0020_Date" ma:index="3" nillable="true" ma:displayName="Report Date" ma:format="DateOnly" ma:internalName="Report_x0020_Date">
      <xsd:simpleType>
        <xsd:restriction base="dms:DateTime"/>
      </xsd:simpleType>
    </xsd:element>
    <xsd:element name="Publishing_x0020_Agency1" ma:index="4" nillable="true" ma:displayName="Publishing Agency" ma:internalName="Publishing_x0020_Agency1" ma:readOnly="false">
      <xsd:simpleType>
        <xsd:restriction base="dms:Text">
          <xsd:maxLength value="255"/>
        </xsd:restriction>
      </xsd:simpleType>
    </xsd:element>
    <xsd:element name="Is_x0020_Reference_x0020_Doc" ma:index="6" nillable="true" ma:displayName="Is Reference Doc?" ma:default="0" ma:internalName="Is_x0020_Reference_x0020_Doc">
      <xsd:simpleType>
        <xsd:restriction base="dms:Boolean"/>
      </xsd:simpleType>
    </xsd:element>
    <xsd:element name="Is_x0020_Cluster_x0020_Management_x003f_" ma:index="8" nillable="true" ma:displayName="Is Coordination?" ma:default="0" ma:internalName="Is_x0020_Cluster_x0020_Management_x003F_">
      <xsd:simpleType>
        <xsd:restriction base="dms:Boolean"/>
      </xsd:simpleType>
    </xsd:element>
    <xsd:element name="Inter_x0020_Cluster" ma:index="9" nillable="true" ma:displayName="Is Inter Cluster?" ma:default="0" ma:internalName="Inter_x0020_Cluster">
      <xsd:simpleType>
        <xsd:restriction base="dms:Boolean"/>
      </xsd:simpleType>
    </xsd:element>
    <xsd:element name="IM" ma:index="10" nillable="true" ma:displayName="Is IM?" ma:default="0" ma:internalName="IM">
      <xsd:simpleType>
        <xsd:restriction base="dms:Boolean"/>
      </xsd:simpleType>
    </xsd:element>
    <xsd:element name="A_x002c_M_x0020_and_x0020_E" ma:index="11" nillable="true" ma:displayName="Is A,M and E?" ma:default="0" ma:internalName="A_x002C_M_x0020_and_x0020_E">
      <xsd:simpleType>
        <xsd:restriction base="dms:Boolean"/>
      </xsd:simpleType>
    </xsd:element>
    <xsd:element name="Shelter_x0020_Planning" ma:index="12" nillable="true" ma:displayName="Is Shelter Planning?" ma:default="0" ma:internalName="Shelter_x0020_Planning">
      <xsd:simpleType>
        <xsd:restriction base="dms:Boolean"/>
      </xsd:simpleType>
    </xsd:element>
    <xsd:element name="Shelter_x0020_Technical" ma:index="13" nillable="true" ma:displayName="Is Shelter Specifications?" ma:default="0" ma:internalName="Shelter_x0020_Technical">
      <xsd:simpleType>
        <xsd:restriction base="dms:Boolean"/>
      </xsd:simpleType>
    </xsd:element>
    <xsd:element name="Shelter_x0020_Programming" ma:index="14" nillable="true" ma:displayName="Is Shelter Programming" ma:default="0" ma:internalName="Shelter_x0020_Programming">
      <xsd:simpleType>
        <xsd:restriction base="dms:Boolean"/>
      </xsd:simpleType>
    </xsd:element>
    <xsd:element name="NFI_x0020_Guidance" ma:index="15" nillable="true" ma:displayName="Is NFI Guidance?" ma:default="0" ma:internalName="NFI_x0020_Guidance">
      <xsd:simpleType>
        <xsd:restriction base="dms:Boolean"/>
      </xsd:simpleType>
    </xsd:element>
    <xsd:element name="Cross_x0020_Cutting" ma:index="16" nillable="true" ma:displayName="Is Cross Cutting?" ma:default="0" ma:internalName="Cross_x0020_Cutting">
      <xsd:simpleType>
        <xsd:restriction base="dms:Boolean"/>
      </xsd:simpleType>
    </xsd:element>
    <xsd:element name="Media_x0020_Comms" ma:index="17" nillable="true" ma:displayName="Is Communications?" ma:default="0" ma:internalName="Media_x0020_Comms">
      <xsd:simpleType>
        <xsd:restriction base="dms:Boolean"/>
      </xsd:simpleType>
    </xsd:element>
    <xsd:element name="Event_x0020_Day" ma:index="39" nillable="true" ma:displayName="Event Day" ma:decimals="0" ma:internalName="Event_x0020_Day" ma:readOnly="false" ma:percentage="FALSE">
      <xsd:simpleType>
        <xsd:restriction base="dms:Number"/>
      </xsd:simpleType>
    </xsd:element>
    <xsd:element name="Event_x0020_Month" ma:index="40" nillable="true" ma:displayName="Event Month" ma:internalName="Event_x0020_Month">
      <xsd:simpleType>
        <xsd:restriction base="dms:Text">
          <xsd:maxLength value="255"/>
        </xsd:restriction>
      </xsd:simpleType>
    </xsd:element>
    <xsd:element name="Event_x0020_Year" ma:index="41" nillable="true" ma:displayName="Event Year" ma:internalName="Event_x0020_Year">
      <xsd:simpleType>
        <xsd:restriction base="dms:Number"/>
      </xsd:simpleType>
    </xsd:element>
    <xsd:element name="Websio_x0020_Document_x0020_Preview" ma:index="43" nillable="true" ma:displayName="Websio Document Preview" ma:hidden="true" ma:internalName="Websio_x0020_Document_x0020_Preview">
      <xsd:simpleType>
        <xsd:restriction base="dms:Text"/>
      </xsd:simpleType>
    </xsd:element>
    <xsd:element name="p4235251fcc1450fb6d384a4ad55daef" ma:index="44" nillable="true" ma:taxonomy="true" ma:internalName="p4235251fcc1450fb6d384a4ad55daef" ma:taxonomyFieldName="AM_x0026_E" ma:displayName="AM&amp;E" ma:default="" ma:fieldId="{94235251-fcc1-450f-b6d3-84a4ad55daef}" ma:taxonomyMulti="true" ma:sspId="31bb8de2-2522-46a2-961a-21ec87b7ce6b" ma:termSetId="fc0942ea-7101-4cef-983d-3f0c29343c77" ma:anchorId="64078d6a-a8a4-4604-937a-604e2be1b1f3" ma:open="false" ma:isKeyword="false">
      <xsd:complexType>
        <xsd:sequence>
          <xsd:element ref="pc:Terms" minOccurs="0" maxOccurs="1"/>
        </xsd:sequence>
      </xsd:complexType>
    </xsd:element>
    <xsd:element name="g7e01d2410934a95afa409e0dbebe315" ma:index="45" nillable="true" ma:taxonomy="true" ma:internalName="g7e01d2410934a95afa409e0dbebe315" ma:taxonomyFieldName="Shelter_x0020_Programming1" ma:displayName="Shelter Programming" ma:default="" ma:fieldId="{07e01d24-1093-4a95-afa4-09e0dbebe315}" ma:taxonomyMulti="true" ma:sspId="31bb8de2-2522-46a2-961a-21ec87b7ce6b" ma:termSetId="fc0942ea-7101-4cef-983d-3f0c29343c77" ma:anchorId="6ffc187a-f185-482a-93e7-cea189b516b1" ma:open="false" ma:isKeyword="false">
      <xsd:complexType>
        <xsd:sequence>
          <xsd:element ref="pc:Terms" minOccurs="0" maxOccurs="1"/>
        </xsd:sequence>
      </xsd:complexType>
    </xsd:element>
    <xsd:element name="fbbb2add3bda4432ae4dea6625736703" ma:index="47" nillable="true" ma:taxonomy="true" ma:internalName="fbbb2add3bda4432ae4dea6625736703" ma:taxonomyFieldName="Shelter_x0020_Technical1" ma:displayName="Shelter Specifications" ma:default="" ma:fieldId="{fbbb2add-3bda-4432-ae4d-ea6625736703}" ma:taxonomyMulti="true" ma:sspId="31bb8de2-2522-46a2-961a-21ec87b7ce6b" ma:termSetId="fc0942ea-7101-4cef-983d-3f0c29343c77" ma:anchorId="f6aa237b-9a9e-4828-bc8f-7a5502b6ad3b" ma:open="false" ma:isKeyword="false">
      <xsd:complexType>
        <xsd:sequence>
          <xsd:element ref="pc:Terms" minOccurs="0" maxOccurs="1"/>
        </xsd:sequence>
      </xsd:complexType>
    </xsd:element>
    <xsd:element name="mff2b4bb9c8044d88061963b2a68513a" ma:index="49" nillable="true" ma:taxonomy="true" ma:internalName="mff2b4bb9c8044d88061963b2a68513a" ma:taxonomyFieldName="Cross_x0020_Cutting1" ma:displayName="Cross Cutting" ma:default="" ma:fieldId="{6ff2b4bb-9c80-44d8-8061-963b2a68513a}" ma:taxonomyMulti="true" ma:sspId="31bb8de2-2522-46a2-961a-21ec87b7ce6b" ma:termSetId="fc0942ea-7101-4cef-983d-3f0c29343c77" ma:anchorId="c9c5ac22-9574-4787-b9be-c380f5d93423" ma:open="false" ma:isKeyword="false">
      <xsd:complexType>
        <xsd:sequence>
          <xsd:element ref="pc:Terms" minOccurs="0" maxOccurs="1"/>
        </xsd:sequence>
      </xsd:complexType>
    </xsd:element>
    <xsd:element name="b1a5a839b88a4a15abdc90cae864525c" ma:index="50" ma:taxonomy="true" ma:internalName="b1a5a839b88a4a15abdc90cae864525c" ma:taxonomyFieldName="Document_x0020_Language" ma:displayName="Document Language" ma:default="115;#English|53eb1c9d-8416-419a-9260-1df8e70b86c2" ma:fieldId="{b1a5a839-b88a-4a15-abdc-90cae864525c}" ma:sspId="31bb8de2-2522-46a2-961a-21ec87b7ce6b" ma:termSetId="fc0942ea-7101-4cef-983d-3f0c29343c77" ma:anchorId="3f8ae703-20f8-43f3-a840-a904dae7223a" ma:open="false" ma:isKeyword="false">
      <xsd:complexType>
        <xsd:sequence>
          <xsd:element ref="pc:Terms" minOccurs="0" maxOccurs="1"/>
        </xsd:sequence>
      </xsd:complexType>
    </xsd:element>
    <xsd:element name="TaxCatchAll" ma:index="51" nillable="true" ma:displayName="Taxonomy Catch All Column" ma:description="" ma:hidden="true" ma:list="{3a036ed0-d222-47b6-8583-8ea0c1662976}" ma:internalName="TaxCatchAll" ma:showField="CatchAllData"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hd9d801fa33a4aa2b8220e3e5f4d4756" ma:index="53" nillable="true" ma:taxonomy="true" ma:internalName="hd9d801fa33a4aa2b8220e3e5f4d4756" ma:taxonomyFieldName="InterCluster" ma:displayName="InterCluster" ma:default="" ma:fieldId="{1d9d801f-a33a-4aa2-b822-0e3e5f4d4756}" ma:taxonomyMulti="true" ma:sspId="31bb8de2-2522-46a2-961a-21ec87b7ce6b" ma:termSetId="fc0942ea-7101-4cef-983d-3f0c29343c77" ma:anchorId="470ba90d-466f-484c-b12a-234bc55ee74d" ma:open="false" ma:isKeyword="false">
      <xsd:complexType>
        <xsd:sequence>
          <xsd:element ref="pc:Terms" minOccurs="0" maxOccurs="1"/>
        </xsd:sequence>
      </xsd:complexType>
    </xsd:element>
    <xsd:element name="a83348d14d814196bcaad6bde9cb9d0c" ma:index="57" nillable="true" ma:taxonomy="true" ma:internalName="a83348d14d814196bcaad6bde9cb9d0c" ma:taxonomyFieldName="Management_x002F_Coordination" ma:displayName="Coordination" ma:readOnly="false" ma:default="" ma:fieldId="{a83348d1-4d81-4196-bcaa-d6bde9cb9d0c}" ma:taxonomyMulti="true" ma:sspId="31bb8de2-2522-46a2-961a-21ec87b7ce6b" ma:termSetId="fc0942ea-7101-4cef-983d-3f0c29343c77" ma:anchorId="e05f679b-4c94-4f3d-ae2a-25f1b2852231" ma:open="false" ma:isKeyword="false">
      <xsd:complexType>
        <xsd:sequence>
          <xsd:element ref="pc:Terms" minOccurs="0" maxOccurs="1"/>
        </xsd:sequence>
      </xsd:complexType>
    </xsd:element>
    <xsd:element name="TaxKeywordTaxHTField" ma:index="59" nillable="true" ma:taxonomy="true" ma:internalName="TaxKeywordTaxHTField" ma:taxonomyFieldName="TaxKeyword" ma:displayName="Other Keywords" ma:readOnly="false" ma:fieldId="{23f27201-bee3-471e-b2e7-b64fd8b7ca38}" ma:taxonomyMulti="true" ma:sspId="31bb8de2-2522-46a2-961a-21ec87b7ce6b" ma:termSetId="00000000-0000-0000-0000-000000000000" ma:anchorId="00000000-0000-0000-0000-000000000000" ma:open="true" ma:isKeyword="true">
      <xsd:complexType>
        <xsd:sequence>
          <xsd:element ref="pc:Terms" minOccurs="0" maxOccurs="1"/>
        </xsd:sequence>
      </xsd:complexType>
    </xsd:element>
    <xsd:element name="e7570bd437624e0480332ee2423de9d8" ma:index="62" nillable="true" ma:taxonomy="true" ma:internalName="e7570bd437624e0480332ee2423de9d8" ma:taxonomyFieldName="Information_x0020_Management" ma:displayName="Information Management" ma:default="" ma:fieldId="{e7570bd4-3762-4e04-8033-2ee2423de9d8}" ma:taxonomyMulti="true" ma:sspId="31bb8de2-2522-46a2-961a-21ec87b7ce6b" ma:termSetId="fc0942ea-7101-4cef-983d-3f0c29343c77" ma:anchorId="9a84bd8f-7ea1-4b49-af83-e1dff044a912" ma:open="false" ma:isKeyword="false">
      <xsd:complexType>
        <xsd:sequence>
          <xsd:element ref="pc:Terms" minOccurs="0" maxOccurs="1"/>
        </xsd:sequence>
      </xsd:complexType>
    </xsd:element>
    <xsd:element name="p866212cea484a06bc999f7bb36c5e20" ma:index="63" nillable="true" ma:taxonomy="true" ma:internalName="p866212cea484a06bc999f7bb36c5e20" ma:taxonomyFieldName="Miscellaneoud_x0020_Terms" ma:displayName="Miscellaneous Terms" ma:default="" ma:fieldId="{9866212c-ea48-4a06-bc99-9f7bb36c5e20}" ma:taxonomyMulti="true" ma:sspId="31bb8de2-2522-46a2-961a-21ec87b7ce6b" ma:termSetId="fc0942ea-7101-4cef-983d-3f0c29343c77" ma:anchorId="54a1997e-7057-4841-9f7a-089c4d2738e1" ma:open="false" ma:isKeyword="false">
      <xsd:complexType>
        <xsd:sequence>
          <xsd:element ref="pc:Terms" minOccurs="0" maxOccurs="1"/>
        </xsd:sequence>
      </xsd:complexType>
    </xsd:element>
    <xsd:element name="p9d35d47f93d40ab99282662ef2417ca" ma:index="65" nillable="true" ma:taxonomy="true" ma:internalName="p9d35d47f93d40ab99282662ef2417ca" ma:taxonomyFieldName="NFI_x0020_Guidance1" ma:displayName="NFI Guidance" ma:default="" ma:fieldId="{99d35d47-f93d-40ab-9928-2662ef2417ca}" ma:taxonomyMulti="true" ma:sspId="31bb8de2-2522-46a2-961a-21ec87b7ce6b" ma:termSetId="fc0942ea-7101-4cef-983d-3f0c29343c77" ma:anchorId="e2765451-e2db-4bc1-bb0f-bd12364b4471" ma:open="false" ma:isKeyword="false">
      <xsd:complexType>
        <xsd:sequence>
          <xsd:element ref="pc:Terms" minOccurs="0" maxOccurs="1"/>
        </xsd:sequence>
      </xsd:complexType>
    </xsd:element>
    <xsd:element name="TaxCatchAllLabel" ma:index="67" nillable="true" ma:displayName="Taxonomy Catch All Column1" ma:description="" ma:hidden="true" ma:list="{3a036ed0-d222-47b6-8583-8ea0c1662976}" ma:internalName="TaxCatchAllLabel" ma:readOnly="true" ma:showField="CatchAllDataLabel"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ff39aabcbcfa4b29888983c5e6d736f9" ma:index="69" nillable="true" ma:taxonomy="true" ma:internalName="ff39aabcbcfa4b29888983c5e6d736f9" ma:taxonomyFieldName="Communications" ma:displayName="Communications" ma:readOnly="false" ma:default="" ma:fieldId="{ff39aabc-bcfa-4b29-8889-83c5e6d736f9}" ma:sspId="31bb8de2-2522-46a2-961a-21ec87b7ce6b" ma:termSetId="2f8f2b4b-d4e1-4fa6-a1ae-b4e143ba8fb0" ma:anchorId="00000000-0000-0000-0000-000000000000" ma:open="true" ma:isKeyword="false">
      <xsd:complexType>
        <xsd:sequence>
          <xsd:element ref="pc:Terms" minOccurs="0" maxOccurs="1"/>
        </xsd:sequence>
      </xsd:complexType>
    </xsd:element>
    <xsd:element name="e6f2ccbddc7344129cbcce7800e6bf7e" ma:index="72" nillable="true" ma:taxonomy="true" ma:internalName="e6f2ccbddc7344129cbcce7800e6bf7e" ma:taxonomyFieldName="Document_x0020_Category" ma:displayName="Document Category" ma:default="" ma:fieldId="{e6f2ccbd-dc73-4412-9cbc-ce7800e6bf7e}" ma:taxonomyMulti="true" ma:sspId="31bb8de2-2522-46a2-961a-21ec87b7ce6b" ma:termSetId="fc0942ea-7101-4cef-983d-3f0c29343c77" ma:anchorId="2f0acb8a-9894-40ab-bdeb-14b10062243e" ma:open="false" ma:isKeyword="false">
      <xsd:complexType>
        <xsd:sequence>
          <xsd:element ref="pc:Terms" minOccurs="0" maxOccurs="1"/>
        </xsd:sequence>
      </xsd:complexType>
    </xsd:element>
    <xsd:element name="g2834a0a4b5b445382f80b4d1c20b873" ma:index="74" nillable="true" ma:taxonomy="true" ma:internalName="g2834a0a4b5b445382f80b4d1c20b873" ma:taxonomyFieldName="Responses_x0020_sites" ma:displayName="Response site" ma:default="" ma:fieldId="{02834a0a-4b5b-4453-82f8-0b4d1c20b873}" ma:sspId="31bb8de2-2522-46a2-961a-21ec87b7ce6b" ma:termSetId="c88c7c60-b560-48ad-baaa-30f828e92016" ma:anchorId="00000000-0000-0000-0000-000000000000" ma:open="false" ma:isKeyword="false">
      <xsd:complexType>
        <xsd:sequence>
          <xsd:element ref="pc:Terms" minOccurs="0" maxOccurs="1"/>
        </xsd:sequence>
      </xsd:complexType>
    </xsd:element>
    <xsd:element name="ied6aaf0461f439496f935d3461379e0" ma:index="75" nillable="true" ma:taxonomy="true" ma:internalName="ied6aaf0461f439496f935d3461379e0" ma:taxonomyFieldName="Shelter_x0020_Planning1" ma:displayName="Shelter Planning" ma:default="" ma:fieldId="{2ed6aaf0-461f-4394-96f9-35d3461379e0}" ma:taxonomyMulti="true" ma:sspId="31bb8de2-2522-46a2-961a-21ec87b7ce6b" ma:termSetId="fc0942ea-7101-4cef-983d-3f0c29343c77" ma:anchorId="a9c87c9d-9d88-4522-b16d-9a64592835e3"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760211-3e43-4ff7-a9ea-22e8b7d99117" elementFormDefault="qualified">
    <xsd:import namespace="http://schemas.microsoft.com/office/2006/documentManagement/types"/>
    <xsd:import namespace="http://schemas.microsoft.com/office/infopath/2007/PartnerControls"/>
    <xsd:element name="Is_x0020_Key_x0020_Document1" ma:index="5" nillable="true" ma:displayName="Is Key Document?" ma:default="0" ma:internalName="Is_x0020_Key_x0020_Document1">
      <xsd:simpleType>
        <xsd:restriction base="dms:Boolean"/>
      </xsd:simpleType>
    </xsd:element>
    <xsd:element name="CountryTaxHTField0" ma:index="48" nillable="true" ma:taxonomy="true" ma:internalName="CountryTaxHTField0" ma:taxonomyFieldName="Country" ma:displayName="Country" ma:default="" ma:fieldId="{942e2469-e9bf-41fa-8fad-a32765061e66}" ma:sspId="31bb8de2-2522-46a2-961a-21ec87b7ce6b" ma:termSetId="ad519c2a-14d0-4119-8cdc-b9a52bc5b307" ma:anchorId="00000000-0000-0000-0000-000000000000" ma:open="false" ma:isKeyword="false">
      <xsd:complexType>
        <xsd:sequence>
          <xsd:element ref="pc:Terms" minOccurs="0" maxOccurs="1"/>
        </xsd:sequence>
      </xsd:complexType>
    </xsd:element>
    <xsd:element name="Event_x0020_TypeTaxHTField0" ma:index="52" nillable="true" ma:taxonomy="true" ma:internalName="Event_x0020_TypeTaxHTField0" ma:taxonomyFieldName="Event_x0020_Type" ma:displayName="Event Type" ma:readOnly="false" ma:default="" ma:fieldId="{d2819105-16ee-476a-a49b-7913380fbc9d}" ma:taxonomyMulti="true" ma:sspId="31bb8de2-2522-46a2-961a-21ec87b7ce6b" ma:termSetId="0eaafbb5-4d8c-4c82-bb5b-501da8d14740" ma:anchorId="00000000-0000-0000-0000-000000000000" ma:open="false" ma:isKeyword="false">
      <xsd:complexType>
        <xsd:sequence>
          <xsd:element ref="pc:Terms" minOccurs="0" maxOccurs="1"/>
        </xsd:sequence>
      </xsd:complexType>
    </xsd:element>
    <xsd:element name="Degree_x0020_Of_x0020_DisplacementTaxHTField0" ma:index="54" nillable="true" ma:taxonomy="true" ma:internalName="Degree_x0020_Of_x0020_DisplacementTaxHTField0" ma:taxonomyFieldName="Degree_x0020_Of_x0020_Displacement" ma:displayName="Degree Of Displacement" ma:default="" ma:fieldId="{8d36c8ee-9bdf-45f8-b12b-68c9c2a5dddc}" ma:sspId="31bb8de2-2522-46a2-961a-21ec87b7ce6b" ma:termSetId="0ecb1a3f-12f4-47b9-a783-88f4976f6dc3" ma:anchorId="00000000-0000-0000-0000-000000000000" ma:open="false" ma:isKeyword="false">
      <xsd:complexType>
        <xsd:sequence>
          <xsd:element ref="pc:Terms" minOccurs="0" maxOccurs="1"/>
        </xsd:sequence>
      </xsd:complexType>
    </xsd:element>
    <xsd:element name="Site_x0020_TypeTaxHTField0" ma:index="60" nillable="true" ma:taxonomy="true" ma:internalName="Site_x0020_TypeTaxHTField0" ma:taxonomyFieldName="Site_x0020_Type" ma:displayName="Site Type" ma:default="" ma:fieldId="{ccd48824-457c-44cf-ba2d-889d91075ddc}" ma:sspId="31bb8de2-2522-46a2-961a-21ec87b7ce6b" ma:termSetId="e2abc14b-db18-48c1-8087-07344f87300c" ma:anchorId="00000000-0000-0000-0000-000000000000" ma:open="false" ma:isKeyword="false">
      <xsd:complexType>
        <xsd:sequence>
          <xsd:element ref="pc:Terms" minOccurs="0" maxOccurs="1"/>
        </xsd:sequence>
      </xsd:complexType>
    </xsd:element>
    <xsd:element name="RegionTaxHTField0" ma:index="68" nillable="true" ma:taxonomy="true" ma:internalName="RegionTaxHTField0" ma:taxonomyFieldName="Region" ma:displayName="Region" ma:default="" ma:fieldId="{af22edad-9239-4d75-8f67-d09707ae69d6}" ma:sspId="31bb8de2-2522-46a2-961a-21ec87b7ce6b" ma:termSetId="71828aff-fb7f-4f7b-be9f-2eb2e6e3d7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0da107-b4b9-4416-82f0-a17ea7b4313c" elementFormDefault="qualified">
    <xsd:import namespace="http://schemas.microsoft.com/office/2006/documentManagement/types"/>
    <xsd:import namespace="http://schemas.microsoft.com/office/infopath/2007/PartnerControls"/>
    <xsd:element name="Current_x0020_Lead_x0020_AgencyTaxHTField0" ma:index="56" nillable="true" ma:taxonomy="true" ma:internalName="Current_x0020_Lead_x0020_AgencyTaxHTField0" ma:taxonomyFieldName="Current_x0020_Lead_x0020_Agency" ma:displayName="Emergency Lead Agency" ma:default="" ma:fieldId="{2eba69d1-0ed3-4998-b497-06086d343192}" ma:sspId="31bb8de2-2522-46a2-961a-21ec87b7ce6b" ma:termSetId="4713f10a-82b4-4a3e-b646-90b814a0dee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82dea-fc32-4e1e-a3c6-c3136ef66f65" elementFormDefault="qualified">
    <xsd:import namespace="http://schemas.microsoft.com/office/2006/documentManagement/types"/>
    <xsd:import namespace="http://schemas.microsoft.com/office/infopath/2007/PartnerControls"/>
    <xsd:element name="Damage_x0020_LocationTaxHTField0" ma:index="58" nillable="true" ma:taxonomy="true" ma:internalName="Damage_x0020_LocationTaxHTField0" ma:taxonomyFieldName="Damage_x0020_Location" ma:displayName="Damage Location" ma:default="" ma:fieldId="{c46b9bb5-ec8d-4991-ac82-8192f2f89d75}" ma:taxonomyMulti="true" ma:sspId="31bb8de2-2522-46a2-961a-21ec87b7ce6b" ma:termSetId="a720a396-a0fa-4309-92b6-8330774ebe4f" ma:anchorId="00000000-0000-0000-0000-000000000000" ma:open="false" ma:isKeyword="false">
      <xsd:complexType>
        <xsd:sequence>
          <xsd:element ref="pc:Terms" minOccurs="0" maxOccurs="1"/>
        </xsd:sequence>
      </xsd:complexType>
    </xsd:element>
    <xsd:element name="Status_x0020_Of_x0020_SiteTaxHTField0" ma:index="61" nillable="true" ma:taxonomy="true" ma:internalName="Status_x0020_Of_x0020_SiteTaxHTField0" ma:taxonomyFieldName="Status_x0020_Of_x0020_Site" ma:displayName="Site Status" ma:default="" ma:fieldId="{3818a4dd-3292-4cd0-97d2-80aec5764792}" ma:sspId="31bb8de2-2522-46a2-961a-21ec87b7ce6b" ma:termSetId="6b025238-0067-4eb3-9e39-f0f2cf91778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3.xml>��< ? x m l   v e r s i o n = " 1 . 0 "   e n c o d i n g = " U T F - 1 6 " ? > < G e m i n i   x m l n s = " h t t p : / / g e m i n i / p i v o t c u s t o m i z a t i o n / 5 f 5 d e 4 0 9 - 0 4 1 f - 4 5 2 2 - 8 3 4 9 - 9 4 1 9 7 5 0 a a 7 e 6 " > < C u s t o m C o n t e n t > < ! [ C D A T A [ < ? x m l   v e r s i o n = " 1 . 0 "   e n c o d i n g = " u t f - 1 6 " ? > < S e t t i n g s > < V S l i c e r s > < i t e m > [ T a b l e _ C a m p L i s t ] . [ T O W N S H I P _ N A M E ] < / i t e m > < / V S l i c e r s > < C a l c u l a t e d F i e l d s > < i t e m > < k e y > [ M e a s u r e s ] . [ S u m   o f   H H ] < / k e y > < v a l u e > < D i s p l a y N a m e > S u m   o f   H H < / D i s p l a y N a m e > < I n t e r n a l O b j e c t N a m e > [ S u m   o f   H H ] < / I n t e r n a l O b j e c t N a m e > < C a l c T y p e > S u m < / C a l c T y p e > < F o r m u l a > S U M ( ' T a b l e _ C a m p L i s t ' [ H H ] ) < / F o r m u l a > < I m p l e m e n t a t i o n > M d x S c r i p t M e a s u r e < / I m p l e m e n t a t i o n > < C o l u m n > H H < / C o l u m n > < T a b l e > T a b l e _ C a m p L i s t < / T a b l e > < A s s o c i a t e d T a b l e > T a b l e _ C a m p L i s t < / A s s o c i a t e d T a b l e > < V i s i b l e > T r u e < / V i s i b l e > < / v a l u e > < / i t e m > < i t e m > < k e y > [ M e a s u r e s ] . [ S u m   o f   T o t a l ] < / k e y > < v a l u e > < D i s p l a y N a m e > S u m   o f   T o t a l < / D i s p l a y N a m e > < I n t e r n a l O b j e c t N a m e > [ S u m   o f   T o t a l ] < / I n t e r n a l O b j e c t N a m e > < C a l c T y p e > S u m < / C a l c T y p e > < F o r m u l a > S U M ( ' T a b l e _ C a m p L i s t ' [ T o t a l ] ) < / F o r m u l a > < I m p l e m e n t a t i o n > M d x S c r i p t M e a s u r e < / I m p l e m e n t a t i o n > < C o l u m n > T o t a l < / C o l u m n > < T a b l e > T a b l e _ C a m p L i s t < / T a b l e > < A s s o c i a t e d T a b l e > T a b l e _ C a m p L i s t < / A s s o c i a t e d T a b l e > < V i s i b l e > T r u e < / V i s i b l e > < / v a l u e > < / i t e m > < i t e m > < k e y > [ M e a s u r e s ] . [ S u m   o f   H H C o v e r e d ] < / k e y > < v a l u e > < D i s p l a y N a m e > S u m   o f   H H C o v e r e d < / D i s p l a y N a m e > < I n t e r n a l O b j e c t N a m e > [ S u m   o f   H H C o v e r e d ] < / I n t e r n a l O b j e c t N a m e > < C a l c T y p e > S u m < / C a l c T y p e > < F o r m u l a > S U M ( ' T a b l e _ S h e l t e r ' [ H H C o v e r e d ] ) < / F o r m u l a > < I m p l e m e n t a t i o n > M d x S c r i p t M e a s u r e < / I m p l e m e n t a t i o n > < C o l u m n > H H C o v e r e d < / C o l u m n > < T a b l e > T a b l e _ S h e l t e r < / T a b l e > < A s s o c i a t e d T a b l e > T a b l e _ S h e l t e r < / A s s o c i a t e d T a b l e > < V i s i b l e > T r u e < / V i s i b l e > < / v a l u e > < / i t e m > < / C a l c u l a t e d F i e l d s > < H S l i c e r s S h a p e > 0 ; 0 ; 0 ; 0 < / H S l i c e r s S h a p e > < V S l i c e r s S h a p e > 4 2 ; 2 4 ; 1 7 6 ; 3 4 0 < / V S l i c e r s S h a p e > < S l i c e r S h e e t N a m e > S h e e t 3 < / S l i c e r S h e e t N a m e > < S A H o s t H a s h > 1 2 5 7 6 0 3 3 7 9 < / S A H o s t H a s h > < G e m i n i F i e l d L i s t V i s i b l e > T r u e < / G e m i n i F i e l d L i s t V i s i b l e > < / S e t t i n g s > ] ] > < / C u s t o m C o n t e n t > < / G e m i n i > 
</file>

<file path=customXml/item14.xml>��< ? x m l   v e r s i o n = " 1 . 0 "   e n c o d i n g = " U T F - 1 6 " ? > < G e m i n i   x m l n s = " h t t p : / / g e m i n i / w o r k b o o k c u s t o m i z a t i o n / R e l a t i o n s h i p A u t o D e t e c t i o n E n a b l e d " > < C u s t o m C o n t e n t > < ! [ C D A T A [ T r u e ] ] > < / C u s t o m C o n t e n t > < / G e m i n i > 
</file>

<file path=customXml/item15.xml>��< ? x m l   v e r s i o n = " 1 . 0 "   e n c o d i n g = " U T F - 1 6 " ? > < G e m i n i   x m l n s = " h t t p : / / g e m i n i / p i v o t c u s t o m i z a t i o n / T a b l e C o u n t I n S a n d b o x " > < C u s t o m C o n t e n t > < ! [ C D A T A [ 2 ] ] > < / C u s t o m C o n t e n t > < / G e m i n i > 
</file>

<file path=customXml/item16.xml>��< ? x m l   v e r s i o n = " 1 . 0 "   e n c o d i n g = " U T F - 1 6 " ? > < G e m i n i   x m l n s = " h t t p : / / g e m i n i / p i v o t c u s t o m i z a t i o n / C l i e n t W i n d o w X M L " > < C u s t o m C o n t e n t > < ! [ C D A T A [ T a b l e _ C a m p L i s t ] ] > < / C u s t o m C o n t e n t > < / G e m i n i > 
</file>

<file path=customXml/item2.xml>��< ? x m l   v e r s i o n = " 1 . 0 "   e n c o d i n g = " U T F - 1 6 " ? > < G e m i n i   x m l n s = " h t t p : / / g e m i n i / p i v o t c u s t o m i z a t i o n / e c e b 5 6 3 3 - f 4 7 3 - 4 2 0 0 - 9 8 3 4 - 7 2 6 f 2 d d 5 3 9 2 7 " > < C u s t o m C o n t e n t > < ! [ C D A T A [ < ? x m l   v e r s i o n = " 1 . 0 "   e n c o d i n g = " u t f - 1 6 " ? > < S e t t i n g s > < H S l i c e r s S h a p e > 0 ; 0 ; 0 ; 0 < / H S l i c e r s S h a p e > < V S l i c e r s S h a p e > 0 ; 0 ; 0 ; 0 < / V S l i c e r s S h a p e > < S l i c e r S h e e t N a m e > S h e e t 4 < / S l i c e r S h e e t N a m e > < S A H o s t H a s h > 2 1 2 8 7 8 3 6 2 9 < / S A H o s t H a s h > < G e m i n i F i e l d L i s t V i s i b l e > T r u e < / G e m i n i F i e l d L i s t V i s i b l e > < / S e t t i n g s > ] ] > < / C u s t o m C o n t e n t > < / G e m i n i > 
</file>

<file path=customXml/item3.xml>��< ? x m l   v e r s i o n = " 1 . 0 "   e n c o d i n g = " U T F - 1 6 " ? > < G e m i n i   x m l n s = " h t t p : / / g e m i n i / p i v o t c u s t o m i z a t i o n / T a b l e X M L _ T a b l e _ S h e l t e r " > < C u s t o m C o n t e n t > < ! [ C D A T A [ < T a b l e W i d g e t G r i d S e r i a l i z a t i o n   x m l n s : x s i = " h t t p : / / w w w . w 3 . o r g / 2 0 0 1 / X M L S c h e m a - i n s t a n c e "   x m l n s : x s d = " h t t p : / / w w w . w 3 . o r g / 2 0 0 1 / X M L S c h e m a " > < C o l u m n S u g g e s t e d T y p e > < i t e m > < k e y > < s t r i n g > D a t e U p d a t e d < / s t r i n g > < / k e y > < v a l u e > < s t r i n g > D a t e < / 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 B i g I n t < / 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i t e m > < k e y > < s t r i n g > P c o d e < / s t r i n g > < / k e y > < v a l u e > < s t r i n g > W C h a r < / s t r i n g > < / v a l u e > < / i t e m > < i t e m > < k e y > < s t r i n g > S t a t u s < / s t r i n g > < / k e y > < v a l u e > < s t r i n g > W C h a r < / s t r i n g > < / v a l u e > < / i t e m > < / C o l u m n S u g g e s t e d T y p e > < C o l u m n F o r m a t > < i t e m > < k e y > < s t r i n g > D a t e U p d a t e d < / s t r i n g > < / k e y > < v a l u e > < s t r i n g > D a t e S h o r t D a t e P a t t e r n < / 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 G e n e r a l < / 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 P c o d e < / s t r i n g > < / k e y > < v a l u e > < s t r i n g > T e x t < / s t r i n g > < / v a l u e > < / i t e m > < i t e m > < k e y > < s t r i n g > S t a t u s < / s t r i n g > < / k e y > < v a l u e > < s t r i n g > T e x t < / s t r i n g > < / v a l u e > < / i t e m > < i t e m > < k e y > < s t r i n g > A d d   C o l u m n < / s t r i n g > < / k e y > < v a l u e > < s t r i n g > T e x t < / s t r i n g > < / v a l u e > < / i t e m > < i t e m > < k e y > < s t r i n g > C o v e r a g e < / s t r i n g > < / k e y > < v a l u e > < s t r i n g > G e n e r a l < / 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 P c o d e < / s t r i n g > < / k e y > < v a l u e > < s t r i n g > $ < / s t r i n g > < / v a l u e > < / i t e m > < i t e m > < k e y > < s t r i n g > S t a t u s < / s t r i n g > < / k e y > < v a l u e > < s t r i n g > $ < / s t r i n g > < / v a l u e > < / i t e m > < i t e m > < k e y > < s t r i n g > A d d   C o l u m n < / s t r i n g > < / k e y > < v a l u e > < s t r i n g > $ < / s t r i n g > < / v a l u e > < / i t e m > < i t e m > < k e y > < s t r i n g > C o v e r a g e < / 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 P c o d e < / s t r i n g > < / k e y > < v a l u e > < i n t > 7 3 < / i n t > < / v a l u e > < / i t e m > < i t e m > < k e y > < s t r i n g > S t a t u s < / s t r i n g > < / k e y > < v a l u e > < i n t > 7 3 < / i n t > < / v a l u e > < / i t e m > < i t e m > < k e y > < s t r i n g > A d d   C o l u m n < / s t r i n g > < / k e y > < v a l u e > < i n t > 1 1 3 < / i n t > < / v a l u e > < / i t e m > < i t e m > < k e y > < s t r i n g > C o v e r a g e < / s t r i n g > < / k e y > < v a l u e > < i n t > 9 1 < / 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 P c o d e < / s t r i n g > < / k e y > < v a l u e > < i n t > 1 6 < / i n t > < / v a l u e > < / i t e m > < i t e m > < k e y > < s t r i n g > S t a t u s < / s t r i n g > < / k e y > < v a l u e > < i n t > 1 7 < / i n t > < / v a l u e > < / i t e m > < i t e m > < k e y > < s t r i n g > A d d   C o l u m n < / s t r i n g > < / k e y > < v a l u e > < i n t > 1 9 < / i n t > < / v a l u e > < / i t e m > < i t e m > < k e y > < s t r i n g > C o v e r a g e < / s t r i n g > < / k e y > < v a l u e > < i n t > 1 8 < / i n t > < / v a l u e > < / i t e m > < / C o l u m n D i s p l a y I n d e x > < C o l u m n F r o z e n   / > < C o l u m n H i d d e n   / > < C o l u m n C h e c k e d   / > < C o l u m n F i l t e r   / > < S e l e c t i o n F i l t e r   / > < F i l t e r P a r a m e t e r s   / > < I s S o r t D e s c e n d i n g > f a l s e < / I s S o r t D e s c e n d i n g > < / T a b l e W i d g e t G r i d S e r i a l i z a t i o n > ] ] > < / C u s t o m C o n t e n t > < / G e m i n i > 
</file>

<file path=customXml/item4.xml><?xml version="1.0" encoding="utf-8"?>
<p:properties xmlns:p="http://schemas.microsoft.com/office/2006/metadata/properties" xmlns:xsi="http://www.w3.org/2001/XMLSchema-instance" xmlns:pc="http://schemas.microsoft.com/office/infopath/2007/PartnerControls">
  <documentManagement>
    <mff2b4bb9c8044d88061963b2a68513a xmlns="96664bca-06c0-4657-b6f9-0a997f5ff9b9">
      <Terms xmlns="http://schemas.microsoft.com/office/infopath/2007/PartnerControls"/>
    </mff2b4bb9c8044d88061963b2a68513a>
    <Inter_x0020_Cluster xmlns="96664bca-06c0-4657-b6f9-0a997f5ff9b9">false</Inter_x0020_Cluster>
    <e7570bd437624e0480332ee2423de9d8 xmlns="96664bca-06c0-4657-b6f9-0a997f5ff9b9">
      <Terms xmlns="http://schemas.microsoft.com/office/infopath/2007/PartnerControls"/>
    </e7570bd437624e0480332ee2423de9d8>
    <Cross_x0020_Cutting xmlns="96664bca-06c0-4657-b6f9-0a997f5ff9b9">false</Cross_x0020_Cutting>
    <Is_x0020_Key_x0020_Document1 xmlns="c2760211-3e43-4ff7-a9ea-22e8b7d99117">false</Is_x0020_Key_x0020_Document1>
    <p4235251fcc1450fb6d384a4ad55daef xmlns="96664bca-06c0-4657-b6f9-0a997f5ff9b9">
      <Terms xmlns="http://schemas.microsoft.com/office/infopath/2007/PartnerControls"/>
    </p4235251fcc1450fb6d384a4ad55daef>
    <Site_x0020_TypeTaxHTField0 xmlns="c2760211-3e43-4ff7-a9ea-22e8b7d99117">
      <Terms xmlns="http://schemas.microsoft.com/office/infopath/2007/PartnerControls">
        <TermInfo xmlns="http://schemas.microsoft.com/office/infopath/2007/PartnerControls">
          <TermName xmlns="http://schemas.microsoft.com/office/infopath/2007/PartnerControls">Response</TermName>
          <TermId xmlns="http://schemas.microsoft.com/office/infopath/2007/PartnerControls">6bd9b9ba-7d2f-42c0-b763-fbe6e7a871e1</TermId>
        </TermInfo>
      </Terms>
    </Site_x0020_TypeTaxHTField0>
    <g7e01d2410934a95afa409e0dbebe315 xmlns="96664bca-06c0-4657-b6f9-0a997f5ff9b9">
      <Terms xmlns="http://schemas.microsoft.com/office/infopath/2007/PartnerControls"/>
    </g7e01d2410934a95afa409e0dbebe315>
    <hd9d801fa33a4aa2b8220e3e5f4d4756 xmlns="96664bca-06c0-4657-b6f9-0a997f5ff9b9">
      <Terms xmlns="http://schemas.microsoft.com/office/infopath/2007/PartnerControls"/>
    </hd9d801fa33a4aa2b8220e3e5f4d4756>
    <Event_x0020_Month xmlns="96664bca-06c0-4657-b6f9-0a997f5ff9b9" xsi:nil="true"/>
    <CountryTaxHTField0 xmlns="c2760211-3e43-4ff7-a9ea-22e8b7d99117">
      <Terms xmlns="http://schemas.microsoft.com/office/infopath/2007/PartnerControls">
        <TermInfo xmlns="http://schemas.microsoft.com/office/infopath/2007/PartnerControls">
          <TermName xmlns="http://schemas.microsoft.com/office/infopath/2007/PartnerControls">Myanmar</TermName>
          <TermId xmlns="http://schemas.microsoft.com/office/infopath/2007/PartnerControls">86a1e153-9152-446e-a92e-ce9a65bf8441</TermId>
        </TermInfo>
      </Terms>
    </CountryTaxHTField0>
    <Shelter_x0020_Technical xmlns="96664bca-06c0-4657-b6f9-0a997f5ff9b9">false</Shelter_x0020_Technical>
    <Degree_x0020_Of_x0020_DisplacementTaxHTField0 xmlns="c2760211-3e43-4ff7-a9ea-22e8b7d99117">
      <Terms xmlns="http://schemas.microsoft.com/office/infopath/2007/PartnerControls"/>
    </Degree_x0020_Of_x0020_DisplacementTaxHTField0>
    <Is_x0020_Cluster_x0020_Management_x003f_ xmlns="96664bca-06c0-4657-b6f9-0a997f5ff9b9">false</Is_x0020_Cluster_x0020_Management_x003f_>
    <IM xmlns="96664bca-06c0-4657-b6f9-0a997f5ff9b9">false</IM>
    <Event_x0020_Day xmlns="96664bca-06c0-4657-b6f9-0a997f5ff9b9" xsi:nil="true"/>
    <TaxKeywordTaxHTField xmlns="96664bca-06c0-4657-b6f9-0a997f5ff9b9">
      <Terms xmlns="http://schemas.microsoft.com/office/infopath/2007/PartnerControls">
        <TermInfo xmlns="http://schemas.microsoft.com/office/infopath/2007/PartnerControls">
          <TermName xmlns="http://schemas.microsoft.com/office/infopath/2007/PartnerControls">Rakhine</TermName>
          <TermId xmlns="http://schemas.microsoft.com/office/infopath/2007/PartnerControls">aba927d5-4b8e-4f06-a69d-d4b1ddd04fad</TermId>
        </TermInfo>
        <TermInfo xmlns="http://schemas.microsoft.com/office/infopath/2007/PartnerControls">
          <TermName xmlns="http://schemas.microsoft.com/office/infopath/2007/PartnerControls">Data</TermName>
          <TermId xmlns="http://schemas.microsoft.com/office/infopath/2007/PartnerControls">3cac3b3d-128f-440f-bbfc-f4c8fc9eb8da</TermId>
        </TermInfo>
      </Terms>
    </TaxKeywordTaxHTField>
    <ied6aaf0461f439496f935d3461379e0 xmlns="96664bca-06c0-4657-b6f9-0a997f5ff9b9">
      <Terms xmlns="http://schemas.microsoft.com/office/infopath/2007/PartnerControls"/>
    </ied6aaf0461f439496f935d3461379e0>
    <Is_x0020_Reference_x0020_Doc xmlns="96664bca-06c0-4657-b6f9-0a997f5ff9b9">false</Is_x0020_Reference_x0020_Doc>
    <Event_x0020_Year xmlns="96664bca-06c0-4657-b6f9-0a997f5ff9b9" xsi:nil="true"/>
    <A_x002c_M_x0020_and_x0020_E xmlns="96664bca-06c0-4657-b6f9-0a997f5ff9b9">false</A_x002c_M_x0020_and_x0020_E>
    <Event_x0020_TypeTaxHTField0 xmlns="c2760211-3e43-4ff7-a9ea-22e8b7d99117">
      <Terms xmlns="http://schemas.microsoft.com/office/infopath/2007/PartnerControls">
        <TermInfo xmlns="http://schemas.microsoft.com/office/infopath/2007/PartnerControls">
          <TermName xmlns="http://schemas.microsoft.com/office/infopath/2007/PartnerControls">Conflict</TermName>
          <TermId xmlns="http://schemas.microsoft.com/office/infopath/2007/PartnerControls">cd1719c2-e0d5-486c-9a70-d3abb04d6e72</TermId>
        </TermInfo>
      </Terms>
    </Event_x0020_TypeTaxHTField0>
    <ff39aabcbcfa4b29888983c5e6d736f9 xmlns="96664bca-06c0-4657-b6f9-0a997f5ff9b9">
      <Terms xmlns="http://schemas.microsoft.com/office/infopath/2007/PartnerControls"/>
    </ff39aabcbcfa4b29888983c5e6d736f9>
    <e6f2ccbddc7344129cbcce7800e6bf7e xmlns="96664bca-06c0-4657-b6f9-0a997f5ff9b9">
      <Terms xmlns="http://schemas.microsoft.com/office/infopath/2007/PartnerControls"/>
    </e6f2ccbddc7344129cbcce7800e6bf7e>
    <g2834a0a4b5b445382f80b4d1c20b873 xmlns="96664bca-06c0-4657-b6f9-0a997f5ff9b9">
      <Terms xmlns="http://schemas.microsoft.com/office/infopath/2007/PartnerControls">
        <TermInfo xmlns="http://schemas.microsoft.com/office/infopath/2007/PartnerControls">
          <TermName xmlns="http://schemas.microsoft.com/office/infopath/2007/PartnerControls">Rakhine and Kashin 2012</TermName>
          <TermId xmlns="http://schemas.microsoft.com/office/infopath/2007/PartnerControls">c0b34e0a-b063-4cc5-b8dc-b60231c0bca5</TermId>
        </TermInfo>
      </Terms>
    </g2834a0a4b5b445382f80b4d1c20b873>
    <Document_x0020_Description xmlns="96664bca-06c0-4657-b6f9-0a997f5ff9b9">&lt;div class="ExternalClass08B51B53CF5E4F1981F726D4DBA9D215"&gt;&lt;p&gt;​Shelter-NFI-CCCM Rakhine Cluster Analysis Report, 1st June 2014&lt;/p&gt;&lt;/div&gt;</Document_x0020_Description>
    <Websio_x0020_Document_x0020_Preview xmlns="96664bca-06c0-4657-b6f9-0a997f5ff9b9" xsi:nil="true"/>
    <b1a5a839b88a4a15abdc90cae864525c xmlns="96664bca-06c0-4657-b6f9-0a997f5ff9b9">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53eb1c9d-8416-419a-9260-1df8e70b86c2</TermId>
        </TermInfo>
      </Terms>
    </b1a5a839b88a4a15abdc90cae864525c>
    <p866212cea484a06bc999f7bb36c5e20 xmlns="96664bca-06c0-4657-b6f9-0a997f5ff9b9">
      <Terms xmlns="http://schemas.microsoft.com/office/infopath/2007/PartnerControls"/>
    </p866212cea484a06bc999f7bb36c5e20>
    <RoutingRuleDescription xmlns="http://schemas.microsoft.com/sharepoint/v3" xsi:nil="true"/>
    <Publishing_x0020_Agency1 xmlns="96664bca-06c0-4657-b6f9-0a997f5ff9b9" xsi:nil="true"/>
    <fbbb2add3bda4432ae4dea6625736703 xmlns="96664bca-06c0-4657-b6f9-0a997f5ff9b9">
      <Terms xmlns="http://schemas.microsoft.com/office/infopath/2007/PartnerControls"/>
    </fbbb2add3bda4432ae4dea6625736703>
    <TaxCatchAll xmlns="96664bca-06c0-4657-b6f9-0a997f5ff9b9">
      <Value>411</Value>
      <Value>15</Value>
      <Value>363</Value>
      <Value>11</Value>
      <Value>383</Value>
      <Value>312</Value>
      <Value>149</Value>
      <Value>5</Value>
      <Value>115</Value>
      <Value>184</Value>
    </TaxCatchAll>
    <Shelter_x0020_Programming xmlns="96664bca-06c0-4657-b6f9-0a997f5ff9b9">false</Shelter_x0020_Programming>
    <Status_x0020_Of_x0020_SiteTaxHTField0 xmlns="44d82dea-fc32-4e1e-a3c6-c3136ef66f65">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319c008f-4e4c-46bc-95eb-65641b9bd58c</TermId>
        </TermInfo>
      </Terms>
    </Status_x0020_Of_x0020_SiteTaxHTField0>
    <Shelter_x0020_Planning xmlns="96664bca-06c0-4657-b6f9-0a997f5ff9b9">false</Shelter_x0020_Planning>
    <Media_x0020_Comms xmlns="96664bca-06c0-4657-b6f9-0a997f5ff9b9">false</Media_x0020_Comms>
    <a83348d14d814196bcaad6bde9cb9d0c xmlns="96664bca-06c0-4657-b6f9-0a997f5ff9b9">
      <Terms xmlns="http://schemas.microsoft.com/office/infopath/2007/PartnerControls"/>
    </a83348d14d814196bcaad6bde9cb9d0c>
    <RegionTaxHTField0 xmlns="c2760211-3e43-4ff7-a9ea-22e8b7d99117">
      <Terms xmlns="http://schemas.microsoft.com/office/infopath/2007/PartnerControls">
        <TermInfo xmlns="http://schemas.microsoft.com/office/infopath/2007/PartnerControls">
          <TermName xmlns="http://schemas.microsoft.com/office/infopath/2007/PartnerControls">Asia/Pacific</TermName>
          <TermId xmlns="http://schemas.microsoft.com/office/infopath/2007/PartnerControls">006cb068-6581-4ba7-b0e0-a9a495bc13fa</TermId>
        </TermInfo>
      </Terms>
    </RegionTaxHTField0>
    <Damage_x0020_LocationTaxHTField0 xmlns="44d82dea-fc32-4e1e-a3c6-c3136ef66f65">
      <Terms xmlns="http://schemas.microsoft.com/office/infopath/2007/PartnerControls"/>
    </Damage_x0020_LocationTaxHTField0>
    <NFI_x0020_Guidance xmlns="96664bca-06c0-4657-b6f9-0a997f5ff9b9">false</NFI_x0020_Guidance>
    <p9d35d47f93d40ab99282662ef2417ca xmlns="96664bca-06c0-4657-b6f9-0a997f5ff9b9">
      <Terms xmlns="http://schemas.microsoft.com/office/infopath/2007/PartnerControls"/>
    </p9d35d47f93d40ab99282662ef2417ca>
    <Report_x0020_Date xmlns="96664bca-06c0-4657-b6f9-0a997f5ff9b9">2014-06-01T00:00:00+00:00</Report_x0020_Date>
    <Current_x0020_Lead_x0020_AgencyTaxHTField0 xmlns="410da107-b4b9-4416-82f0-a17ea7b4313c">
      <Terms xmlns="http://schemas.microsoft.com/office/infopath/2007/PartnerControls">
        <TermInfo xmlns="http://schemas.microsoft.com/office/infopath/2007/PartnerControls">
          <TermName xmlns="http://schemas.microsoft.com/office/infopath/2007/PartnerControls">UNHCR</TermName>
          <TermId xmlns="http://schemas.microsoft.com/office/infopath/2007/PartnerControls">b7c1c785-20d3-4ead-b532-031cae1f6f80</TermId>
        </TermInfo>
      </Terms>
    </Current_x0020_Lead_x0020_AgencyTaxHTField0>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1 6 " ? > < G e m i n i   x m l n s = " h t t p : / / g e m i n i / p i v o t c u s t o m i z a t i o n / T a b l e X M L _ T a b l e _ C a m p L i s t " > < C u s t o m C o n t e n t > < ! [ C D A T A [ < T a b l e W i d g e t G r i d S e r i a l i z a t i o n   x m l n s : x s i = " h t t p : / / w w w . w 3 . o r g / 2 0 0 1 / X M L S c h e m a - i n s t a n c e "   x m l n s : x s d = " h t t p : / / w w w . w 3 . o r g / 2 0 0 1 / X M L S c h e m a " > < C o l u m n S u g g e s t e d T y p e   / > < C o l u m n F o r m a t > < i t e m > < k e y > < s t r i n g > A d d   C o l u m n < / s t r i n g > < / k e y > < v a l u e > < s t r i n g > T e x t < / s t r i n g > < / v a l u e > < / i t e m > < i t e m > < k e y > < s t r i n g > S t a t e < / s t r i n g > < / k e y > < v a l u e > < s t r i n g > T e x t < / s t r i n g > < / v a l u e > < / i t e m > < i t e m > < k e y > < s t r i n g > S t a t u s < / s t r i n g > < / k e y > < v a l u e > < s t r i n g > T e x t < / s t r i n g > < / v a l u e > < / i t e m > < i t e m > < k e y > < s t r i n g > S r   N o < / s t r i n g > < / k e y > < v a l u e > < s t r i n g > G e n e r a l < / s t r i n g > < / v a l u e > < / i t e m > < i t e m > < k e y > < s t r i n g > U p d a t e   D a t e < / s t r i n g > < / k e y > < v a l u e > < s t r i n g > D a t e S h o r t D a t e P a t t e r n < / s t r i n g > < / v a l u e > < / i t e m > < i t e m > < k e y > < s t r i n g > S t a t e _ P c o d e < / s t r i n g > < / k e y > < v a l u e > < s t r i n g > T e x t < / s t r i n g > < / v a l u e > < / i t e m > < i t e m > < k e y > < s t r i n g > D i s t r i c t < / s t r i n g > < / k e y > < v a l u e > < s t r i n g > T e x t < / s t r i n g > < / v a l u e > < / i t e m > < i t e m > < k e y > < s t r i n g > D i s t r i c t _ P c o d e < / s t r i n g > < / k e y > < v a l u e > < s t r i n g > T e x t < / s t r i n g > < / v a l u e > < / i t e m > < i t e m > < k e y > < s t r i n g > T O W N S H I P _ N A M E < / s t r i n g > < / k e y > < v a l u e > < s t r i n g > T e x t < / s t r i n g > < / v a l u e > < / i t e m > < i t e m > < k e y > < s t r i n g > T o w n s h i p _ P c o d e < / 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 G e n e r a l < / s t r i n g > < / v a l u e > < / i t e m > < i t e m > < k e y > < s t r i n g > T o t a l < / s t r i n g > < / k e y > < v a l u e > < s t r i n g > G e n e r a l < / 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 C o u n t < / s t r i n g > < / k e y > < v a l u e > < s t r i n g > G e n e r a l < / s t r i n g > < / v a l u e > < / i t e m > < i t e m > < k e y > < s t r i n g > S t a t u s 2 < / s t r i n g > < / k e y > < v a l u e > < s t r i n g > T e x t < / s t r i n g > < / v a l u e > < / i t e m > < / C o l u m n F o r m a t > < C o l u m n A c c u r a c y > < 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A c c u r a c y > < C o l u m n C u r r e n c y S y m b o l > < i t e m > < k e y > < s t r i n g > A d d   C o l u m n < / s t r i n g > < / k e y > < v a l u e > < s t r i n g > $ < / s t r i n g > < / v a l u e > < / i t e m > < i t e m > < k e y > < s t r i n g > S t a t e < / s t r i n g > < / k e y > < v a l u e > < s t r i n g > $ < / s t r i n g > < / v a l u e > < / i t e m > < i t e m > < k e y > < s t r i n g > S t a t u s < / s t r i n g > < / k e y > < v a l u e > < s t r i n g > $ < / s t r i n g > < / v a l u e > < / i t e m > < i t e m > < k e y > < s t r i n g > S r   N o < / s t r i n g > < / k e y > < v a l u e > < s t r i n g > $ < / s t r i n g > < / v a l u e > < / i t e m > < i t e m > < k e y > < s t r i n g > U p d a t e   D a t e < / s t r i n g > < / k e y > < v a l u e > < s t r i n g > $ < / s t r i n g > < / v a l u e > < / i t e m > < i t e m > < k e y > < s t r i n g > S t a t e _ P c o d e < / s t r i n g > < / k e y > < v a l u e > < s t r i n g > $ < / s t r i n g > < / v a l u e > < / i t e m > < i t e m > < k e y > < s t r i n g > D i s t r i c t < / s t r i n g > < / k e y > < v a l u e > < s t r i n g > $ < / s t r i n g > < / v a l u e > < / i t e m > < i t e m > < k e y > < s t r i n g > D i s t r i c t _ P c o d e < / s t r i n g > < / k e y > < v a l u e > < s t r i n g > $ < / s t r i n g > < / v a l u e > < / i t e m > < i t e m > < k e y > < s t r i n g > T O W N S H I P _ N A M E < / s t r i n g > < / k e y > < v a l u e > < s t r i n g > $ < / s t r i n g > < / v a l u e > < / i t e m > < i t e m > < k e y > < s t r i n g > T o w n s h i p _ P c o d e < / 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 C o u n t < / s t r i n g > < / k e y > < v a l u e > < s t r i n g > $ < / s t r i n g > < / v a l u e > < / i t e m > < i t e m > < k e y > < s t r i n g > S t a t u s 2 < / s t r i n g > < / k e y > < v a l u e > < s t r i n g > $ < / s t r i n g > < / v a l u e > < / i t e m > < / C o l u m n C u r r e n c y S y m b o l > < C o l u m n P o s i 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P o s i t i v e P a t t e r n > < C o l u m n N e g a 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N e g a t i v e P a t t e r n > < C o l u m n W i d t h s > < i t e m > < k e y > < s t r i n g > A d d   C o l u m n < / s t r i n g > < / k e y > < v a l u e > < i n t > 1 1 3 < / i n t > < / v a l u e > < / i t e m > < i t e m > < k e y > < s t r i n g > S t a t e < / s t r i n g > < / k e y > < v a l u e > < i n t > 6 5 < / i n t > < / v a l u e > < / i t e m > < i t e m > < k e y > < s t r i n g > S t a t u s < / s t r i n g > < / k e y > < v a l u e > < i n t > 7 1 < / i n t > < / v a l u e > < / i t e m > < i t e m > < k e y > < s t r i n g > S r   N o < / s t r i n g > < / k e y > < v a l u e > < i n t > 6 6 < / i n t > < / v a l u e > < / i t e m > < i t e m > < k e y > < s t r i n g > U p d a t e   D a t e < / s t r i n g > < / k e y > < v a l u e > < i n t > 1 1 0 < / i n t > < / v a l u e > < / i t e m > < i t e m > < k e y > < s t r i n g > S t a t e _ P c o d e < / s t r i n g > < / k e y > < v a l u e > < i n t > 1 1 0 < / i n t > < / v a l u e > < / i t e m > < i t e m > < k e y > < s t r i n g > D i s t r i c t < / s t r i n g > < / k e y > < v a l u e > < i n t > 7 7 < / i n t > < / v a l u e > < / i t e m > < i t e m > < k e y > < s t r i n g > D i s t r i c t _ P c o d e < / s t r i n g > < / k e y > < v a l u e > < i n t > 1 2 2 < / i n t > < / v a l u e > < / i t e m > < i t e m > < k e y > < s t r i n g > T O W N S H I P _ N A M E < / s t r i n g > < / k e y > < v a l u e > < i n t > 1 4 6 < / i n t > < / v a l u e > < / i t e m > < i t e m > < k e y > < s t r i n g > T o w n s h i p _ P c o d e < / s t r i n g > < / k e y > < v a l u e > < i n t > 1 3 7 < / i n t > < / v a l u e > < / i t e m > < i t e m > < k e y > < s t r i n g > V i l l a g e T r a c K T o w n _ N a m e < / s t r i n g > < / k e y > < v a l u e > < i n t > 1 8 5 < / i n t > < / v a l u e > < / i t e m > < i t e m > < k e y > < s t r i n g > V i l l a g e T r a c k T o w n _ P c o d e < / s t r i n g > < / k e y > < v a l u e > < i n t > 1 8 5 < / i n t > < / v a l u e > < / i t e m > < i t e m > < k e y > < s t r i n g > V i l l a g e W a r d _ N a m e < / s t r i n g > < / k e y > < v a l u e > < i n t > 1 5 2 < / i n t > < / v a l u e > < / i t e m > < i t e m > < k e y > < s t r i n g > V i l l a g e W a r d _ P c o d e < / s t r i n g > < / k e y > < v a l u e > < i n t > 1 5 3 < / i n t > < / v a l u e > < / i t e m > < i t e m > < k e y > < s t r i n g > C a m p   N a m e < / s t r i n g > < / k e y > < v a l u e > < i n t > 1 0 8 < / i n t > < / v a l u e > < / i t e m > < i t e m > < k e y > < s t r i n g > P _ C o d e < / s t r i n g > < / k e y > < v a l u e > < i n t > 8 0 < / i n t > < / v a l u e > < / i t e m > < i t e m > < k e y > < s t r i n g > A c c e s s i b i l i t y < / s t r i n g > < / k e y > < v a l u e > < i n t > 1 1 0 < / i n t > < / v a l u e > < / i t e m > < i t e m > < k e y > < s t r i n g > L o n g i t u d e < / s t r i n g > < / k e y > < v a l u e > < i n t > 9 5 < / i n t > < / v a l u e > < / i t e m > < i t e m > < k e y > < s t r i n g > L a t i t u d e < / s t r i n g > < / k e y > < v a l u e > < i n t > 8 3 < / i n t > < / v a l u e > < / i t e m > < i t e m > < k e y > < s t r i n g > H H < / s t r i n g > < / k e y > < v a l u e > < i n t > 5 1 < / i n t > < / v a l u e > < / i t e m > < i t e m > < k e y > < s t r i n g > T o t a l < / s t r i n g > < / k e y > < v a l u e > < i n t > 6 3 < / i n t > < / v a l u e > < / i t e m > < i t e m > < k e y > < s t r i n g > A v g < / s t r i n g > < / k e y > < v a l u e > < i n t > 5 6 < / i n t > < / v a l u e > < / i t e m > < i t e m > < k e y > < s t r i n g > S o u r c e < / s t r i n g > < / k e y > < v a l u e > < i n t > 7 5 < / i n t > < / v a l u e > < / i t e m > < i t e m > < k e y > < s t r i n g > M e t h o d < / s t r i n g > < / k e y > < v a l u e > < i n t > 8 2 < / i n t > < / v a l u e > < / i t e m > < i t e m > < k e y > < s t r i n g > T y p e   o f   A c c o m o d a t i o n < / s t r i n g > < / k e y > < v a l u e > < i n t > 1 6 9 < / i n t > < / v a l u e > < / i t e m > < i t e m > < k e y > < s t r i n g > C o m m e n t < / s t r i n g > < / k e y > < v a l u e > < i n t > 9 4 < / i n t > < / v a l u e > < / i t e m > < i t e m > < k e y > < s t r i n g > C o u n t < / s t r i n g > < / k e y > < v a l u e > < i n t > 7 0 < / i n t > < / v a l u e > < / i t e m > < i t e m > < k e y > < s t r i n g > S t a t u s 2 < / s t r i n g > < / k e y > < v a l u e > < i n t > 7 8 < / i n t > < / v a l u e > < / i t e m > < / C o l u m n W i d t h s > < C o l u m n D i s p l a y I n d e x > < i t e m > < k e y > < s t r i n g > A d d   C o l u m n < / s t r i n g > < / k e y > < v a l u e > < i n t > 2 7 < / i n t > < / v a l u e > < / i t e m > < i t e m > < k e y > < s t r i n g > S t a t e < / s t r i n g > < / k e y > < v a l u e > < i n t > 0 < / i n t > < / v a l u e > < / i t e m > < i t e m > < k e y > < s t r i n g > S t a t u s < / s t r i n g > < / k e y > < v a l u e > < i n t > 1 < / i n t > < / v a l u e > < / i t e m > < i t e m > < k e y > < s t r i n g > S r   N o < / s t r i n g > < / k e y > < v a l u e > < i n t > 2 < / i n t > < / v a l u e > < / i t e m > < i t e m > < k e y > < s t r i n g > U p d a t e   D a t e < / s t r i n g > < / k e y > < v a l u e > < i n t > 3 < / i n t > < / v a l u e > < / i t e m > < i t e m > < k e y > < s t r i n g > S t a t e _ P c o d e < / s t r i n g > < / k e y > < v a l u e > < i n t > 4 < / i n t > < / v a l u e > < / i t e m > < i t e m > < k e y > < s t r i n g > D i s t r i c t < / s t r i n g > < / k e y > < v a l u e > < i n t > 5 < / i n t > < / v a l u e > < / i t e m > < i t e m > < k e y > < s t r i n g > D i s t r i c t _ P c o d e < / s t r i n g > < / k e y > < v a l u e > < i n t > 6 < / i n t > < / v a l u e > < / i t e m > < i t e m > < k e y > < s t r i n g > T O W N S H I P _ N A M E < / s t r i n g > < / k e y > < v a l u e > < i n t > 7 < / i n t > < / v a l u e > < / i t e m > < i t e m > < k e y > < s t r i n g > T o w n s h i p _ P c o d e < / s t r i n g > < / k e y > < v a l u e > < i n t > 8 < / i n t > < / v a l u e > < / i t e m > < i t e m > < k e y > < s t r i n g > V i l l a g e T r a c K T o w n _ N a m e < / s t r i n g > < / k e y > < v a l u e > < i n t > 9 < / i n t > < / v a l u e > < / i t e m > < i t e m > < k e y > < s t r i n g > V i l l a g e T r a c k T o w n _ P c o d e < / s t r i n g > < / k e y > < v a l u e > < i n t > 1 0 < / i n t > < / v a l u e > < / i t e m > < i t e m > < k e y > < s t r i n g > V i l l a g e W a r d _ N a m e < / s t r i n g > < / k e y > < v a l u e > < i n t > 1 1 < / i n t > < / v a l u e > < / i t e m > < i t e m > < k e y > < s t r i n g > V i l l a g e W a r d _ P c o d e < / s t r i n g > < / k e y > < v a l u e > < i n t > 1 2 < / i n t > < / v a l u e > < / i t e m > < i t e m > < k e y > < s t r i n g > C a m p   N a m e < / s t r i n g > < / k e y > < v a l u e > < i n t > 1 3 < / i n t > < / v a l u e > < / i t e m > < i t e m > < k e y > < s t r i n g > P _ C o d e < / s t r i n g > < / k e y > < v a l u e > < i n t > 1 4 < / i n t > < / v a l u e > < / i t e m > < i t e m > < k e y > < s t r i n g > A c c e s s i b i l i t y < / s t r i n g > < / k e y > < v a l u e > < i n t > 1 5 < / i n t > < / v a l u e > < / i t e m > < i t e m > < k e y > < s t r i n g > L o n g i t u d e < / s t r i n g > < / k e y > < v a l u e > < i n t > 1 6 < / i n t > < / v a l u e > < / i t e m > < i t e m > < k e y > < s t r i n g > L a t i t u d e < / s t r i n g > < / k e y > < v a l u e > < i n t > 1 7 < / i n t > < / v a l u e > < / i t e m > < i t e m > < k e y > < s t r i n g > H H < / s t r i n g > < / k e y > < v a l u e > < i n t > 1 8 < / i n t > < / v a l u e > < / i t e m > < i t e m > < k e y > < s t r i n g > T o t a l < / s t r i n g > < / k e y > < v a l u e > < i n t > 1 9 < / i n t > < / v a l u e > < / i t e m > < i t e m > < k e y > < s t r i n g > A v g < / s t r i n g > < / k e y > < v a l u e > < i n t > 2 0 < / i n t > < / v a l u e > < / i t e m > < i t e m > < k e y > < s t r i n g > S o u r c e < / s t r i n g > < / k e y > < v a l u e > < i n t > 2 1 < / i n t > < / v a l u e > < / i t e m > < i t e m > < k e y > < s t r i n g > M e t h o d < / s t r i n g > < / k e y > < v a l u e > < i n t > 2 2 < / i n t > < / v a l u e > < / i t e m > < i t e m > < k e y > < s t r i n g > T y p e   o f   A c c o m o d a t i o n < / s t r i n g > < / k e y > < v a l u e > < i n t > 2 3 < / i n t > < / v a l u e > < / i t e m > < i t e m > < k e y > < s t r i n g > C o m m e n t < / s t r i n g > < / k e y > < v a l u e > < i n t > 2 4 < / i n t > < / v a l u e > < / i t e m > < i t e m > < k e y > < s t r i n g > C o u n t < / s t r i n g > < / k e y > < v a l u e > < i n t > 2 5 < / i n t > < / v a l u e > < / i t e m > < i t e m > < k e y > < s t r i n g > S t a t u s 2 < / s t r i n g > < / k e y > < v a l u e > < i n t > 2 6 < / i n t > < / v a l u e > < / i t e m > < / C o l u m n D i s p l a y I n d e x > < C o l u m n F r o z e n   / > < C o l u m n H i d d e n   / > < C o l u m n C h e c k e d   / > < C o l u m n F i l t e r   / > < S e l e c t i o n F i l t e r   / > < F i l t e r P a r a m e t e r s   / > < I s S o r t D e s c e n d i n g > f a l s e < / I s S o r t D e s c e n d i n g > < / T a b l e W i d g e t G r i d S e r i a l i z a t i o n > ] ] > < / C u s t o m C o n t e n t > < / G e m i n i > 
</file>

<file path=customXml/item7.xml>��< ? x m l   v e r s i o n = " 1 . 0 "   e n c o d i n g = " U T F - 1 6 " ? > < G e m i n i   x m l n s = " h t t p : / / g e m i n i / p i v o t c u s t o m i z a t i o n / L i n k e d T a b l e U p d a t e M o d e " > < C u s t o m C o n t e n t > < ! [ C D A T A [ T r u e ] ] > < / C u s t o m C o n t e n t > < / G e m i n i > 
</file>

<file path=customXml/item8.xml>��< ? x m l   v e r s i o n = " 1 . 0 "   e n c o d i n g = " U T F - 1 6 " ? > < G e m i n i   x m l n s = " h t t p : / / g e m i n i / w o r k b o o k c u s t o m i z a t i o n / S a n d b o x N o n E m p t y " > < C u s t o m C o n t e n t > < ! [ C D A T A [ 1 ] ] > < / C u s t o m C o n t e n t > < / G e m i n i > 
</file>

<file path=customXml/item9.xml>��< ? x m l   v e r s i o n = " 1 . 0 "   e n c o d i n g = " U T F - 1 6 " ? > < G e m i n i   x m l n s = " h t t p : / / g e m i n i / w o r k b o o k c u s t o m i z a t i o n / L i n k e d T a b l e s " > < C u s t o m C o n t e n t > < ! [ C D A T A [ < L i n k e d T a b l e s   x m l n s : x s i = " h t t p : / / w w w . w 3 . o r g / 2 0 0 1 / X M L S c h e m a - i n s t a n c e "   x m l n s : x s d = " h t t p : / / w w w . w 3 . o r g / 2 0 0 1 / X M L S c h e m a " > < L i n k e d T a b l e L i s t > < 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 D i s t r i c t < / E x c e l C o l u m n N a m e > < G e m i n i C o l u m n I d > D i s t r i c t < / G e m i n i C o l u m n I d > < / L i n k e d C o l u m n I n f o > < L i n k e d C o l u m n I n f o > < E x c e l C o l u m n N a m e > D i s t r i c t _ P c o d e < / E x c e l C o l u m n N a m e > < G e m i n i C o l u m n I d > D i s t r i c t _ P c o d e 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I n f o > < E x c e l C o l u m n N a m e > C o u n t < / E x c e l C o l u m n N a m e > < G e m i n i C o l u m n I d > C o u n t < / G e m i n i C o l u m n I d > < / L i n k e d C o l u m n I n f o > < L i n k e d C o l u m n I n f o > < E x c e l C o l u m n N a m e > S t a t u s 2 < / E x c e l C o l u m n N a m e > < G e m i n i C o l u m n I d > S t a t u s 2 < / G e m i n i C o l u m n I d > < / L i n k e d C o l u m n I n f o > < / L i n k e d C o l u m n L i s t > < U p d a t e N e e d e d > f a l s e < / U p d a t e N e e d e d > < R o w C o u n t > 1 0 5 < / R o w C o u n t > < / L i n k e d T a b l e I n f o > < 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I n f o > < E x c e l C o l u m n N a m e > P c o d e < / E x c e l C o l u m n N a m e > < G e m i n i C o l u m n I d > P c o d e < / G e m i n i C o l u m n I d > < / L i n k e d C o l u m n I n f o > < L i n k e d C o l u m n I n f o > < E x c e l C o l u m n N a m e > S t a t u s < / E x c e l C o l u m n N a m e > < G e m i n i C o l u m n I d > S t a t u s < / G e m i n i C o l u m n I d > < / L i n k e d C o l u m n I n f o > < L i n k e d C o l u m n I n f o > < E x c e l C o l u m n N a m e > C o v e r a g e < / E x c e l C o l u m n N a m e > < G e m i n i C o l u m n I d > C o v e r a g e < / G e m i n i C o l u m n I d > < / L i n k e d C o l u m n I n f o > < / L i n k e d C o l u m n L i s t > < U p d a t e N e e d e d > f a l s e < / U p d a t e N e e d e d > < R o w C o u n t > 9 1 < / R o w C o u n t > < / L i n k e d T a b l e I n f o > < / L i n k e d T a b l e L i s t > < / L i n k e d T a b l e s > ] ] > < / C u s t o m C o n t e n t > < / G e m i n i > 
</file>

<file path=customXml/itemProps1.xml><?xml version="1.0" encoding="utf-8"?>
<ds:datastoreItem xmlns:ds="http://schemas.openxmlformats.org/officeDocument/2006/customXml" ds:itemID="{819CC847-6285-46EC-91FB-7583C725B40F}">
  <ds:schemaRefs>
    <ds:schemaRef ds:uri="http://gemini/pivotcustomization/TableOrder"/>
  </ds:schemaRefs>
</ds:datastoreItem>
</file>

<file path=customXml/itemProps10.xml><?xml version="1.0" encoding="utf-8"?>
<ds:datastoreItem xmlns:ds="http://schemas.openxmlformats.org/officeDocument/2006/customXml" ds:itemID="{EFDD4649-07B9-495C-8FFA-CE327D4258B8}">
  <ds:schemaRefs>
    <ds:schemaRef ds:uri="http://gemini/pivotcustomization/ManualCalcMode"/>
  </ds:schemaRefs>
</ds:datastoreItem>
</file>

<file path=customXml/itemProps11.xml><?xml version="1.0" encoding="utf-8"?>
<ds:datastoreItem xmlns:ds="http://schemas.openxmlformats.org/officeDocument/2006/customXml" ds:itemID="{7A1EC874-9C4B-4ACE-95D3-6CE993BC9004}">
  <ds:schemaRefs>
    <ds:schemaRef ds:uri="http://gemini/workbookcustomization/MetadataRecoveryInformation"/>
  </ds:schemaRefs>
</ds:datastoreItem>
</file>

<file path=customXml/itemProps12.xml><?xml version="1.0" encoding="utf-8"?>
<ds:datastoreItem xmlns:ds="http://schemas.openxmlformats.org/officeDocument/2006/customXml" ds:itemID="{E47EC2AF-7D80-49CA-9E43-46D9683C9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64bca-06c0-4657-b6f9-0a997f5ff9b9"/>
    <ds:schemaRef ds:uri="c2760211-3e43-4ff7-a9ea-22e8b7d99117"/>
    <ds:schemaRef ds:uri="410da107-b4b9-4416-82f0-a17ea7b4313c"/>
    <ds:schemaRef ds:uri="44d82dea-fc32-4e1e-a3c6-c3136ef66f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3.xml><?xml version="1.0" encoding="utf-8"?>
<ds:datastoreItem xmlns:ds="http://schemas.openxmlformats.org/officeDocument/2006/customXml" ds:itemID="{C12390B9-50D1-46AB-BFB1-DA4D743D2EC0}">
  <ds:schemaRefs>
    <ds:schemaRef ds:uri="http://gemini/pivotcustomization/5f5de409-041f-4522-8349-9419750aa7e6"/>
  </ds:schemaRefs>
</ds:datastoreItem>
</file>

<file path=customXml/itemProps14.xml><?xml version="1.0" encoding="utf-8"?>
<ds:datastoreItem xmlns:ds="http://schemas.openxmlformats.org/officeDocument/2006/customXml" ds:itemID="{4E5C0EAB-F1B1-4DDA-A5E4-91B8D34E6C46}">
  <ds:schemaRefs>
    <ds:schemaRef ds:uri="http://gemini/workbookcustomization/RelationshipAutoDetectionEnabled"/>
  </ds:schemaRefs>
</ds:datastoreItem>
</file>

<file path=customXml/itemProps15.xml><?xml version="1.0" encoding="utf-8"?>
<ds:datastoreItem xmlns:ds="http://schemas.openxmlformats.org/officeDocument/2006/customXml" ds:itemID="{70B1C5B8-793C-4EE1-85CC-6615517B068F}">
  <ds:schemaRefs>
    <ds:schemaRef ds:uri="http://gemini/pivotcustomization/TableCountInSandbox"/>
  </ds:schemaRefs>
</ds:datastoreItem>
</file>

<file path=customXml/itemProps16.xml><?xml version="1.0" encoding="utf-8"?>
<ds:datastoreItem xmlns:ds="http://schemas.openxmlformats.org/officeDocument/2006/customXml" ds:itemID="{06690D70-E3C6-48CB-A94A-4993DD14A306}">
  <ds:schemaRefs>
    <ds:schemaRef ds:uri="http://gemini/pivotcustomization/ClientWindowXML"/>
  </ds:schemaRefs>
</ds:datastoreItem>
</file>

<file path=customXml/itemProps2.xml><?xml version="1.0" encoding="utf-8"?>
<ds:datastoreItem xmlns:ds="http://schemas.openxmlformats.org/officeDocument/2006/customXml" ds:itemID="{3C1A05F1-3CF7-4841-A113-9570BAA791D0}">
  <ds:schemaRefs>
    <ds:schemaRef ds:uri="http://gemini/pivotcustomization/eceb5633-f473-4200-9834-726f2dd53927"/>
  </ds:schemaRefs>
</ds:datastoreItem>
</file>

<file path=customXml/itemProps3.xml><?xml version="1.0" encoding="utf-8"?>
<ds:datastoreItem xmlns:ds="http://schemas.openxmlformats.org/officeDocument/2006/customXml" ds:itemID="{CD59DCCB-2143-4F78-B552-6035370E597A}">
  <ds:schemaRefs>
    <ds:schemaRef ds:uri="http://gemini/pivotcustomization/TableXML_Table_Shelter"/>
  </ds:schemaRefs>
</ds:datastoreItem>
</file>

<file path=customXml/itemProps4.xml><?xml version="1.0" encoding="utf-8"?>
<ds:datastoreItem xmlns:ds="http://schemas.openxmlformats.org/officeDocument/2006/customXml" ds:itemID="{BD47491D-A072-4E9A-9936-7CEEF1F17C78}">
  <ds:schemaRefs>
    <ds:schemaRef ds:uri="44d82dea-fc32-4e1e-a3c6-c3136ef66f65"/>
    <ds:schemaRef ds:uri="http://schemas.microsoft.com/office/2006/documentManagement/types"/>
    <ds:schemaRef ds:uri="http://purl.org/dc/dcmitype/"/>
    <ds:schemaRef ds:uri="http://purl.org/dc/elements/1.1/"/>
    <ds:schemaRef ds:uri="410da107-b4b9-4416-82f0-a17ea7b4313c"/>
    <ds:schemaRef ds:uri="http://purl.org/dc/terms/"/>
    <ds:schemaRef ds:uri="http://schemas.microsoft.com/office/2006/metadata/properties"/>
    <ds:schemaRef ds:uri="c2760211-3e43-4ff7-a9ea-22e8b7d99117"/>
    <ds:schemaRef ds:uri="http://schemas.microsoft.com/office/infopath/2007/PartnerControls"/>
    <ds:schemaRef ds:uri="http://schemas.openxmlformats.org/package/2006/metadata/core-properties"/>
    <ds:schemaRef ds:uri="96664bca-06c0-4657-b6f9-0a997f5ff9b9"/>
    <ds:schemaRef ds:uri="http://schemas.microsoft.com/sharepoint/v3"/>
    <ds:schemaRef ds:uri="http://www.w3.org/XML/1998/namespace"/>
  </ds:schemaRefs>
</ds:datastoreItem>
</file>

<file path=customXml/itemProps5.xml><?xml version="1.0" encoding="utf-8"?>
<ds:datastoreItem xmlns:ds="http://schemas.openxmlformats.org/officeDocument/2006/customXml" ds:itemID="{974B0D73-35CA-45FB-BE5F-9815EC340D06}">
  <ds:schemaRefs>
    <ds:schemaRef ds:uri="http://schemas.microsoft.com/sharepoint/v3/contenttype/forms"/>
  </ds:schemaRefs>
</ds:datastoreItem>
</file>

<file path=customXml/itemProps6.xml><?xml version="1.0" encoding="utf-8"?>
<ds:datastoreItem xmlns:ds="http://schemas.openxmlformats.org/officeDocument/2006/customXml" ds:itemID="{0DB74B7D-45D0-467C-937A-BF6037B4CDD8}">
  <ds:schemaRefs>
    <ds:schemaRef ds:uri="http://gemini/pivotcustomization/TableXML_Table_CampList"/>
  </ds:schemaRefs>
</ds:datastoreItem>
</file>

<file path=customXml/itemProps7.xml><?xml version="1.0" encoding="utf-8"?>
<ds:datastoreItem xmlns:ds="http://schemas.openxmlformats.org/officeDocument/2006/customXml" ds:itemID="{29F038A7-53D4-43C9-BA81-F04FA320B26C}">
  <ds:schemaRefs>
    <ds:schemaRef ds:uri="http://gemini/pivotcustomization/LinkedTableUpdateMode"/>
  </ds:schemaRefs>
</ds:datastoreItem>
</file>

<file path=customXml/itemProps8.xml><?xml version="1.0" encoding="utf-8"?>
<ds:datastoreItem xmlns:ds="http://schemas.openxmlformats.org/officeDocument/2006/customXml" ds:itemID="{A4DB21AE-0E8D-47D9-B2ED-93E67DDC8AD7}">
  <ds:schemaRefs>
    <ds:schemaRef ds:uri="http://gemini/workbookcustomization/SandboxNonEmpty"/>
  </ds:schemaRefs>
</ds:datastoreItem>
</file>

<file path=customXml/itemProps9.xml><?xml version="1.0" encoding="utf-8"?>
<ds:datastoreItem xmlns:ds="http://schemas.openxmlformats.org/officeDocument/2006/customXml" ds:itemID="{B52EF448-6A98-4C49-A45C-7A5ECB855B71}">
  <ds:schemaRefs>
    <ds:schemaRef ds:uri="http://gemini/workbookcustomization/LinkedTabl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107</vt:i4>
      </vt:variant>
    </vt:vector>
  </HeadingPairs>
  <TitlesOfParts>
    <vt:vector size="137" baseType="lpstr">
      <vt:lpstr>File_details</vt:lpstr>
      <vt:lpstr>Home</vt:lpstr>
      <vt:lpstr>Definition_TCL</vt:lpstr>
      <vt:lpstr>Definition</vt:lpstr>
      <vt:lpstr>Key CCCM Definitions</vt:lpstr>
      <vt:lpstr>Camp List</vt:lpstr>
      <vt:lpstr>ReturntoIH</vt:lpstr>
      <vt:lpstr>Camp List (printable) </vt:lpstr>
      <vt:lpstr>CCCM Dashboard</vt:lpstr>
      <vt:lpstr>Map</vt:lpstr>
      <vt:lpstr>Sheet2</vt:lpstr>
      <vt:lpstr>Camp_Profile</vt:lpstr>
      <vt:lpstr>Camp Analysis</vt:lpstr>
      <vt:lpstr>Age-Sex Breakdown per Camp</vt:lpstr>
      <vt:lpstr>Vulnerability per Camp</vt:lpstr>
      <vt:lpstr>Displacement Areas</vt:lpstr>
      <vt:lpstr>Camp Management-Focal Point</vt:lpstr>
      <vt:lpstr>Relocation &amp; Returned</vt:lpstr>
      <vt:lpstr>Camp List (closed)</vt:lpstr>
      <vt:lpstr>Shelter Tracking</vt:lpstr>
      <vt:lpstr>Shelter Maintenance in 2017</vt:lpstr>
      <vt:lpstr>Shelter Progress</vt:lpstr>
      <vt:lpstr>Shelter Summary (by agency)</vt:lpstr>
      <vt:lpstr>Shelter Coverage &amp; Gaps</vt:lpstr>
      <vt:lpstr>Camp Infrastructure</vt:lpstr>
      <vt:lpstr>NFI Tracking</vt:lpstr>
      <vt:lpstr>NFI Pipeline</vt:lpstr>
      <vt:lpstr>NFI Distribution by 12 Months</vt:lpstr>
      <vt:lpstr>NFI Summary</vt:lpstr>
      <vt:lpstr>Distribution by Year</vt:lpstr>
      <vt:lpstr>Accessible_by_All</vt:lpstr>
      <vt:lpstr>Age_Cat_Code</vt:lpstr>
      <vt:lpstr>Age_Category</vt:lpstr>
      <vt:lpstr>Camp_Profile!AllData_Camplist</vt:lpstr>
      <vt:lpstr>'Shelter Coverage &amp; Gaps'!AllData_Camplist</vt:lpstr>
      <vt:lpstr>AllData_Camplist</vt:lpstr>
      <vt:lpstr>Camplist_HH</vt:lpstr>
      <vt:lpstr>Camplist_Popl</vt:lpstr>
      <vt:lpstr>CampList_Status</vt:lpstr>
      <vt:lpstr>Camplist_Township</vt:lpstr>
      <vt:lpstr>CampList_TypeOfAcc</vt:lpstr>
      <vt:lpstr>CL</vt:lpstr>
      <vt:lpstr>Col_Shelter_Individual_B</vt:lpstr>
      <vt:lpstr>Col_Shelter_Individual_P</vt:lpstr>
      <vt:lpstr>Col_Shelter_Individual_U</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Individual_Covered</vt:lpstr>
      <vt:lpstr>Camp_Profile!Kashin</vt:lpstr>
      <vt:lpstr>Kashin</vt:lpstr>
      <vt:lpstr>Kyauk_Phyu</vt:lpstr>
      <vt:lpstr>NFI</vt:lpstr>
      <vt:lpstr>NFI_Adult_Clothes_Track</vt:lpstr>
      <vt:lpstr>NFI_Blanket_Pipeline</vt:lpstr>
      <vt:lpstr>NFI_Blanket_Stock</vt:lpstr>
      <vt:lpstr>NFI_Blanket_Track</vt:lpstr>
      <vt:lpstr>NFI_CampStatus</vt:lpstr>
      <vt:lpstr>NFI_Children_Clothes_Track</vt:lpstr>
      <vt:lpstr>NFI_Complementary_Pipeline</vt:lpstr>
      <vt:lpstr>NFI_Complementary_Stock</vt:lpstr>
      <vt:lpstr>NFI_Complementary_Track</vt:lpstr>
      <vt:lpstr>NFI_Core_Pipeline</vt:lpstr>
      <vt:lpstr>NFI_Core_Stock</vt:lpstr>
      <vt:lpstr>NFI_Core_Track</vt:lpstr>
      <vt:lpstr>NFI_Expiration</vt:lpstr>
      <vt:lpstr>NFI_Household</vt:lpstr>
      <vt:lpstr>NFI_Hygiene_Pipeline</vt:lpstr>
      <vt:lpstr>NFI_Hygiene_Stock</vt:lpstr>
      <vt:lpstr>NFI_Hygiene_Track</vt:lpstr>
      <vt:lpstr>NFI_Individual</vt:lpstr>
      <vt:lpstr>NFI_JerryCan_Pipeline</vt:lpstr>
      <vt:lpstr>NFI_JerryCan_Stock</vt:lpstr>
      <vt:lpstr>NFI_JerryCan_Track</vt:lpstr>
      <vt:lpstr>NFI_Kitchen_Pipeline</vt:lpstr>
      <vt:lpstr>NFI_Kitchen_Stock</vt:lpstr>
      <vt:lpstr>NFI_Kitchen_Track</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NFI_Sewing_Kit_Track</vt:lpstr>
      <vt:lpstr>NFI_Solar_Lantern_Track</vt:lpstr>
      <vt:lpstr>NFI_Solor_Lantern_Track</vt:lpstr>
      <vt:lpstr>NFI_State</vt:lpstr>
      <vt:lpstr>NFI_Tarpaulin_Pipeline</vt:lpstr>
      <vt:lpstr>NFI_Tarpaulin_Stock</vt:lpstr>
      <vt:lpstr>NFI_Tarpaulin_Track</vt:lpstr>
      <vt:lpstr>NFI_Township</vt:lpstr>
      <vt:lpstr>Organization_Code</vt:lpstr>
      <vt:lpstr>'Camp Analysis'!Print_Area</vt:lpstr>
      <vt:lpstr>'Camp List (printable) '!Print_Area</vt:lpstr>
      <vt:lpstr>'Camp Management-Focal Point'!Print_Area</vt:lpstr>
      <vt:lpstr>'CCCM Dashboard'!Print_Area</vt:lpstr>
      <vt:lpstr>'Displacement Areas'!Print_Area</vt:lpstr>
      <vt:lpstr>'NFI Distribution by 12 Months'!Print_Area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Camp_Profile!Rakhine</vt:lpstr>
      <vt:lpstr>Rakhine</vt:lpstr>
      <vt:lpstr>Report_Date</vt:lpstr>
      <vt:lpstr>Shelter_Cover2</vt:lpstr>
      <vt:lpstr>Shelter_HH_Covered</vt:lpstr>
      <vt:lpstr>Shelter_Makeshift</vt:lpstr>
      <vt:lpstr>Shelter_Status</vt:lpstr>
      <vt:lpstr>State</vt:lpstr>
      <vt:lpstr>TCL_C</vt:lpstr>
      <vt:lpstr>TCL_T</vt:lpstr>
      <vt:lpstr>TCL_T1</vt:lpstr>
      <vt:lpstr>Type_of_Acc</vt:lpstr>
      <vt:lpstr>Type_of_Accomodation</vt:lpstr>
      <vt:lpstr>Type_Population</vt:lpstr>
      <vt:lpstr>Type_Vulnerability</vt:lpstr>
      <vt:lpstr>Vulnerability</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Shelter-NFI-CCCM Rakhine Cluster Analysis Report, 1st June 2014</dc:title>
  <dc:creator>UNHCRuser</dc:creator>
  <cp:keywords>Rakhine; Data</cp:keywords>
  <cp:lastModifiedBy>May Khaing</cp:lastModifiedBy>
  <cp:lastPrinted>2018-02-15T07:07:39Z</cp:lastPrinted>
  <dcterms:created xsi:type="dcterms:W3CDTF">2013-03-18T02:36:38Z</dcterms:created>
  <dcterms:modified xsi:type="dcterms:W3CDTF">2019-05-21T04:10:54Z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0x010100AA7AFC8FE433CD4B94E991D812AE17EB00A4F904E876BA64499D936E72A62E2535</vt:lpwstr>
  </property>
  <property fmtid="{D5CDD505-2E9C-101B-9397-08002B2CF9AE}" pid="3" name="TaxKeyword">
    <vt:lpwstr>383;#Rakhine|aba927d5-4b8e-4f06-a69d-d4b1ddd04fad;#411;#Data|3cac3b3d-128f-440f-bbfc-f4c8fc9eb8da</vt:lpwstr>
  </property>
  <property fmtid="{D5CDD505-2E9C-101B-9397-08002B2CF9AE}" pid="4" name="Site Type">
    <vt:lpwstr>11;#Response|6bd9b9ba-7d2f-42c0-b763-fbe6e7a871e1</vt:lpwstr>
  </property>
  <property fmtid="{D5CDD505-2E9C-101B-9397-08002B2CF9AE}" pid="5" name="Region">
    <vt:lpwstr>5;#Asia/Pacific|006cb068-6581-4ba7-b0e0-a9a495bc13fa</vt:lpwstr>
  </property>
  <property fmtid="{D5CDD505-2E9C-101B-9397-08002B2CF9AE}" pid="6" name="Document Language">
    <vt:lpwstr>115;#English|53eb1c9d-8416-419a-9260-1df8e70b86c2</vt:lpwstr>
  </property>
  <property fmtid="{D5CDD505-2E9C-101B-9397-08002B2CF9AE}" pid="7" name="Document Category">
    <vt:lpwstr/>
  </property>
  <property fmtid="{D5CDD505-2E9C-101B-9397-08002B2CF9AE}" pid="8" name="Shelter Programming1">
    <vt:lpwstr/>
  </property>
  <property fmtid="{D5CDD505-2E9C-101B-9397-08002B2CF9AE}" pid="9" name="Miscellaneoud Terms">
    <vt:lpwstr/>
  </property>
  <property fmtid="{D5CDD505-2E9C-101B-9397-08002B2CF9AE}" pid="10" name="Information Management">
    <vt:lpwstr/>
  </property>
  <property fmtid="{D5CDD505-2E9C-101B-9397-08002B2CF9AE}" pid="11" name="NFI Guidance1">
    <vt:lpwstr/>
  </property>
  <property fmtid="{D5CDD505-2E9C-101B-9397-08002B2CF9AE}" pid="12" name="Responses sites">
    <vt:lpwstr>363;#Rakhine and Kashin 2012|c0b34e0a-b063-4cc5-b8dc-b60231c0bca5</vt:lpwstr>
  </property>
  <property fmtid="{D5CDD505-2E9C-101B-9397-08002B2CF9AE}" pid="13" name="Country">
    <vt:lpwstr>149;#Myanmar|86a1e153-9152-446e-a92e-ce9a65bf8441</vt:lpwstr>
  </property>
  <property fmtid="{D5CDD505-2E9C-101B-9397-08002B2CF9AE}" pid="14" name="Damage Location">
    <vt:lpwstr/>
  </property>
  <property fmtid="{D5CDD505-2E9C-101B-9397-08002B2CF9AE}" pid="15" name="InterCluster">
    <vt:lpwstr/>
  </property>
  <property fmtid="{D5CDD505-2E9C-101B-9397-08002B2CF9AE}" pid="16" name="Management/Coordination">
    <vt:lpwstr/>
  </property>
  <property fmtid="{D5CDD505-2E9C-101B-9397-08002B2CF9AE}" pid="17" name="Current Lead Agency">
    <vt:lpwstr>184;#UNHCR|b7c1c785-20d3-4ead-b532-031cae1f6f80</vt:lpwstr>
  </property>
  <property fmtid="{D5CDD505-2E9C-101B-9397-08002B2CF9AE}" pid="18" name="Cross Cutting1">
    <vt:lpwstr/>
  </property>
  <property fmtid="{D5CDD505-2E9C-101B-9397-08002B2CF9AE}" pid="19" name="Status Of Site">
    <vt:lpwstr>15;#Active|319c008f-4e4c-46bc-95eb-65641b9bd58c</vt:lpwstr>
  </property>
  <property fmtid="{D5CDD505-2E9C-101B-9397-08002B2CF9AE}" pid="20" name="AM&amp;E">
    <vt:lpwstr/>
  </property>
  <property fmtid="{D5CDD505-2E9C-101B-9397-08002B2CF9AE}" pid="21" name="Shelter Technical1">
    <vt:lpwstr/>
  </property>
  <property fmtid="{D5CDD505-2E9C-101B-9397-08002B2CF9AE}" pid="22" name="Shelter Planning1">
    <vt:lpwstr/>
  </property>
  <property fmtid="{D5CDD505-2E9C-101B-9397-08002B2CF9AE}" pid="23" name="Event Type">
    <vt:lpwstr>312;#Conflict|cd1719c2-e0d5-486c-9a70-d3abb04d6e72</vt:lpwstr>
  </property>
</Properties>
</file>